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3" documentId="8_{C5F75972-BA1A-4FE4-8B4B-08A64512F564}" xr6:coauthVersionLast="46" xr6:coauthVersionMax="46" xr10:uidLastSave="{F4BE9424-2F72-4D51-A3D5-CF9C6BF869B3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5" r:id="rId57"/>
    <sheet name="331" sheetId="30" r:id="rId58"/>
    <sheet name="315" sheetId="69" r:id="rId59"/>
    <sheet name="326" sheetId="77" r:id="rId60"/>
    <sheet name="332" sheetId="33" r:id="rId61"/>
    <sheet name="316" sheetId="70" r:id="rId62"/>
    <sheet name="Div 6" sheetId="51" r:id="rId63"/>
    <sheet name="317" sheetId="71" r:id="rId64"/>
    <sheet name="320" sheetId="72" r:id="rId65"/>
    <sheet name="310" sheetId="21" r:id="rId66"/>
    <sheet name="309" sheetId="65" r:id="rId67"/>
    <sheet name="313" sheetId="67" r:id="rId68"/>
    <sheet name="321" sheetId="73" r:id="rId69"/>
    <sheet name="322" sheetId="74" r:id="rId70"/>
    <sheet name="325" sheetId="76" r:id="rId71"/>
    <sheet name="327" sheetId="78" r:id="rId72"/>
    <sheet name="Div 4" sheetId="36" r:id="rId73"/>
    <sheet name="310 &amp; 491" sheetId="39" r:id="rId74"/>
    <sheet name="491" sheetId="42" r:id="rId75"/>
    <sheet name="405" sheetId="79" r:id="rId76"/>
    <sheet name="406" sheetId="80" r:id="rId77"/>
    <sheet name="411" sheetId="81" r:id="rId78"/>
    <sheet name="412" sheetId="82" r:id="rId79"/>
    <sheet name="413" sheetId="83" r:id="rId80"/>
    <sheet name="414" sheetId="84" r:id="rId81"/>
    <sheet name="415" sheetId="85" r:id="rId82"/>
    <sheet name="418" sheetId="86" r:id="rId83"/>
    <sheet name="420" sheetId="87" r:id="rId84"/>
    <sheet name="423" sheetId="88" r:id="rId85"/>
    <sheet name="424" sheetId="89" r:id="rId86"/>
    <sheet name="455" sheetId="96" r:id="rId87"/>
    <sheet name="425" sheetId="90" r:id="rId88"/>
    <sheet name="492" sheetId="45" r:id="rId89"/>
    <sheet name="430" sheetId="91" r:id="rId90"/>
    <sheet name="433" sheetId="92" r:id="rId91"/>
    <sheet name="435" sheetId="93" r:id="rId92"/>
    <sheet name="444" sheetId="94" r:id="rId93"/>
    <sheet name="450" sheetId="95" r:id="rId94"/>
    <sheet name="Div 5" sheetId="48" r:id="rId95"/>
    <sheet name="501" sheetId="97" r:id="rId96"/>
    <sheet name="Dept" sheetId="98" state="hidden" r:id="rId97"/>
    <sheet name="OSR_Dept_Y0WUKY" sheetId="99" state="hidden" r:id="rId98"/>
    <sheet name="OSR_Summary (...56e5d78f_5JEYZH" sheetId="100" state="hidden" r:id="rId99"/>
  </sheets>
  <definedNames>
    <definedName name="OSRRefD13x_0" localSheetId="41">'201'!$D$13</definedName>
    <definedName name="OSRRefD13x_0" localSheetId="42">'202'!$D$13</definedName>
    <definedName name="OSRRefD13x_0" localSheetId="48">'300'!$D$13:$D$78</definedName>
    <definedName name="OSRRefD13x_0" localSheetId="49">'300 &amp; 317'!$D$13:$D$93</definedName>
    <definedName name="OSRRefD13x_0" localSheetId="53">'307'!$D$13:$D$23</definedName>
    <definedName name="OSRRefD13x_0" localSheetId="54">'308'!$D$13:$D$35</definedName>
    <definedName name="OSRRefD13x_0" localSheetId="66">'309'!$D$13</definedName>
    <definedName name="OSRRefD13x_0" localSheetId="65">'310'!$D$13:$D$20</definedName>
    <definedName name="OSRRefD13x_0" localSheetId="73">'310 &amp; 491'!$D$13:$D$25</definedName>
    <definedName name="OSRRefD13x_0" localSheetId="55">'311'!$D$13:$D$34</definedName>
    <definedName name="OSRRefD13x_0" localSheetId="67">'313'!$D$13:$D$17</definedName>
    <definedName name="OSRRefD13x_0" localSheetId="58">'315'!$D$13:$D$51</definedName>
    <definedName name="OSRRefD13x_0" localSheetId="61">'316'!$D$13:$D$24</definedName>
    <definedName name="OSRRefD13x_0" localSheetId="63">'317'!$D$13:$D$31</definedName>
    <definedName name="OSRRefD13x_0" localSheetId="68">'321'!$D$13:$D$15</definedName>
    <definedName name="OSRRefD13x_0" localSheetId="69">'322'!$D$13</definedName>
    <definedName name="OSRRefD13x_0" localSheetId="56">'324'!$D$13:$D$16</definedName>
    <definedName name="OSRRefD13x_0" localSheetId="70">'325'!$D$13:$D$14</definedName>
    <definedName name="OSRRefD13x_0" localSheetId="59">'326'!$D$13:$D$33</definedName>
    <definedName name="OSRRefD13x_0" localSheetId="71">'327'!$D$13:$D$14</definedName>
    <definedName name="OSRRefD13x_0" localSheetId="52">'330'!$D$13:$D$26</definedName>
    <definedName name="OSRRefD13x_0" localSheetId="57">'331'!$D$13:$D$51</definedName>
    <definedName name="OSRRefD13x_0" localSheetId="60">'332'!$D$13:$D$24</definedName>
    <definedName name="OSRRefD13x_0" localSheetId="75">'405'!$D$13:$D$14</definedName>
    <definedName name="OSRRefD13x_0" localSheetId="78">'412'!$D$13</definedName>
    <definedName name="OSRRefD13x_0" localSheetId="79">'413'!$D$13:$D$14</definedName>
    <definedName name="OSRRefD13x_0" localSheetId="80">'414'!$D$13:$D$15</definedName>
    <definedName name="OSRRefD13x_0" localSheetId="81">'415'!$D$13:$D$16</definedName>
    <definedName name="OSRRefD13x_0" localSheetId="82">'418'!$D$13:$D$14</definedName>
    <definedName name="OSRRefD13x_0" localSheetId="83">'420'!$D$13:$D$14</definedName>
    <definedName name="OSRRefD13x_0" localSheetId="90">'433'!$D$13:$D$16</definedName>
    <definedName name="OSRRefD13x_0" localSheetId="92">'444'!$D$13:$D$16</definedName>
    <definedName name="OSRRefD13x_0" localSheetId="93">'450'!$D$13:$D$14</definedName>
    <definedName name="OSRRefD13x_0" localSheetId="74">'491'!$D$13:$D$19</definedName>
    <definedName name="OSRRefD13x_0" localSheetId="88">'492'!$D$13:$D$16</definedName>
    <definedName name="OSRRefD13x_0" localSheetId="95">'501'!$D$13:$D$14</definedName>
    <definedName name="OSRRefD13x_0" localSheetId="39">'Div 2'!$D$13</definedName>
    <definedName name="OSRRefD13x_0" localSheetId="47">'Div 3'!$D$13:$D$80</definedName>
    <definedName name="OSRRefD13x_0" localSheetId="72">'Div 4'!$D$13:$D$21</definedName>
    <definedName name="OSRRefD13x_0" localSheetId="94">'Div 5'!$D$13:$D$14</definedName>
    <definedName name="OSRRefD13x_0" localSheetId="62">'Div 6'!$D$13:$D$31</definedName>
    <definedName name="OSRRefD13x_0" localSheetId="2">Summary!$D$13:$D$101</definedName>
    <definedName name="OSRRefD16x_0" localSheetId="48">'300'!$D$81:$D$128</definedName>
    <definedName name="OSRRefD16x_0" localSheetId="49">'300 &amp; 317'!$D$96:$D$150</definedName>
    <definedName name="OSRRefD16x_0" localSheetId="50">'301'!$D$15</definedName>
    <definedName name="OSRRefD16x_0" localSheetId="53">'307'!$D$26:$D$45</definedName>
    <definedName name="OSRRefD16x_0" localSheetId="54">'308'!$D$38:$D$53</definedName>
    <definedName name="OSRRefD16x_0" localSheetId="66">'309'!$D$16:$D$17</definedName>
    <definedName name="OSRRefD16x_0" localSheetId="65">'310'!$D$23:$D$25</definedName>
    <definedName name="OSRRefD16x_0" localSheetId="73">'310 &amp; 491'!$D$28:$D$30</definedName>
    <definedName name="OSRRefD16x_0" localSheetId="55">'311'!$D$37:$D$52</definedName>
    <definedName name="OSRRefD16x_0" localSheetId="67">'313'!$D$20:$D$21</definedName>
    <definedName name="OSRRefD16x_0" localSheetId="58">'315'!$D$54:$D$78</definedName>
    <definedName name="OSRRefD16x_0" localSheetId="63">'317'!$D$34:$D$48</definedName>
    <definedName name="OSRRefD16x_0" localSheetId="64">'320'!$D$15:$D$16</definedName>
    <definedName name="OSRRefD16x_0" localSheetId="68">'321'!$D$18:$D$20</definedName>
    <definedName name="OSRRefD16x_0" localSheetId="69">'322'!$D$16:$D$17</definedName>
    <definedName name="OSRRefD16x_0" localSheetId="56">'324'!$D$19:$D$21</definedName>
    <definedName name="OSRRefD16x_0" localSheetId="70">'325'!$D$17:$D$19</definedName>
    <definedName name="OSRRefD16x_0" localSheetId="59">'326'!$D$36:$D$50</definedName>
    <definedName name="OSRRefD16x_0" localSheetId="71">'327'!$D$17:$D$19</definedName>
    <definedName name="OSRRefD16x_0" localSheetId="52">'330'!$D$29:$D$48</definedName>
    <definedName name="OSRRefD16x_0" localSheetId="57">'331'!$D$54:$D$80</definedName>
    <definedName name="OSRRefD16x_0" localSheetId="60">'332'!$D$27:$D$28</definedName>
    <definedName name="OSRRefD16x_0" localSheetId="75">'405'!$D$17:$D$18</definedName>
    <definedName name="OSRRefD16x_0" localSheetId="78">'412'!$D$16</definedName>
    <definedName name="OSRRefD16x_0" localSheetId="79">'413'!$D$17</definedName>
    <definedName name="OSRRefD16x_0" localSheetId="80">'414'!$D$18:$D$19</definedName>
    <definedName name="OSRRefD16x_0" localSheetId="81">'415'!$D$19:$D$21</definedName>
    <definedName name="OSRRefD16x_0" localSheetId="82">'418'!$D$17:$D$18</definedName>
    <definedName name="OSRRefD16x_0" localSheetId="87">'425'!$D$15</definedName>
    <definedName name="OSRRefD16x_0" localSheetId="90">'433'!$D$19:$D$21</definedName>
    <definedName name="OSRRefD16x_0" localSheetId="92">'444'!$D$19:$D$21</definedName>
    <definedName name="OSRRefD16x_0" localSheetId="93">'450'!$D$17</definedName>
    <definedName name="OSRRefD16x_0" localSheetId="74">'491'!$D$22:$D$24</definedName>
    <definedName name="OSRRefD16x_0" localSheetId="88">'492'!$D$19:$D$21</definedName>
    <definedName name="OSRRefD16x_0" localSheetId="47">'Div 3'!$D$83:$D$132</definedName>
    <definedName name="OSRRefD16x_0" localSheetId="72">'Div 4'!$D$24:$D$26</definedName>
    <definedName name="OSRRefD16x_0" localSheetId="62">'Div 6'!$D$34:$D$48</definedName>
    <definedName name="OSRRefD16x_0" localSheetId="2">Summary!$D$104:$D$160</definedName>
    <definedName name="OSRRefD22_0x_0" localSheetId="40">'200'!$D$20:$D$21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'300'!$D$134:$D$143</definedName>
    <definedName name="OSRRefD22_0x_0" localSheetId="49">'300 &amp; 317'!$D$156:$D$165</definedName>
    <definedName name="OSRRefD22_0x_0" localSheetId="50">'301'!$D$21:$D$30</definedName>
    <definedName name="OSRRefD22_0x_0" localSheetId="51">'306'!$D$20:$D$28</definedName>
    <definedName name="OSRRefD22_0x_0" localSheetId="53">'307'!$D$51:$D$58</definedName>
    <definedName name="OSRRefD22_0x_0" localSheetId="54">'308'!$D$59:$D$68</definedName>
    <definedName name="OSRRefD22_0x_0" localSheetId="66">'309'!$D$23:$D$30</definedName>
    <definedName name="OSRRefD22_0x_0" localSheetId="65">'310'!$D$31:$D$39</definedName>
    <definedName name="OSRRefD22_0x_0" localSheetId="73">'310 &amp; 491'!$D$36:$D$44</definedName>
    <definedName name="OSRRefD22_0x_0" localSheetId="55">'311'!$D$58:$D$67</definedName>
    <definedName name="OSRRefD22_0x_0" localSheetId="67">'313'!$D$27:$D$35</definedName>
    <definedName name="OSRRefD22_0x_0" localSheetId="58">'315'!$D$84:$D$92</definedName>
    <definedName name="OSRRefD22_0x_0" localSheetId="61">'316'!$D$32:$D$40</definedName>
    <definedName name="OSRRefD22_0x_0" localSheetId="63">'317'!$D$54:$D$63</definedName>
    <definedName name="OSRRefD22_0x_0" localSheetId="64">'320'!$D$22:$D$23</definedName>
    <definedName name="OSRRefD22_0x_0" localSheetId="68">'321'!$D$26:$D$34</definedName>
    <definedName name="OSRRefD22_0x_0" localSheetId="69">'322'!$D$23:$D$30</definedName>
    <definedName name="OSRRefD22_0x_0" localSheetId="56">'324'!$D$27:$D$34</definedName>
    <definedName name="OSRRefD22_0x_0" localSheetId="70">'325'!$D$25:$D$32</definedName>
    <definedName name="OSRRefD22_0x_0" localSheetId="59">'326'!$D$56:$D$64</definedName>
    <definedName name="OSRRefD22_0x_0" localSheetId="71">'327'!$D$25</definedName>
    <definedName name="OSRRefD22_0x_0" localSheetId="52">'330'!$D$54:$D$62</definedName>
    <definedName name="OSRRefD22_0x_0" localSheetId="57">'331'!$D$86:$D$94</definedName>
    <definedName name="OSRRefD22_0x_0" localSheetId="60">'332'!$D$34:$D$42</definedName>
    <definedName name="OSRRefD22_0x_0" localSheetId="75">'405'!$D$24:$D$31</definedName>
    <definedName name="OSRRefD22_0x_0" localSheetId="76">'406'!$D$20</definedName>
    <definedName name="OSRRefD22_0x_0" localSheetId="77">'411'!$D$20:$D$28</definedName>
    <definedName name="OSRRefD22_0x_0" localSheetId="78">'412'!$D$22:$D$29</definedName>
    <definedName name="OSRRefD22_0x_0" localSheetId="79">'413'!$D$23:$D$31</definedName>
    <definedName name="OSRRefD22_0x_0" localSheetId="80">'414'!$D$25:$D$33</definedName>
    <definedName name="OSRRefD22_0x_0" localSheetId="81">'415'!$D$27:$D$35</definedName>
    <definedName name="OSRRefD22_0x_0" localSheetId="82">'418'!$D$24:$D$31</definedName>
    <definedName name="OSRRefD22_0x_0" localSheetId="83">'420'!$D$22</definedName>
    <definedName name="OSRRefD22_0x_0" localSheetId="84">'423'!$D$20:$D$27</definedName>
    <definedName name="OSRRefD22_0x_0" localSheetId="85">'424'!$D$20</definedName>
    <definedName name="OSRRefD22_0x_0" localSheetId="87">'425'!$D$21:$D$25</definedName>
    <definedName name="OSRRefD22_0x_0" localSheetId="89">'430'!$D$20:$D$28</definedName>
    <definedName name="OSRRefD22_0x_0" localSheetId="90">'433'!$D$27:$D$36</definedName>
    <definedName name="OSRRefD22_0x_0" localSheetId="91">'435'!$D$20</definedName>
    <definedName name="OSRRefD22_0x_0" localSheetId="92">'444'!$D$27:$D$36</definedName>
    <definedName name="OSRRefD22_0x_0" localSheetId="93">'450'!$D$23:$D$32</definedName>
    <definedName name="OSRRefD22_0x_0" localSheetId="74">'491'!$D$30:$D$38</definedName>
    <definedName name="OSRRefD22_0x_0" localSheetId="88">'492'!$D$27:$D$36</definedName>
    <definedName name="OSRRefD22_0x_0" localSheetId="95">'501'!$D$22:$D$31</definedName>
    <definedName name="OSRRefD22_0x_0" localSheetId="39">'Div 2'!$D$21:$D$31</definedName>
    <definedName name="OSRRefD22_0x_0" localSheetId="47">'Div 3'!$D$138:$D$147</definedName>
    <definedName name="OSRRefD22_0x_0" localSheetId="72">'Div 4'!$D$32:$D$41</definedName>
    <definedName name="OSRRefD22_0x_0" localSheetId="94">'Div 5'!$D$22:$D$31</definedName>
    <definedName name="OSRRefD22_0x_0" localSheetId="62">'Div 6'!$D$54:$D$63</definedName>
    <definedName name="OSRRefD22_0x_0" localSheetId="2">Summary!$D$166:$D$175</definedName>
    <definedName name="OSRRefD22_10x_0" localSheetId="41">'201'!$D$59:$D$61</definedName>
    <definedName name="OSRRefD22_10x_0" localSheetId="42">'202'!$D$63</definedName>
    <definedName name="OSRRefD22_10x_0" localSheetId="43">'203'!$D$62</definedName>
    <definedName name="OSRRefD22_10x_0" localSheetId="44">'204'!$D$62:$D$63</definedName>
    <definedName name="OSRRefD22_10x_0" localSheetId="48">'300'!$D$176:$D$177</definedName>
    <definedName name="OSRRefD22_10x_0" localSheetId="49">'300 &amp; 317'!$D$198:$D$199</definedName>
    <definedName name="OSRRefD22_10x_0" localSheetId="50">'301'!$D$61</definedName>
    <definedName name="OSRRefD22_10x_0" localSheetId="51">'306'!$D$59</definedName>
    <definedName name="OSRRefD22_10x_0" localSheetId="53">'307'!$D$89:$D$90</definedName>
    <definedName name="OSRRefD22_10x_0" localSheetId="54">'308'!$D$102:$D$103</definedName>
    <definedName name="OSRRefD22_10x_0" localSheetId="66">'309'!$D$63</definedName>
    <definedName name="OSRRefD22_10x_0" localSheetId="65">'310'!$D$69</definedName>
    <definedName name="OSRRefD22_10x_0" localSheetId="73">'310 &amp; 491'!$D$76</definedName>
    <definedName name="OSRRefD22_10x_0" localSheetId="55">'311'!$D$101:$D$102</definedName>
    <definedName name="OSRRefD22_10x_0" localSheetId="67">'313'!$D$68</definedName>
    <definedName name="OSRRefD22_10x_0" localSheetId="58">'315'!$D$124</definedName>
    <definedName name="OSRRefD22_10x_0" localSheetId="61">'316'!$D$72:$D$76</definedName>
    <definedName name="OSRRefD22_10x_0" localSheetId="63">'317'!$D$94</definedName>
    <definedName name="OSRRefD22_10x_0" localSheetId="68">'321'!$D$66:$D$68</definedName>
    <definedName name="OSRRefD22_10x_0" localSheetId="69">'322'!$D$64</definedName>
    <definedName name="OSRRefD22_10x_0" localSheetId="70">'325'!$D$62</definedName>
    <definedName name="OSRRefD22_10x_0" localSheetId="59">'326'!$D$94</definedName>
    <definedName name="OSRRefD22_10x_0" localSheetId="52">'330'!$D$93:$D$94</definedName>
    <definedName name="OSRRefD22_10x_0" localSheetId="57">'331'!$D$126</definedName>
    <definedName name="OSRRefD22_10x_0" localSheetId="60">'332'!$D$74:$D$78</definedName>
    <definedName name="OSRRefD22_10x_0" localSheetId="75">'405'!$D$62</definedName>
    <definedName name="OSRRefD22_10x_0" localSheetId="77">'411'!$D$61:$D$64</definedName>
    <definedName name="OSRRefD22_10x_0" localSheetId="78">'412'!$D$60:$D$63</definedName>
    <definedName name="OSRRefD22_10x_0" localSheetId="79">'413'!$D$64:$D$71</definedName>
    <definedName name="OSRRefD22_10x_0" localSheetId="80">'414'!$D$63</definedName>
    <definedName name="OSRRefD22_10x_0" localSheetId="81">'415'!$D$65</definedName>
    <definedName name="OSRRefD22_10x_0" localSheetId="82">'418'!$D$64:$D$65</definedName>
    <definedName name="OSRRefD22_10x_0" localSheetId="90">'433'!$D$65</definedName>
    <definedName name="OSRRefD22_10x_0" localSheetId="92">'444'!$D$65</definedName>
    <definedName name="OSRRefD22_10x_0" localSheetId="93">'450'!$D$61</definedName>
    <definedName name="OSRRefD22_10x_0" localSheetId="74">'491'!$D$69</definedName>
    <definedName name="OSRRefD22_10x_0" localSheetId="88">'492'!$D$65</definedName>
    <definedName name="OSRRefD22_10x_0" localSheetId="95">'501'!$D$64</definedName>
    <definedName name="OSRRefD22_10x_0" localSheetId="39">'Div 2'!$D$63</definedName>
    <definedName name="OSRRefD22_10x_0" localSheetId="47">'Div 3'!$D$180:$D$181</definedName>
    <definedName name="OSRRefD22_10x_0" localSheetId="72">'Div 4'!$D$72</definedName>
    <definedName name="OSRRefD22_10x_0" localSheetId="94">'Div 5'!$D$64</definedName>
    <definedName name="OSRRefD22_10x_0" localSheetId="62">'Div 6'!$D$94</definedName>
    <definedName name="OSRRefD22_10x_0" localSheetId="2">Summary!$D$209:$D$210</definedName>
    <definedName name="OSRRefD22_11x_0" localSheetId="41">'201'!$D$63:$D$64</definedName>
    <definedName name="OSRRefD22_11x_0" localSheetId="42">'202'!$D$65</definedName>
    <definedName name="OSRRefD22_11x_0" localSheetId="43">'203'!$D$64:$D$67</definedName>
    <definedName name="OSRRefD22_11x_0" localSheetId="44">'204'!$D$65</definedName>
    <definedName name="OSRRefD22_11x_0" localSheetId="48">'300'!$D$179:$D$181</definedName>
    <definedName name="OSRRefD22_11x_0" localSheetId="49">'300 &amp; 317'!$D$201:$D$203</definedName>
    <definedName name="OSRRefD22_11x_0" localSheetId="50">'301'!$D$63</definedName>
    <definedName name="OSRRefD22_11x_0" localSheetId="53">'307'!$D$92:$D$95</definedName>
    <definedName name="OSRRefD22_11x_0" localSheetId="54">'308'!$D$105:$D$107</definedName>
    <definedName name="OSRRefD22_11x_0" localSheetId="65">'310'!$D$71</definedName>
    <definedName name="OSRRefD22_11x_0" localSheetId="73">'310 &amp; 491'!$D$78</definedName>
    <definedName name="OSRRefD22_11x_0" localSheetId="55">'311'!$D$104:$D$106</definedName>
    <definedName name="OSRRefD22_11x_0" localSheetId="67">'313'!$D$70</definedName>
    <definedName name="OSRRefD22_11x_0" localSheetId="58">'315'!$D$126</definedName>
    <definedName name="OSRRefD22_11x_0" localSheetId="61">'316'!$D$78</definedName>
    <definedName name="OSRRefD22_11x_0" localSheetId="63">'317'!$D$96:$D$99</definedName>
    <definedName name="OSRRefD22_11x_0" localSheetId="68">'321'!$D$70:$D$71</definedName>
    <definedName name="OSRRefD22_11x_0" localSheetId="69">'322'!$D$66</definedName>
    <definedName name="OSRRefD22_11x_0" localSheetId="70">'325'!$D$64:$D$67</definedName>
    <definedName name="OSRRefD22_11x_0" localSheetId="59">'326'!$D$96</definedName>
    <definedName name="OSRRefD22_11x_0" localSheetId="52">'330'!$D$96:$D$99</definedName>
    <definedName name="OSRRefD22_11x_0" localSheetId="57">'331'!$D$128:$D$129</definedName>
    <definedName name="OSRRefD22_11x_0" localSheetId="60">'332'!$D$80</definedName>
    <definedName name="OSRRefD22_11x_0" localSheetId="75">'405'!$D$64:$D$67</definedName>
    <definedName name="OSRRefD22_11x_0" localSheetId="77">'411'!$D$66:$D$67</definedName>
    <definedName name="OSRRefD22_11x_0" localSheetId="78">'412'!$D$65:$D$70</definedName>
    <definedName name="OSRRefD22_11x_0" localSheetId="79">'413'!$D$73:$D$74</definedName>
    <definedName name="OSRRefD22_11x_0" localSheetId="80">'414'!$D$65</definedName>
    <definedName name="OSRRefD22_11x_0" localSheetId="81">'415'!$D$67:$D$69</definedName>
    <definedName name="OSRRefD22_11x_0" localSheetId="82">'418'!$D$67:$D$76</definedName>
    <definedName name="OSRRefD22_11x_0" localSheetId="90">'433'!$D$67:$D$69</definedName>
    <definedName name="OSRRefD22_11x_0" localSheetId="92">'444'!$D$67:$D$70</definedName>
    <definedName name="OSRRefD22_11x_0" localSheetId="93">'450'!$D$63</definedName>
    <definedName name="OSRRefD22_11x_0" localSheetId="74">'491'!$D$71</definedName>
    <definedName name="OSRRefD22_11x_0" localSheetId="88">'492'!$D$67</definedName>
    <definedName name="OSRRefD22_11x_0" localSheetId="95">'501'!$D$66:$D$67</definedName>
    <definedName name="OSRRefD22_11x_0" localSheetId="39">'Div 2'!$D$65:$D$66</definedName>
    <definedName name="OSRRefD22_11x_0" localSheetId="47">'Div 3'!$D$183:$D$185</definedName>
    <definedName name="OSRRefD22_11x_0" localSheetId="72">'Div 4'!$D$74</definedName>
    <definedName name="OSRRefD22_11x_0" localSheetId="94">'Div 5'!$D$66:$D$67</definedName>
    <definedName name="OSRRefD22_11x_0" localSheetId="62">'Div 6'!$D$96:$D$99</definedName>
    <definedName name="OSRRefD22_11x_0" localSheetId="2">Summary!$D$212:$D$214</definedName>
    <definedName name="OSRRefD22_12x_0" localSheetId="41">'201'!$D$66</definedName>
    <definedName name="OSRRefD22_12x_0" localSheetId="42">'202'!$D$67</definedName>
    <definedName name="OSRRefD22_12x_0" localSheetId="43">'203'!$D$69</definedName>
    <definedName name="OSRRefD22_12x_0" localSheetId="44">'204'!$D$67</definedName>
    <definedName name="OSRRefD22_12x_0" localSheetId="48">'300'!$D$183</definedName>
    <definedName name="OSRRefD22_12x_0" localSheetId="49">'300 &amp; 317'!$D$205</definedName>
    <definedName name="OSRRefD22_12x_0" localSheetId="50">'301'!$D$65</definedName>
    <definedName name="OSRRefD22_12x_0" localSheetId="53">'307'!$D$97:$D$98</definedName>
    <definedName name="OSRRefD22_12x_0" localSheetId="54">'308'!$D$109:$D$110</definedName>
    <definedName name="OSRRefD22_12x_0" localSheetId="65">'310'!$D$73</definedName>
    <definedName name="OSRRefD22_12x_0" localSheetId="73">'310 &amp; 491'!$D$80</definedName>
    <definedName name="OSRRefD22_12x_0" localSheetId="55">'311'!$D$108:$D$109</definedName>
    <definedName name="OSRRefD22_12x_0" localSheetId="58">'315'!$D$128:$D$130</definedName>
    <definedName name="OSRRefD22_12x_0" localSheetId="61">'316'!$D$80</definedName>
    <definedName name="OSRRefD22_12x_0" localSheetId="63">'317'!$D$101</definedName>
    <definedName name="OSRRefD22_12x_0" localSheetId="68">'321'!$D$73</definedName>
    <definedName name="OSRRefD22_12x_0" localSheetId="70">'325'!$D$69:$D$71</definedName>
    <definedName name="OSRRefD22_12x_0" localSheetId="59">'326'!$D$98</definedName>
    <definedName name="OSRRefD22_12x_0" localSheetId="52">'330'!$D$101:$D$102</definedName>
    <definedName name="OSRRefD22_12x_0" localSheetId="57">'331'!$D$131</definedName>
    <definedName name="OSRRefD22_12x_0" localSheetId="60">'332'!$D$82</definedName>
    <definedName name="OSRRefD22_12x_0" localSheetId="75">'405'!$D$69</definedName>
    <definedName name="OSRRefD22_12x_0" localSheetId="77">'411'!$D$69:$D$75</definedName>
    <definedName name="OSRRefD22_12x_0" localSheetId="78">'412'!$D$72:$D$73</definedName>
    <definedName name="OSRRefD22_12x_0" localSheetId="79">'413'!$D$76</definedName>
    <definedName name="OSRRefD22_12x_0" localSheetId="80">'414'!$D$67:$D$69</definedName>
    <definedName name="OSRRefD22_12x_0" localSheetId="81">'415'!$D$71:$D$75</definedName>
    <definedName name="OSRRefD22_12x_0" localSheetId="82">'418'!$D$78:$D$79</definedName>
    <definedName name="OSRRefD22_12x_0" localSheetId="90">'433'!$D$71:$D$74</definedName>
    <definedName name="OSRRefD22_12x_0" localSheetId="92">'444'!$D$72:$D$75</definedName>
    <definedName name="OSRRefD22_12x_0" localSheetId="93">'450'!$D$65</definedName>
    <definedName name="OSRRefD22_12x_0" localSheetId="74">'491'!$D$73</definedName>
    <definedName name="OSRRefD22_12x_0" localSheetId="88">'492'!$D$69:$D$72</definedName>
    <definedName name="OSRRefD22_12x_0" localSheetId="95">'501'!$D$69</definedName>
    <definedName name="OSRRefD22_12x_0" localSheetId="39">'Div 2'!$D$68:$D$71</definedName>
    <definedName name="OSRRefD22_12x_0" localSheetId="47">'Div 3'!$D$187</definedName>
    <definedName name="OSRRefD22_12x_0" localSheetId="72">'Div 4'!$D$76</definedName>
    <definedName name="OSRRefD22_12x_0" localSheetId="94">'Div 5'!$D$69</definedName>
    <definedName name="OSRRefD22_12x_0" localSheetId="62">'Div 6'!$D$101</definedName>
    <definedName name="OSRRefD22_12x_0" localSheetId="2">Summary!$D$216</definedName>
    <definedName name="OSRRefD22_13x_0" localSheetId="41">'201'!$D$68:$D$70</definedName>
    <definedName name="OSRRefD22_13x_0" localSheetId="43">'203'!$D$71</definedName>
    <definedName name="OSRRefD22_13x_0" localSheetId="48">'300'!$D$185:$D$186</definedName>
    <definedName name="OSRRefD22_13x_0" localSheetId="49">'300 &amp; 317'!$D$207:$D$208</definedName>
    <definedName name="OSRRefD22_13x_0" localSheetId="50">'301'!$D$67</definedName>
    <definedName name="OSRRefD22_13x_0" localSheetId="53">'307'!$D$100</definedName>
    <definedName name="OSRRefD22_13x_0" localSheetId="54">'308'!$D$112</definedName>
    <definedName name="OSRRefD22_13x_0" localSheetId="65">'310'!$D$75:$D$78</definedName>
    <definedName name="OSRRefD22_13x_0" localSheetId="73">'310 &amp; 491'!$D$82</definedName>
    <definedName name="OSRRefD22_13x_0" localSheetId="55">'311'!$D$111</definedName>
    <definedName name="OSRRefD22_13x_0" localSheetId="58">'315'!$D$132:$D$133</definedName>
    <definedName name="OSRRefD22_13x_0" localSheetId="63">'317'!$D$103</definedName>
    <definedName name="OSRRefD22_13x_0" localSheetId="68">'321'!$D$75</definedName>
    <definedName name="OSRRefD22_13x_0" localSheetId="70">'325'!$D$73</definedName>
    <definedName name="OSRRefD22_13x_0" localSheetId="59">'326'!$D$100:$D$102</definedName>
    <definedName name="OSRRefD22_13x_0" localSheetId="52">'330'!$D$104</definedName>
    <definedName name="OSRRefD22_13x_0" localSheetId="57">'331'!$D$133</definedName>
    <definedName name="OSRRefD22_13x_0" localSheetId="75">'405'!$D$71:$D$79</definedName>
    <definedName name="OSRRefD22_13x_0" localSheetId="77">'411'!$D$77</definedName>
    <definedName name="OSRRefD22_13x_0" localSheetId="78">'412'!$D$75</definedName>
    <definedName name="OSRRefD22_13x_0" localSheetId="80">'414'!$D$71</definedName>
    <definedName name="OSRRefD22_13x_0" localSheetId="81">'415'!$D$77</definedName>
    <definedName name="OSRRefD22_13x_0" localSheetId="82">'418'!$D$81</definedName>
    <definedName name="OSRRefD22_13x_0" localSheetId="90">'433'!$D$76:$D$83</definedName>
    <definedName name="OSRRefD22_13x_0" localSheetId="92">'444'!$D$77</definedName>
    <definedName name="OSRRefD22_13x_0" localSheetId="93">'450'!$D$67:$D$69</definedName>
    <definedName name="OSRRefD22_13x_0" localSheetId="74">'491'!$D$75</definedName>
    <definedName name="OSRRefD22_13x_0" localSheetId="88">'492'!$D$74:$D$77</definedName>
    <definedName name="OSRRefD22_13x_0" localSheetId="95">'501'!$D$71</definedName>
    <definedName name="OSRRefD22_13x_0" localSheetId="39">'Div 2'!$D$73:$D$76</definedName>
    <definedName name="OSRRefD22_13x_0" localSheetId="47">'Div 3'!$D$189</definedName>
    <definedName name="OSRRefD22_13x_0" localSheetId="72">'Div 4'!$D$78</definedName>
    <definedName name="OSRRefD22_13x_0" localSheetId="94">'Div 5'!$D$71</definedName>
    <definedName name="OSRRefD22_13x_0" localSheetId="62">'Div 6'!$D$103</definedName>
    <definedName name="OSRRefD22_13x_0" localSheetId="2">Summary!$D$218</definedName>
    <definedName name="OSRRefD22_14x_0" localSheetId="41">'201'!$D$72</definedName>
    <definedName name="OSRRefD22_14x_0" localSheetId="43">'203'!$D$73</definedName>
    <definedName name="OSRRefD22_14x_0" localSheetId="48">'300'!$D$188</definedName>
    <definedName name="OSRRefD22_14x_0" localSheetId="49">'300 &amp; 317'!$D$210</definedName>
    <definedName name="OSRRefD22_14x_0" localSheetId="50">'301'!$D$69</definedName>
    <definedName name="OSRRefD22_14x_0" localSheetId="54">'308'!$D$114</definedName>
    <definedName name="OSRRefD22_14x_0" localSheetId="65">'310'!$D$80:$D$81</definedName>
    <definedName name="OSRRefD22_14x_0" localSheetId="73">'310 &amp; 491'!$D$84:$D$87</definedName>
    <definedName name="OSRRefD22_14x_0" localSheetId="55">'311'!$D$113</definedName>
    <definedName name="OSRRefD22_14x_0" localSheetId="58">'315'!$D$135:$D$141</definedName>
    <definedName name="OSRRefD22_14x_0" localSheetId="70">'325'!$D$75:$D$79</definedName>
    <definedName name="OSRRefD22_14x_0" localSheetId="59">'326'!$D$104:$D$106</definedName>
    <definedName name="OSRRefD22_14x_0" localSheetId="57">'331'!$D$135:$D$137</definedName>
    <definedName name="OSRRefD22_14x_0" localSheetId="75">'405'!$D$81</definedName>
    <definedName name="OSRRefD22_14x_0" localSheetId="77">'411'!$D$79</definedName>
    <definedName name="OSRRefD22_14x_0" localSheetId="80">'414'!$D$73</definedName>
    <definedName name="OSRRefD22_14x_0" localSheetId="81">'415'!$D$79:$D$86</definedName>
    <definedName name="OSRRefD22_14x_0" localSheetId="90">'433'!$D$85</definedName>
    <definedName name="OSRRefD22_14x_0" localSheetId="92">'444'!$D$79:$D$87</definedName>
    <definedName name="OSRRefD22_14x_0" localSheetId="93">'450'!$D$71:$D$77</definedName>
    <definedName name="OSRRefD22_14x_0" localSheetId="74">'491'!$D$77:$D$80</definedName>
    <definedName name="OSRRefD22_14x_0" localSheetId="88">'492'!$D$79</definedName>
    <definedName name="OSRRefD22_14x_0" localSheetId="39">'Div 2'!$D$78:$D$79</definedName>
    <definedName name="OSRRefD22_14x_0" localSheetId="47">'Div 3'!$D$191:$D$192</definedName>
    <definedName name="OSRRefD22_14x_0" localSheetId="72">'Div 4'!$D$80</definedName>
    <definedName name="OSRRefD22_14x_0" localSheetId="2">Summary!$D$220:$D$221</definedName>
    <definedName name="OSRRefD22_15x_0" localSheetId="41">'201'!$D$74</definedName>
    <definedName name="OSRRefD22_15x_0" localSheetId="48">'300'!$D$190</definedName>
    <definedName name="OSRRefD22_15x_0" localSheetId="49">'300 &amp; 317'!$D$212</definedName>
    <definedName name="OSRRefD22_15x_0" localSheetId="50">'301'!$D$71:$D$74</definedName>
    <definedName name="OSRRefD22_15x_0" localSheetId="65">'310'!$D$83:$D$86</definedName>
    <definedName name="OSRRefD22_15x_0" localSheetId="73">'310 &amp; 491'!$D$89:$D$90</definedName>
    <definedName name="OSRRefD22_15x_0" localSheetId="58">'315'!$D$143</definedName>
    <definedName name="OSRRefD22_15x_0" localSheetId="70">'325'!$D$81:$D$82</definedName>
    <definedName name="OSRRefD22_15x_0" localSheetId="59">'326'!$D$108:$D$109</definedName>
    <definedName name="OSRRefD22_15x_0" localSheetId="57">'331'!$D$139:$D$141</definedName>
    <definedName name="OSRRefD22_15x_0" localSheetId="75">'405'!$D$83</definedName>
    <definedName name="OSRRefD22_15x_0" localSheetId="77">'411'!$D$81</definedName>
    <definedName name="OSRRefD22_15x_0" localSheetId="80">'414'!$D$75</definedName>
    <definedName name="OSRRefD22_15x_0" localSheetId="81">'415'!$D$88:$D$89</definedName>
    <definedName name="OSRRefD22_15x_0" localSheetId="90">'433'!$D$87</definedName>
    <definedName name="OSRRefD22_15x_0" localSheetId="92">'444'!$D$89:$D$90</definedName>
    <definedName name="OSRRefD22_15x_0" localSheetId="93">'450'!$D$79:$D$80</definedName>
    <definedName name="OSRRefD22_15x_0" localSheetId="74">'491'!$D$82:$D$83</definedName>
    <definedName name="OSRRefD22_15x_0" localSheetId="88">'492'!$D$81:$D$90</definedName>
    <definedName name="OSRRefD22_15x_0" localSheetId="39">'Div 2'!$D$81:$D$82</definedName>
    <definedName name="OSRRefD22_15x_0" localSheetId="47">'Div 3'!$D$194</definedName>
    <definedName name="OSRRefD22_15x_0" localSheetId="72">'Div 4'!$D$82:$D$85</definedName>
    <definedName name="OSRRefD22_15x_0" localSheetId="2">Summary!$D$223</definedName>
    <definedName name="OSRRefD22_16x_0" localSheetId="41">'201'!$D$76</definedName>
    <definedName name="OSRRefD22_16x_0" localSheetId="48">'300'!$D$192:$D$195</definedName>
    <definedName name="OSRRefD22_16x_0" localSheetId="49">'300 &amp; 317'!$D$214:$D$217</definedName>
    <definedName name="OSRRefD22_16x_0" localSheetId="50">'301'!$D$76:$D$78</definedName>
    <definedName name="OSRRefD22_16x_0" localSheetId="65">'310'!$D$88</definedName>
    <definedName name="OSRRefD22_16x_0" localSheetId="73">'310 &amp; 491'!$D$92:$D$96</definedName>
    <definedName name="OSRRefD22_16x_0" localSheetId="58">'315'!$D$145</definedName>
    <definedName name="OSRRefD22_16x_0" localSheetId="70">'325'!$D$84</definedName>
    <definedName name="OSRRefD22_16x_0" localSheetId="59">'326'!$D$111:$D$116</definedName>
    <definedName name="OSRRefD22_16x_0" localSheetId="57">'331'!$D$143:$D$145</definedName>
    <definedName name="OSRRefD22_16x_0" localSheetId="75">'405'!$D$85</definedName>
    <definedName name="OSRRefD22_16x_0" localSheetId="77">'411'!$D$83</definedName>
    <definedName name="OSRRefD22_16x_0" localSheetId="81">'415'!$D$91</definedName>
    <definedName name="OSRRefD22_16x_0" localSheetId="92">'444'!$D$92</definedName>
    <definedName name="OSRRefD22_16x_0" localSheetId="93">'450'!$D$82</definedName>
    <definedName name="OSRRefD22_16x_0" localSheetId="74">'491'!$D$85:$D$89</definedName>
    <definedName name="OSRRefD22_16x_0" localSheetId="88">'492'!$D$92:$D$93</definedName>
    <definedName name="OSRRefD22_16x_0" localSheetId="39">'Div 2'!$D$84:$D$89</definedName>
    <definedName name="OSRRefD22_16x_0" localSheetId="47">'Div 3'!$D$196</definedName>
    <definedName name="OSRRefD22_16x_0" localSheetId="72">'Div 4'!$D$87:$D$88</definedName>
    <definedName name="OSRRefD22_16x_0" localSheetId="2">Summary!$D$225</definedName>
    <definedName name="OSRRefD22_17x_0" localSheetId="48">'300'!$D$197:$D$200</definedName>
    <definedName name="OSRRefD22_17x_0" localSheetId="49">'300 &amp; 317'!$D$219:$D$222</definedName>
    <definedName name="OSRRefD22_17x_0" localSheetId="50">'301'!$D$80:$D$81</definedName>
    <definedName name="OSRRefD22_17x_0" localSheetId="65">'310'!$D$90:$D$96</definedName>
    <definedName name="OSRRefD22_17x_0" localSheetId="73">'310 &amp; 491'!$D$98:$D$99</definedName>
    <definedName name="OSRRefD22_17x_0" localSheetId="58">'315'!$D$147:$D$148</definedName>
    <definedName name="OSRRefD22_17x_0" localSheetId="70">'325'!$D$86</definedName>
    <definedName name="OSRRefD22_17x_0" localSheetId="59">'326'!$D$118:$D$119</definedName>
    <definedName name="OSRRefD22_17x_0" localSheetId="57">'331'!$D$147:$D$148</definedName>
    <definedName name="OSRRefD22_17x_0" localSheetId="75">'405'!$D$87</definedName>
    <definedName name="OSRRefD22_17x_0" localSheetId="81">'415'!$D$93:$D$94</definedName>
    <definedName name="OSRRefD22_17x_0" localSheetId="92">'444'!$D$94</definedName>
    <definedName name="OSRRefD22_17x_0" localSheetId="74">'491'!$D$91:$D$92</definedName>
    <definedName name="OSRRefD22_17x_0" localSheetId="88">'492'!$D$95</definedName>
    <definedName name="OSRRefD22_17x_0" localSheetId="39">'Div 2'!$D$91:$D$92</definedName>
    <definedName name="OSRRefD22_17x_0" localSheetId="47">'Div 3'!$D$198:$D$201</definedName>
    <definedName name="OSRRefD22_17x_0" localSheetId="72">'Div 4'!$D$90:$D$94</definedName>
    <definedName name="OSRRefD22_17x_0" localSheetId="2">Summary!$D$227</definedName>
    <definedName name="OSRRefD22_18x_0" localSheetId="48">'300'!$D$202:$D$205</definedName>
    <definedName name="OSRRefD22_18x_0" localSheetId="49">'300 &amp; 317'!$D$224:$D$227</definedName>
    <definedName name="OSRRefD22_18x_0" localSheetId="50">'301'!$D$83:$D$89</definedName>
    <definedName name="OSRRefD22_18x_0" localSheetId="65">'310'!$D$98:$D$99</definedName>
    <definedName name="OSRRefD22_18x_0" localSheetId="73">'310 &amp; 491'!$D$101:$D$111</definedName>
    <definedName name="OSRRefD22_18x_0" localSheetId="59">'326'!$D$121</definedName>
    <definedName name="OSRRefD22_18x_0" localSheetId="57">'331'!$D$150:$D$157</definedName>
    <definedName name="OSRRefD22_18x_0" localSheetId="81">'415'!$D$96</definedName>
    <definedName name="OSRRefD22_18x_0" localSheetId="74">'491'!$D$94:$D$104</definedName>
    <definedName name="OSRRefD22_18x_0" localSheetId="88">'492'!$D$97:$D$98</definedName>
    <definedName name="OSRRefD22_18x_0" localSheetId="39">'Div 2'!$D$94</definedName>
    <definedName name="OSRRefD22_18x_0" localSheetId="47">'Div 3'!$D$203:$D$206</definedName>
    <definedName name="OSRRefD22_18x_0" localSheetId="72">'Div 4'!$D$96:$D$97</definedName>
    <definedName name="OSRRefD22_18x_0" localSheetId="2">Summary!$D$229:$D$232</definedName>
    <definedName name="OSRRefD22_19x_0" localSheetId="48">'300'!$D$207:$D$208</definedName>
    <definedName name="OSRRefD22_19x_0" localSheetId="49">'300 &amp; 317'!$D$229:$D$230</definedName>
    <definedName name="OSRRefD22_19x_0" localSheetId="50">'301'!$D$91</definedName>
    <definedName name="OSRRefD22_19x_0" localSheetId="65">'310'!$D$101</definedName>
    <definedName name="OSRRefD22_19x_0" localSheetId="73">'310 &amp; 491'!$D$113:$D$114</definedName>
    <definedName name="OSRRefD22_19x_0" localSheetId="59">'326'!$D$123:$D$124</definedName>
    <definedName name="OSRRefD22_19x_0" localSheetId="57">'331'!$D$159:$D$160</definedName>
    <definedName name="OSRRefD22_19x_0" localSheetId="74">'491'!$D$106:$D$107</definedName>
    <definedName name="OSRRefD22_19x_0" localSheetId="39">'Div 2'!$D$96:$D$97</definedName>
    <definedName name="OSRRefD22_19x_0" localSheetId="47">'Div 3'!$D$208:$D$212</definedName>
    <definedName name="OSRRefD22_19x_0" localSheetId="72">'Div 4'!$D$99:$D$109</definedName>
    <definedName name="OSRRefD22_19x_0" localSheetId="2">Summary!$D$234:$D$237</definedName>
    <definedName name="OSRRefD22_1x_0" localSheetId="40">'200'!$D$23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'300'!$D$145:$D$154</definedName>
    <definedName name="OSRRefD22_1x_0" localSheetId="49">'300 &amp; 317'!$D$167:$D$176</definedName>
    <definedName name="OSRRefD22_1x_0" localSheetId="50">'301'!$D$32:$D$41</definedName>
    <definedName name="OSRRefD22_1x_0" localSheetId="51">'306'!$D$30:$D$39</definedName>
    <definedName name="OSRRefD22_1x_0" localSheetId="53">'307'!$D$60:$D$69</definedName>
    <definedName name="OSRRefD22_1x_0" localSheetId="54">'308'!$D$70:$D$79</definedName>
    <definedName name="OSRRefD22_1x_0" localSheetId="66">'309'!$D$32:$D$41</definedName>
    <definedName name="OSRRefD22_1x_0" localSheetId="65">'310'!$D$41:$D$50</definedName>
    <definedName name="OSRRefD22_1x_0" localSheetId="73">'310 &amp; 491'!$D$46:$D$55</definedName>
    <definedName name="OSRRefD22_1x_0" localSheetId="55">'311'!$D$69:$D$78</definedName>
    <definedName name="OSRRefD22_1x_0" localSheetId="67">'313'!$D$37:$D$46</definedName>
    <definedName name="OSRRefD22_1x_0" localSheetId="58">'315'!$D$94:$D$103</definedName>
    <definedName name="OSRRefD22_1x_0" localSheetId="61">'316'!$D$42:$D$51</definedName>
    <definedName name="OSRRefD22_1x_0" localSheetId="63">'317'!$D$65:$D$74</definedName>
    <definedName name="OSRRefD22_1x_0" localSheetId="64">'320'!$D$25</definedName>
    <definedName name="OSRRefD22_1x_0" localSheetId="68">'321'!$D$36:$D$45</definedName>
    <definedName name="OSRRefD22_1x_0" localSheetId="69">'322'!$D$32:$D$41</definedName>
    <definedName name="OSRRefD22_1x_0" localSheetId="56">'324'!$D$36:$D$45</definedName>
    <definedName name="OSRRefD22_1x_0" localSheetId="70">'325'!$D$34:$D$43</definedName>
    <definedName name="OSRRefD22_1x_0" localSheetId="59">'326'!$D$66:$D$75</definedName>
    <definedName name="OSRRefD22_1x_0" localSheetId="71">'327'!$D$27</definedName>
    <definedName name="OSRRefD22_1x_0" localSheetId="52">'330'!$D$64:$D$73</definedName>
    <definedName name="OSRRefD22_1x_0" localSheetId="57">'331'!$D$96:$D$105</definedName>
    <definedName name="OSRRefD22_1x_0" localSheetId="60">'332'!$D$44:$D$53</definedName>
    <definedName name="OSRRefD22_1x_0" localSheetId="75">'405'!$D$33:$D$42</definedName>
    <definedName name="OSRRefD22_1x_0" localSheetId="76">'406'!$D$22</definedName>
    <definedName name="OSRRefD22_1x_0" localSheetId="77">'411'!$D$30:$D$39</definedName>
    <definedName name="OSRRefD22_1x_0" localSheetId="78">'412'!$D$31:$D$40</definedName>
    <definedName name="OSRRefD22_1x_0" localSheetId="79">'413'!$D$33:$D$42</definedName>
    <definedName name="OSRRefD22_1x_0" localSheetId="80">'414'!$D$35:$D$44</definedName>
    <definedName name="OSRRefD22_1x_0" localSheetId="81">'415'!$D$37:$D$46</definedName>
    <definedName name="OSRRefD22_1x_0" localSheetId="82">'418'!$D$33:$D$42</definedName>
    <definedName name="OSRRefD22_1x_0" localSheetId="83">'420'!$D$24</definedName>
    <definedName name="OSRRefD22_1x_0" localSheetId="84">'423'!$D$29:$D$38</definedName>
    <definedName name="OSRRefD22_1x_0" localSheetId="85">'424'!$D$22</definedName>
    <definedName name="OSRRefD22_1x_0" localSheetId="87">'425'!$D$27</definedName>
    <definedName name="OSRRefD22_1x_0" localSheetId="89">'430'!$D$30:$D$39</definedName>
    <definedName name="OSRRefD22_1x_0" localSheetId="90">'433'!$D$38:$D$47</definedName>
    <definedName name="OSRRefD22_1x_0" localSheetId="92">'444'!$D$38:$D$47</definedName>
    <definedName name="OSRRefD22_1x_0" localSheetId="93">'450'!$D$34:$D$43</definedName>
    <definedName name="OSRRefD22_1x_0" localSheetId="74">'491'!$D$40:$D$49</definedName>
    <definedName name="OSRRefD22_1x_0" localSheetId="88">'492'!$D$38:$D$47</definedName>
    <definedName name="OSRRefD22_1x_0" localSheetId="95">'501'!$D$33:$D$42</definedName>
    <definedName name="OSRRefD22_1x_0" localSheetId="39">'Div 2'!$D$33:$D$42</definedName>
    <definedName name="OSRRefD22_1x_0" localSheetId="47">'Div 3'!$D$149:$D$158</definedName>
    <definedName name="OSRRefD22_1x_0" localSheetId="72">'Div 4'!$D$43:$D$52</definedName>
    <definedName name="OSRRefD22_1x_0" localSheetId="94">'Div 5'!$D$33:$D$42</definedName>
    <definedName name="OSRRefD22_1x_0" localSheetId="62">'Div 6'!$D$65:$D$74</definedName>
    <definedName name="OSRRefD22_1x_0" localSheetId="2">Summary!$D$177:$D$186</definedName>
    <definedName name="OSRRefD22_20x_0" localSheetId="48">'300'!$D$210:$D$218</definedName>
    <definedName name="OSRRefD22_20x_0" localSheetId="49">'300 &amp; 317'!$D$232:$D$240</definedName>
    <definedName name="OSRRefD22_20x_0" localSheetId="50">'301'!$D$93</definedName>
    <definedName name="OSRRefD22_20x_0" localSheetId="65">'310'!$D$103</definedName>
    <definedName name="OSRRefD22_20x_0" localSheetId="73">'310 &amp; 491'!$D$116</definedName>
    <definedName name="OSRRefD22_20x_0" localSheetId="59">'326'!$D$126</definedName>
    <definedName name="OSRRefD22_20x_0" localSheetId="57">'331'!$D$162</definedName>
    <definedName name="OSRRefD22_20x_0" localSheetId="74">'491'!$D$109</definedName>
    <definedName name="OSRRefD22_20x_0" localSheetId="47">'Div 3'!$D$214:$D$215</definedName>
    <definedName name="OSRRefD22_20x_0" localSheetId="72">'Div 4'!$D$111:$D$112</definedName>
    <definedName name="OSRRefD22_20x_0" localSheetId="2">Summary!$D$239:$D$243</definedName>
    <definedName name="OSRRefD22_21x_0" localSheetId="48">'300'!$D$220:$D$221</definedName>
    <definedName name="OSRRefD22_21x_0" localSheetId="49">'300 &amp; 317'!$D$242:$D$243</definedName>
    <definedName name="OSRRefD22_21x_0" localSheetId="50">'301'!$D$95:$D$97</definedName>
    <definedName name="OSRRefD22_21x_0" localSheetId="65">'310'!$D$105</definedName>
    <definedName name="OSRRefD22_21x_0" localSheetId="73">'310 &amp; 491'!$D$118:$D$120</definedName>
    <definedName name="OSRRefD22_21x_0" localSheetId="57">'331'!$D$164:$D$165</definedName>
    <definedName name="OSRRefD22_21x_0" localSheetId="74">'491'!$D$111:$D$113</definedName>
    <definedName name="OSRRefD22_21x_0" localSheetId="47">'Div 3'!$D$217:$D$225</definedName>
    <definedName name="OSRRefD22_21x_0" localSheetId="72">'Div 4'!$D$114</definedName>
    <definedName name="OSRRefD22_21x_0" localSheetId="2">Summary!$D$245:$D$246</definedName>
    <definedName name="OSRRefD22_22x_0" localSheetId="48">'300'!$D$223</definedName>
    <definedName name="OSRRefD22_22x_0" localSheetId="49">'300 &amp; 317'!$D$245</definedName>
    <definedName name="OSRRefD22_22x_0" localSheetId="50">'301'!$D$99</definedName>
    <definedName name="OSRRefD22_22x_0" localSheetId="73">'310 &amp; 491'!$D$122</definedName>
    <definedName name="OSRRefD22_22x_0" localSheetId="57">'331'!$D$167</definedName>
    <definedName name="OSRRefD22_22x_0" localSheetId="74">'491'!$D$115</definedName>
    <definedName name="OSRRefD22_22x_0" localSheetId="47">'Div 3'!$D$227:$D$228</definedName>
    <definedName name="OSRRefD22_22x_0" localSheetId="72">'Div 4'!$D$116:$D$118</definedName>
    <definedName name="OSRRefD22_22x_0" localSheetId="2">Summary!$D$248:$D$258</definedName>
    <definedName name="OSRRefD22_23x_0" localSheetId="48">'300'!$D$225:$D$227</definedName>
    <definedName name="OSRRefD22_23x_0" localSheetId="49">'300 &amp; 317'!$D$247:$D$249</definedName>
    <definedName name="OSRRefD22_23x_0" localSheetId="47">'Div 3'!$D$230</definedName>
    <definedName name="OSRRefD22_23x_0" localSheetId="72">'Div 4'!$D$120</definedName>
    <definedName name="OSRRefD22_23x_0" localSheetId="2">Summary!$D$260:$D$261</definedName>
    <definedName name="OSRRefD22_24x_0" localSheetId="48">'300'!$D$229</definedName>
    <definedName name="OSRRefD22_24x_0" localSheetId="49">'300 &amp; 317'!$D$251</definedName>
    <definedName name="OSRRefD22_24x_0" localSheetId="47">'Div 3'!$D$232:$D$234</definedName>
    <definedName name="OSRRefD22_24x_0" localSheetId="2">Summary!$D$263</definedName>
    <definedName name="OSRRefD22_25x_0" localSheetId="47">'Div 3'!$D$236</definedName>
    <definedName name="OSRRefD22_25x_0" localSheetId="2">Summary!$D$265:$D$267</definedName>
    <definedName name="OSRRefD22_26x_0" localSheetId="2">Summary!$D$269</definedName>
    <definedName name="OSRRefD22_2x_0" localSheetId="40">'200'!$D$25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'300'!$D$156</definedName>
    <definedName name="OSRRefD22_2x_0" localSheetId="49">'300 &amp; 317'!$D$178</definedName>
    <definedName name="OSRRefD22_2x_0" localSheetId="50">'301'!$D$43</definedName>
    <definedName name="OSRRefD22_2x_0" localSheetId="51">'306'!$D$41</definedName>
    <definedName name="OSRRefD22_2x_0" localSheetId="53">'307'!$D$71</definedName>
    <definedName name="OSRRefD22_2x_0" localSheetId="54">'308'!$D$81</definedName>
    <definedName name="OSRRefD22_2x_0" localSheetId="66">'309'!$D$43</definedName>
    <definedName name="OSRRefD22_2x_0" localSheetId="65">'310'!$D$52</definedName>
    <definedName name="OSRRefD22_2x_0" localSheetId="73">'310 &amp; 491'!$D$57</definedName>
    <definedName name="OSRRefD22_2x_0" localSheetId="55">'311'!$D$80</definedName>
    <definedName name="OSRRefD22_2x_0" localSheetId="67">'313'!$D$48</definedName>
    <definedName name="OSRRefD22_2x_0" localSheetId="58">'315'!$D$105</definedName>
    <definedName name="OSRRefD22_2x_0" localSheetId="61">'316'!$D$53</definedName>
    <definedName name="OSRRefD22_2x_0" localSheetId="63">'317'!$D$76</definedName>
    <definedName name="OSRRefD22_2x_0" localSheetId="64">'320'!$D$27</definedName>
    <definedName name="OSRRefD22_2x_0" localSheetId="68">'321'!$D$47</definedName>
    <definedName name="OSRRefD22_2x_0" localSheetId="69">'322'!$D$43</definedName>
    <definedName name="OSRRefD22_2x_0" localSheetId="70">'325'!$D$45</definedName>
    <definedName name="OSRRefD22_2x_0" localSheetId="59">'326'!$D$77</definedName>
    <definedName name="OSRRefD22_2x_0" localSheetId="52">'330'!$D$75</definedName>
    <definedName name="OSRRefD22_2x_0" localSheetId="57">'331'!$D$107</definedName>
    <definedName name="OSRRefD22_2x_0" localSheetId="60">'332'!$D$55</definedName>
    <definedName name="OSRRefD22_2x_0" localSheetId="75">'405'!$D$44</definedName>
    <definedName name="OSRRefD22_2x_0" localSheetId="76">'406'!$D$24</definedName>
    <definedName name="OSRRefD22_2x_0" localSheetId="77">'411'!$D$41</definedName>
    <definedName name="OSRRefD22_2x_0" localSheetId="78">'412'!$D$42</definedName>
    <definedName name="OSRRefD22_2x_0" localSheetId="79">'413'!$D$44</definedName>
    <definedName name="OSRRefD22_2x_0" localSheetId="80">'414'!$D$46</definedName>
    <definedName name="OSRRefD22_2x_0" localSheetId="81">'415'!$D$48</definedName>
    <definedName name="OSRRefD22_2x_0" localSheetId="82">'418'!$D$44</definedName>
    <definedName name="OSRRefD22_2x_0" localSheetId="84">'423'!$D$40</definedName>
    <definedName name="OSRRefD22_2x_0" localSheetId="85">'424'!$D$24</definedName>
    <definedName name="OSRRefD22_2x_0" localSheetId="87">'425'!$D$29</definedName>
    <definedName name="OSRRefD22_2x_0" localSheetId="89">'430'!$D$41</definedName>
    <definedName name="OSRRefD22_2x_0" localSheetId="90">'433'!$D$49</definedName>
    <definedName name="OSRRefD22_2x_0" localSheetId="92">'444'!$D$49</definedName>
    <definedName name="OSRRefD22_2x_0" localSheetId="93">'450'!$D$45</definedName>
    <definedName name="OSRRefD22_2x_0" localSheetId="74">'491'!$D$51</definedName>
    <definedName name="OSRRefD22_2x_0" localSheetId="88">'492'!$D$49</definedName>
    <definedName name="OSRRefD22_2x_0" localSheetId="95">'501'!$D$44</definedName>
    <definedName name="OSRRefD22_2x_0" localSheetId="39">'Div 2'!$D$44</definedName>
    <definedName name="OSRRefD22_2x_0" localSheetId="47">'Div 3'!$D$160</definedName>
    <definedName name="OSRRefD22_2x_0" localSheetId="72">'Div 4'!$D$54</definedName>
    <definedName name="OSRRefD22_2x_0" localSheetId="94">'Div 5'!$D$44</definedName>
    <definedName name="OSRRefD22_2x_0" localSheetId="62">'Div 6'!$D$76</definedName>
    <definedName name="OSRRefD22_2x_0" localSheetId="2">Summary!$D$188</definedName>
    <definedName name="OSRRefD22_3x_0" localSheetId="40">'200'!$D$27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'300'!$D$158:$D$159</definedName>
    <definedName name="OSRRefD22_3x_0" localSheetId="49">'300 &amp; 317'!$D$180:$D$181</definedName>
    <definedName name="OSRRefD22_3x_0" localSheetId="50">'301'!$D$45:$D$46</definedName>
    <definedName name="OSRRefD22_3x_0" localSheetId="51">'306'!$D$43</definedName>
    <definedName name="OSRRefD22_3x_0" localSheetId="53">'307'!$D$73</definedName>
    <definedName name="OSRRefD22_3x_0" localSheetId="54">'308'!$D$83:$D$84</definedName>
    <definedName name="OSRRefD22_3x_0" localSheetId="66">'309'!$D$45</definedName>
    <definedName name="OSRRefD22_3x_0" localSheetId="65">'310'!$D$54</definedName>
    <definedName name="OSRRefD22_3x_0" localSheetId="73">'310 &amp; 491'!$D$59</definedName>
    <definedName name="OSRRefD22_3x_0" localSheetId="55">'311'!$D$82:$D$83</definedName>
    <definedName name="OSRRefD22_3x_0" localSheetId="67">'313'!$D$50</definedName>
    <definedName name="OSRRefD22_3x_0" localSheetId="58">'315'!$D$107</definedName>
    <definedName name="OSRRefD22_3x_0" localSheetId="61">'316'!$D$55</definedName>
    <definedName name="OSRRefD22_3x_0" localSheetId="63">'317'!$D$78</definedName>
    <definedName name="OSRRefD22_3x_0" localSheetId="68">'321'!$D$49</definedName>
    <definedName name="OSRRefD22_3x_0" localSheetId="69">'322'!$D$45</definedName>
    <definedName name="OSRRefD22_3x_0" localSheetId="70">'325'!$D$47</definedName>
    <definedName name="OSRRefD22_3x_0" localSheetId="59">'326'!$D$79</definedName>
    <definedName name="OSRRefD22_3x_0" localSheetId="52">'330'!$D$77</definedName>
    <definedName name="OSRRefD22_3x_0" localSheetId="57">'331'!$D$109</definedName>
    <definedName name="OSRRefD22_3x_0" localSheetId="60">'332'!$D$57</definedName>
    <definedName name="OSRRefD22_3x_0" localSheetId="75">'405'!$D$46</definedName>
    <definedName name="OSRRefD22_3x_0" localSheetId="76">'406'!$D$26</definedName>
    <definedName name="OSRRefD22_3x_0" localSheetId="77">'411'!$D$43</definedName>
    <definedName name="OSRRefD22_3x_0" localSheetId="78">'412'!$D$44</definedName>
    <definedName name="OSRRefD22_3x_0" localSheetId="79">'413'!$D$46</definedName>
    <definedName name="OSRRefD22_3x_0" localSheetId="80">'414'!$D$48</definedName>
    <definedName name="OSRRefD22_3x_0" localSheetId="81">'415'!$D$50</definedName>
    <definedName name="OSRRefD22_3x_0" localSheetId="82">'418'!$D$46</definedName>
    <definedName name="OSRRefD22_3x_0" localSheetId="84">'423'!$D$42</definedName>
    <definedName name="OSRRefD22_3x_0" localSheetId="85">'424'!$D$26</definedName>
    <definedName name="OSRRefD22_3x_0" localSheetId="87">'425'!$D$31</definedName>
    <definedName name="OSRRefD22_3x_0" localSheetId="89">'430'!$D$43</definedName>
    <definedName name="OSRRefD22_3x_0" localSheetId="90">'433'!$D$51</definedName>
    <definedName name="OSRRefD22_3x_0" localSheetId="92">'444'!$D$51</definedName>
    <definedName name="OSRRefD22_3x_0" localSheetId="93">'450'!$D$47</definedName>
    <definedName name="OSRRefD22_3x_0" localSheetId="74">'491'!$D$53</definedName>
    <definedName name="OSRRefD22_3x_0" localSheetId="88">'492'!$D$51</definedName>
    <definedName name="OSRRefD22_3x_0" localSheetId="95">'501'!$D$46</definedName>
    <definedName name="OSRRefD22_3x_0" localSheetId="39">'Div 2'!$D$46</definedName>
    <definedName name="OSRRefD22_3x_0" localSheetId="47">'Div 3'!$D$162:$D$163</definedName>
    <definedName name="OSRRefD22_3x_0" localSheetId="72">'Div 4'!$D$56</definedName>
    <definedName name="OSRRefD22_3x_0" localSheetId="94">'Div 5'!$D$46</definedName>
    <definedName name="OSRRefD22_3x_0" localSheetId="62">'Div 6'!$D$78</definedName>
    <definedName name="OSRRefD22_3x_0" localSheetId="2">Summary!$D$190:$D$191</definedName>
    <definedName name="OSRRefD22_4x_0" localSheetId="40">'200'!$D$29:$D$30</definedName>
    <definedName name="OSRRefD22_4x_0" localSheetId="41">'201'!$D$46:$D$47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'205'!$D$45:$D$47</definedName>
    <definedName name="OSRRefD22_4x_0" localSheetId="46">'206'!$D$45</definedName>
    <definedName name="OSRRefD22_4x_0" localSheetId="48">'300'!$D$161</definedName>
    <definedName name="OSRRefD22_4x_0" localSheetId="49">'300 &amp; 317'!$D$183</definedName>
    <definedName name="OSRRefD22_4x_0" localSheetId="50">'301'!$D$48</definedName>
    <definedName name="OSRRefD22_4x_0" localSheetId="51">'306'!$D$45</definedName>
    <definedName name="OSRRefD22_4x_0" localSheetId="53">'307'!$D$75</definedName>
    <definedName name="OSRRefD22_4x_0" localSheetId="54">'308'!$D$86</definedName>
    <definedName name="OSRRefD22_4x_0" localSheetId="66">'309'!$D$47</definedName>
    <definedName name="OSRRefD22_4x_0" localSheetId="65">'310'!$D$56</definedName>
    <definedName name="OSRRefD22_4x_0" localSheetId="73">'310 &amp; 491'!$D$61</definedName>
    <definedName name="OSRRefD22_4x_0" localSheetId="55">'311'!$D$85</definedName>
    <definedName name="OSRRefD22_4x_0" localSheetId="67">'313'!$D$52</definedName>
    <definedName name="OSRRefD22_4x_0" localSheetId="58">'315'!$D$109</definedName>
    <definedName name="OSRRefD22_4x_0" localSheetId="61">'316'!$D$57</definedName>
    <definedName name="OSRRefD22_4x_0" localSheetId="63">'317'!$D$80</definedName>
    <definedName name="OSRRefD22_4x_0" localSheetId="68">'321'!$D$51</definedName>
    <definedName name="OSRRefD22_4x_0" localSheetId="69">'322'!$D$47</definedName>
    <definedName name="OSRRefD22_4x_0" localSheetId="70">'325'!$D$49</definedName>
    <definedName name="OSRRefD22_4x_0" localSheetId="59">'326'!$D$81</definedName>
    <definedName name="OSRRefD22_4x_0" localSheetId="52">'330'!$D$79</definedName>
    <definedName name="OSRRefD22_4x_0" localSheetId="57">'331'!$D$111</definedName>
    <definedName name="OSRRefD22_4x_0" localSheetId="60">'332'!$D$59</definedName>
    <definedName name="OSRRefD22_4x_0" localSheetId="75">'405'!$D$48:$D$49</definedName>
    <definedName name="OSRRefD22_4x_0" localSheetId="76">'406'!$D$28</definedName>
    <definedName name="OSRRefD22_4x_0" localSheetId="77">'411'!$D$45:$D$46</definedName>
    <definedName name="OSRRefD22_4x_0" localSheetId="78">'412'!$D$46:$D$47</definedName>
    <definedName name="OSRRefD22_4x_0" localSheetId="79">'413'!$D$48</definedName>
    <definedName name="OSRRefD22_4x_0" localSheetId="80">'414'!$D$50</definedName>
    <definedName name="OSRRefD22_4x_0" localSheetId="81">'415'!$D$52</definedName>
    <definedName name="OSRRefD22_4x_0" localSheetId="82">'418'!$D$48:$D$49</definedName>
    <definedName name="OSRRefD22_4x_0" localSheetId="84">'423'!$D$44:$D$45</definedName>
    <definedName name="OSRRefD22_4x_0" localSheetId="87">'425'!$D$33:$D$34</definedName>
    <definedName name="OSRRefD22_4x_0" localSheetId="89">'430'!$D$45:$D$47</definedName>
    <definedName name="OSRRefD22_4x_0" localSheetId="90">'433'!$D$53</definedName>
    <definedName name="OSRRefD22_4x_0" localSheetId="92">'444'!$D$53</definedName>
    <definedName name="OSRRefD22_4x_0" localSheetId="93">'450'!$D$49</definedName>
    <definedName name="OSRRefD22_4x_0" localSheetId="74">'491'!$D$55</definedName>
    <definedName name="OSRRefD22_4x_0" localSheetId="88">'492'!$D$53</definedName>
    <definedName name="OSRRefD22_4x_0" localSheetId="95">'501'!$D$48</definedName>
    <definedName name="OSRRefD22_4x_0" localSheetId="39">'Div 2'!$D$48</definedName>
    <definedName name="OSRRefD22_4x_0" localSheetId="47">'Div 3'!$D$165</definedName>
    <definedName name="OSRRefD22_4x_0" localSheetId="72">'Div 4'!$D$58</definedName>
    <definedName name="OSRRefD22_4x_0" localSheetId="94">'Div 5'!$D$48</definedName>
    <definedName name="OSRRefD22_4x_0" localSheetId="62">'Div 6'!$D$80</definedName>
    <definedName name="OSRRefD22_4x_0" localSheetId="2">Summary!$D$193</definedName>
    <definedName name="OSRRefD22_5x_0" localSheetId="41">'201'!$D$49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'205'!$D$49</definedName>
    <definedName name="OSRRefD22_5x_0" localSheetId="46">'206'!$D$47</definedName>
    <definedName name="OSRRefD22_5x_0" localSheetId="48">'300'!$D$163:$D$164</definedName>
    <definedName name="OSRRefD22_5x_0" localSheetId="49">'300 &amp; 317'!$D$185:$D$186</definedName>
    <definedName name="OSRRefD22_5x_0" localSheetId="50">'301'!$D$50:$D$51</definedName>
    <definedName name="OSRRefD22_5x_0" localSheetId="51">'306'!$D$47</definedName>
    <definedName name="OSRRefD22_5x_0" localSheetId="53">'307'!$D$77:$D$78</definedName>
    <definedName name="OSRRefD22_5x_0" localSheetId="54">'308'!$D$88</definedName>
    <definedName name="OSRRefD22_5x_0" localSheetId="66">'309'!$D$49</definedName>
    <definedName name="OSRRefD22_5x_0" localSheetId="65">'310'!$D$58:$D$59</definedName>
    <definedName name="OSRRefD22_5x_0" localSheetId="73">'310 &amp; 491'!$D$63:$D$65</definedName>
    <definedName name="OSRRefD22_5x_0" localSheetId="55">'311'!$D$87</definedName>
    <definedName name="OSRRefD22_5x_0" localSheetId="67">'313'!$D$54</definedName>
    <definedName name="OSRRefD22_5x_0" localSheetId="58">'315'!$D$111:$D$112</definedName>
    <definedName name="OSRRefD22_5x_0" localSheetId="61">'316'!$D$59</definedName>
    <definedName name="OSRRefD22_5x_0" localSheetId="63">'317'!$D$82</definedName>
    <definedName name="OSRRefD22_5x_0" localSheetId="68">'321'!$D$53</definedName>
    <definedName name="OSRRefD22_5x_0" localSheetId="69">'322'!$D$49</definedName>
    <definedName name="OSRRefD22_5x_0" localSheetId="70">'325'!$D$51:$D$52</definedName>
    <definedName name="OSRRefD22_5x_0" localSheetId="59">'326'!$D$83</definedName>
    <definedName name="OSRRefD22_5x_0" localSheetId="52">'330'!$D$81:$D$82</definedName>
    <definedName name="OSRRefD22_5x_0" localSheetId="57">'331'!$D$113:$D$114</definedName>
    <definedName name="OSRRefD22_5x_0" localSheetId="60">'332'!$D$61</definedName>
    <definedName name="OSRRefD22_5x_0" localSheetId="75">'405'!$D$51</definedName>
    <definedName name="OSRRefD22_5x_0" localSheetId="77">'411'!$D$48</definedName>
    <definedName name="OSRRefD22_5x_0" localSheetId="78">'412'!$D$49</definedName>
    <definedName name="OSRRefD22_5x_0" localSheetId="79">'413'!$D$50</definedName>
    <definedName name="OSRRefD22_5x_0" localSheetId="80">'414'!$D$52</definedName>
    <definedName name="OSRRefD22_5x_0" localSheetId="81">'415'!$D$54:$D$55</definedName>
    <definedName name="OSRRefD22_5x_0" localSheetId="82">'418'!$D$51</definedName>
    <definedName name="OSRRefD22_5x_0" localSheetId="84">'423'!$D$47</definedName>
    <definedName name="OSRRefD22_5x_0" localSheetId="87">'425'!$D$36</definedName>
    <definedName name="OSRRefD22_5x_0" localSheetId="89">'430'!$D$49:$D$50</definedName>
    <definedName name="OSRRefD22_5x_0" localSheetId="90">'433'!$D$55</definedName>
    <definedName name="OSRRefD22_5x_0" localSheetId="92">'444'!$D$55</definedName>
    <definedName name="OSRRefD22_5x_0" localSheetId="93">'450'!$D$51</definedName>
    <definedName name="OSRRefD22_5x_0" localSheetId="74">'491'!$D$57:$D$59</definedName>
    <definedName name="OSRRefD22_5x_0" localSheetId="88">'492'!$D$55</definedName>
    <definedName name="OSRRefD22_5x_0" localSheetId="95">'501'!$D$50:$D$51</definedName>
    <definedName name="OSRRefD22_5x_0" localSheetId="39">'Div 2'!$D$50:$D$51</definedName>
    <definedName name="OSRRefD22_5x_0" localSheetId="47">'Div 3'!$D$167:$D$168</definedName>
    <definedName name="OSRRefD22_5x_0" localSheetId="72">'Div 4'!$D$60:$D$62</definedName>
    <definedName name="OSRRefD22_5x_0" localSheetId="94">'Div 5'!$D$50:$D$51</definedName>
    <definedName name="OSRRefD22_5x_0" localSheetId="62">'Div 6'!$D$82</definedName>
    <definedName name="OSRRefD22_5x_0" localSheetId="2">Summary!$D$195:$D$197</definedName>
    <definedName name="OSRRefD22_6x_0" localSheetId="41">'201'!$D$51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'205'!$D$51:$D$53</definedName>
    <definedName name="OSRRefD22_6x_0" localSheetId="46">'206'!$D$49</definedName>
    <definedName name="OSRRefD22_6x_0" localSheetId="48">'300'!$D$166:$D$167</definedName>
    <definedName name="OSRRefD22_6x_0" localSheetId="49">'300 &amp; 317'!$D$188:$D$189</definedName>
    <definedName name="OSRRefD22_6x_0" localSheetId="50">'301'!$D$53</definedName>
    <definedName name="OSRRefD22_6x_0" localSheetId="51">'306'!$D$49:$D$50</definedName>
    <definedName name="OSRRefD22_6x_0" localSheetId="53">'307'!$D$80</definedName>
    <definedName name="OSRRefD22_6x_0" localSheetId="54">'308'!$D$90:$D$91</definedName>
    <definedName name="OSRRefD22_6x_0" localSheetId="66">'309'!$D$51</definedName>
    <definedName name="OSRRefD22_6x_0" localSheetId="65">'310'!$D$61</definedName>
    <definedName name="OSRRefD22_6x_0" localSheetId="73">'310 &amp; 491'!$D$67</definedName>
    <definedName name="OSRRefD22_6x_0" localSheetId="55">'311'!$D$89:$D$90</definedName>
    <definedName name="OSRRefD22_6x_0" localSheetId="67">'313'!$D$56:$D$57</definedName>
    <definedName name="OSRRefD22_6x_0" localSheetId="58">'315'!$D$114</definedName>
    <definedName name="OSRRefD22_6x_0" localSheetId="61">'316'!$D$61:$D$62</definedName>
    <definedName name="OSRRefD22_6x_0" localSheetId="63">'317'!$D$84:$D$85</definedName>
    <definedName name="OSRRefD22_6x_0" localSheetId="68">'321'!$D$55</definedName>
    <definedName name="OSRRefD22_6x_0" localSheetId="69">'322'!$D$51</definedName>
    <definedName name="OSRRefD22_6x_0" localSheetId="70">'325'!$D$54</definedName>
    <definedName name="OSRRefD22_6x_0" localSheetId="59">'326'!$D$85</definedName>
    <definedName name="OSRRefD22_6x_0" localSheetId="52">'330'!$D$84</definedName>
    <definedName name="OSRRefD22_6x_0" localSheetId="57">'331'!$D$116</definedName>
    <definedName name="OSRRefD22_6x_0" localSheetId="60">'332'!$D$63:$D$64</definedName>
    <definedName name="OSRRefD22_6x_0" localSheetId="75">'405'!$D$53</definedName>
    <definedName name="OSRRefD22_6x_0" localSheetId="77">'411'!$D$50</definedName>
    <definedName name="OSRRefD22_6x_0" localSheetId="78">'412'!$D$51</definedName>
    <definedName name="OSRRefD22_6x_0" localSheetId="79">'413'!$D$52</definedName>
    <definedName name="OSRRefD22_6x_0" localSheetId="80">'414'!$D$54</definedName>
    <definedName name="OSRRefD22_6x_0" localSheetId="81">'415'!$D$57</definedName>
    <definedName name="OSRRefD22_6x_0" localSheetId="82">'418'!$D$53</definedName>
    <definedName name="OSRRefD22_6x_0" localSheetId="84">'423'!$D$49</definedName>
    <definedName name="OSRRefD22_6x_0" localSheetId="89">'430'!$D$52</definedName>
    <definedName name="OSRRefD22_6x_0" localSheetId="90">'433'!$D$57</definedName>
    <definedName name="OSRRefD22_6x_0" localSheetId="92">'444'!$D$57</definedName>
    <definedName name="OSRRefD22_6x_0" localSheetId="93">'450'!$D$53</definedName>
    <definedName name="OSRRefD22_6x_0" localSheetId="74">'491'!$D$61</definedName>
    <definedName name="OSRRefD22_6x_0" localSheetId="88">'492'!$D$57</definedName>
    <definedName name="OSRRefD22_6x_0" localSheetId="95">'501'!$D$53</definedName>
    <definedName name="OSRRefD22_6x_0" localSheetId="39">'Div 2'!$D$53:$D$54</definedName>
    <definedName name="OSRRefD22_6x_0" localSheetId="47">'Div 3'!$D$170:$D$171</definedName>
    <definedName name="OSRRefD22_6x_0" localSheetId="72">'Div 4'!$D$64</definedName>
    <definedName name="OSRRefD22_6x_0" localSheetId="94">'Div 5'!$D$53</definedName>
    <definedName name="OSRRefD22_6x_0" localSheetId="62">'Div 6'!$D$84:$D$85</definedName>
    <definedName name="OSRRefD22_6x_0" localSheetId="2">Summary!$D$199:$D$200</definedName>
    <definedName name="OSRRefD22_7x_0" localSheetId="41">'201'!$D$53</definedName>
    <definedName name="OSRRefD22_7x_0" localSheetId="42">'202'!$D$53:$D$55</definedName>
    <definedName name="OSRRefD22_7x_0" localSheetId="43">'203'!$D$52:$D$53</definedName>
    <definedName name="OSRRefD22_7x_0" localSheetId="44">'204'!$D$53:$D$55</definedName>
    <definedName name="OSRRefD22_7x_0" localSheetId="45">'205'!$D$55</definedName>
    <definedName name="OSRRefD22_7x_0" localSheetId="46">'206'!$D$51</definedName>
    <definedName name="OSRRefD22_7x_0" localSheetId="48">'300'!$D$169:$D$170</definedName>
    <definedName name="OSRRefD22_7x_0" localSheetId="49">'300 &amp; 317'!$D$191:$D$192</definedName>
    <definedName name="OSRRefD22_7x_0" localSheetId="50">'301'!$D$55</definedName>
    <definedName name="OSRRefD22_7x_0" localSheetId="51">'306'!$D$52:$D$53</definedName>
    <definedName name="OSRRefD22_7x_0" localSheetId="53">'307'!$D$82</definedName>
    <definedName name="OSRRefD22_7x_0" localSheetId="54">'308'!$D$93:$D$94</definedName>
    <definedName name="OSRRefD22_7x_0" localSheetId="66">'309'!$D$53:$D$54</definedName>
    <definedName name="OSRRefD22_7x_0" localSheetId="65">'310'!$D$63</definedName>
    <definedName name="OSRRefD22_7x_0" localSheetId="73">'310 &amp; 491'!$D$69</definedName>
    <definedName name="OSRRefD22_7x_0" localSheetId="55">'311'!$D$92:$D$93</definedName>
    <definedName name="OSRRefD22_7x_0" localSheetId="67">'313'!$D$59</definedName>
    <definedName name="OSRRefD22_7x_0" localSheetId="58">'315'!$D$116:$D$117</definedName>
    <definedName name="OSRRefD22_7x_0" localSheetId="61">'316'!$D$64:$D$66</definedName>
    <definedName name="OSRRefD22_7x_0" localSheetId="63">'317'!$D$87</definedName>
    <definedName name="OSRRefD22_7x_0" localSheetId="68">'321'!$D$57:$D$58</definedName>
    <definedName name="OSRRefD22_7x_0" localSheetId="69">'322'!$D$53:$D$54</definedName>
    <definedName name="OSRRefD22_7x_0" localSheetId="70">'325'!$D$56</definedName>
    <definedName name="OSRRefD22_7x_0" localSheetId="59">'326'!$D$87</definedName>
    <definedName name="OSRRefD22_7x_0" localSheetId="52">'330'!$D$86</definedName>
    <definedName name="OSRRefD22_7x_0" localSheetId="57">'331'!$D$118</definedName>
    <definedName name="OSRRefD22_7x_0" localSheetId="60">'332'!$D$66:$D$68</definedName>
    <definedName name="OSRRefD22_7x_0" localSheetId="75">'405'!$D$55</definedName>
    <definedName name="OSRRefD22_7x_0" localSheetId="77">'411'!$D$52</definedName>
    <definedName name="OSRRefD22_7x_0" localSheetId="78">'412'!$D$53</definedName>
    <definedName name="OSRRefD22_7x_0" localSheetId="79">'413'!$D$54</definedName>
    <definedName name="OSRRefD22_7x_0" localSheetId="80">'414'!$D$56</definedName>
    <definedName name="OSRRefD22_7x_0" localSheetId="81">'415'!$D$59</definedName>
    <definedName name="OSRRefD22_7x_0" localSheetId="82">'418'!$D$55</definedName>
    <definedName name="OSRRefD22_7x_0" localSheetId="84">'423'!$D$51</definedName>
    <definedName name="OSRRefD22_7x_0" localSheetId="89">'430'!$D$54</definedName>
    <definedName name="OSRRefD22_7x_0" localSheetId="90">'433'!$D$59</definedName>
    <definedName name="OSRRefD22_7x_0" localSheetId="92">'444'!$D$59</definedName>
    <definedName name="OSRRefD22_7x_0" localSheetId="93">'450'!$D$55</definedName>
    <definedName name="OSRRefD22_7x_0" localSheetId="74">'491'!$D$63</definedName>
    <definedName name="OSRRefD22_7x_0" localSheetId="88">'492'!$D$59</definedName>
    <definedName name="OSRRefD22_7x_0" localSheetId="95">'501'!$D$55</definedName>
    <definedName name="OSRRefD22_7x_0" localSheetId="39">'Div 2'!$D$56</definedName>
    <definedName name="OSRRefD22_7x_0" localSheetId="47">'Div 3'!$D$173:$D$174</definedName>
    <definedName name="OSRRefD22_7x_0" localSheetId="72">'Div 4'!$D$66</definedName>
    <definedName name="OSRRefD22_7x_0" localSheetId="94">'Div 5'!$D$55</definedName>
    <definedName name="OSRRefD22_7x_0" localSheetId="62">'Div 6'!$D$87</definedName>
    <definedName name="OSRRefD22_7x_0" localSheetId="2">Summary!$D$202:$D$203</definedName>
    <definedName name="OSRRefD22_8x_0" localSheetId="41">'201'!$D$55</definedName>
    <definedName name="OSRRefD22_8x_0" localSheetId="42">'202'!$D$57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'300'!$D$172</definedName>
    <definedName name="OSRRefD22_8x_0" localSheetId="49">'300 &amp; 317'!$D$194</definedName>
    <definedName name="OSRRefD22_8x_0" localSheetId="50">'301'!$D$57</definedName>
    <definedName name="OSRRefD22_8x_0" localSheetId="51">'306'!$D$55</definedName>
    <definedName name="OSRRefD22_8x_0" localSheetId="53">'307'!$D$84</definedName>
    <definedName name="OSRRefD22_8x_0" localSheetId="54">'308'!$D$96</definedName>
    <definedName name="OSRRefD22_8x_0" localSheetId="66">'309'!$D$56:$D$57</definedName>
    <definedName name="OSRRefD22_8x_0" localSheetId="65">'310'!$D$65</definedName>
    <definedName name="OSRRefD22_8x_0" localSheetId="73">'310 &amp; 491'!$D$71:$D$72</definedName>
    <definedName name="OSRRefD22_8x_0" localSheetId="55">'311'!$D$95</definedName>
    <definedName name="OSRRefD22_8x_0" localSheetId="67">'313'!$D$61:$D$63</definedName>
    <definedName name="OSRRefD22_8x_0" localSheetId="58">'315'!$D$119</definedName>
    <definedName name="OSRRefD22_8x_0" localSheetId="61">'316'!$D$68</definedName>
    <definedName name="OSRRefD22_8x_0" localSheetId="63">'317'!$D$89</definedName>
    <definedName name="OSRRefD22_8x_0" localSheetId="68">'321'!$D$60:$D$61</definedName>
    <definedName name="OSRRefD22_8x_0" localSheetId="69">'322'!$D$56:$D$57</definedName>
    <definedName name="OSRRefD22_8x_0" localSheetId="70">'325'!$D$58</definedName>
    <definedName name="OSRRefD22_8x_0" localSheetId="59">'326'!$D$89:$D$90</definedName>
    <definedName name="OSRRefD22_8x_0" localSheetId="52">'330'!$D$88</definedName>
    <definedName name="OSRRefD22_8x_0" localSheetId="57">'331'!$D$120:$D$121</definedName>
    <definedName name="OSRRefD22_8x_0" localSheetId="60">'332'!$D$70</definedName>
    <definedName name="OSRRefD22_8x_0" localSheetId="75">'405'!$D$57</definedName>
    <definedName name="OSRRefD22_8x_0" localSheetId="77">'411'!$D$54</definedName>
    <definedName name="OSRRefD22_8x_0" localSheetId="78">'412'!$D$55:$D$56</definedName>
    <definedName name="OSRRefD22_8x_0" localSheetId="79">'413'!$D$56:$D$59</definedName>
    <definedName name="OSRRefD22_8x_0" localSheetId="80">'414'!$D$58:$D$59</definedName>
    <definedName name="OSRRefD22_8x_0" localSheetId="81">'415'!$D$61</definedName>
    <definedName name="OSRRefD22_8x_0" localSheetId="82">'418'!$D$57:$D$59</definedName>
    <definedName name="OSRRefD22_8x_0" localSheetId="90">'433'!$D$61</definedName>
    <definedName name="OSRRefD22_8x_0" localSheetId="92">'444'!$D$61</definedName>
    <definedName name="OSRRefD22_8x_0" localSheetId="93">'450'!$D$57</definedName>
    <definedName name="OSRRefD22_8x_0" localSheetId="74">'491'!$D$65</definedName>
    <definedName name="OSRRefD22_8x_0" localSheetId="88">'492'!$D$61</definedName>
    <definedName name="OSRRefD22_8x_0" localSheetId="95">'501'!$D$57</definedName>
    <definedName name="OSRRefD22_8x_0" localSheetId="39">'Div 2'!$D$58</definedName>
    <definedName name="OSRRefD22_8x_0" localSheetId="47">'Div 3'!$D$176</definedName>
    <definedName name="OSRRefD22_8x_0" localSheetId="72">'Div 4'!$D$68</definedName>
    <definedName name="OSRRefD22_8x_0" localSheetId="94">'Div 5'!$D$57</definedName>
    <definedName name="OSRRefD22_8x_0" localSheetId="62">'Div 6'!$D$89</definedName>
    <definedName name="OSRRefD22_8x_0" localSheetId="2">Summary!$D$205</definedName>
    <definedName name="OSRRefD22_9x_0" localSheetId="41">'201'!$D$57</definedName>
    <definedName name="OSRRefD22_9x_0" localSheetId="42">'202'!$D$59:$D$61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'300'!$D$174</definedName>
    <definedName name="OSRRefD22_9x_0" localSheetId="49">'300 &amp; 317'!$D$196</definedName>
    <definedName name="OSRRefD22_9x_0" localSheetId="50">'301'!$D$59</definedName>
    <definedName name="OSRRefD22_9x_0" localSheetId="51">'306'!$D$57</definedName>
    <definedName name="OSRRefD22_9x_0" localSheetId="53">'307'!$D$86:$D$87</definedName>
    <definedName name="OSRRefD22_9x_0" localSheetId="54">'308'!$D$98:$D$100</definedName>
    <definedName name="OSRRefD22_9x_0" localSheetId="66">'309'!$D$59:$D$61</definedName>
    <definedName name="OSRRefD22_9x_0" localSheetId="65">'310'!$D$67</definedName>
    <definedName name="OSRRefD22_9x_0" localSheetId="73">'310 &amp; 491'!$D$74</definedName>
    <definedName name="OSRRefD22_9x_0" localSheetId="55">'311'!$D$97:$D$99</definedName>
    <definedName name="OSRRefD22_9x_0" localSheetId="67">'313'!$D$65:$D$66</definedName>
    <definedName name="OSRRefD22_9x_0" localSheetId="58">'315'!$D$121:$D$122</definedName>
    <definedName name="OSRRefD22_9x_0" localSheetId="61">'316'!$D$70</definedName>
    <definedName name="OSRRefD22_9x_0" localSheetId="63">'317'!$D$91:$D$92</definedName>
    <definedName name="OSRRefD22_9x_0" localSheetId="68">'321'!$D$63:$D$64</definedName>
    <definedName name="OSRRefD22_9x_0" localSheetId="69">'322'!$D$59:$D$62</definedName>
    <definedName name="OSRRefD22_9x_0" localSheetId="70">'325'!$D$60</definedName>
    <definedName name="OSRRefD22_9x_0" localSheetId="59">'326'!$D$92</definedName>
    <definedName name="OSRRefD22_9x_0" localSheetId="52">'330'!$D$90:$D$91</definedName>
    <definedName name="OSRRefD22_9x_0" localSheetId="57">'331'!$D$123:$D$124</definedName>
    <definedName name="OSRRefD22_9x_0" localSheetId="60">'332'!$D$72</definedName>
    <definedName name="OSRRefD22_9x_0" localSheetId="75">'405'!$D$59:$D$60</definedName>
    <definedName name="OSRRefD22_9x_0" localSheetId="77">'411'!$D$56:$D$59</definedName>
    <definedName name="OSRRefD22_9x_0" localSheetId="78">'412'!$D$58</definedName>
    <definedName name="OSRRefD22_9x_0" localSheetId="79">'413'!$D$61:$D$62</definedName>
    <definedName name="OSRRefD22_9x_0" localSheetId="80">'414'!$D$61</definedName>
    <definedName name="OSRRefD22_9x_0" localSheetId="81">'415'!$D$63</definedName>
    <definedName name="OSRRefD22_9x_0" localSheetId="82">'418'!$D$61:$D$62</definedName>
    <definedName name="OSRRefD22_9x_0" localSheetId="90">'433'!$D$63</definedName>
    <definedName name="OSRRefD22_9x_0" localSheetId="92">'444'!$D$63</definedName>
    <definedName name="OSRRefD22_9x_0" localSheetId="93">'450'!$D$59</definedName>
    <definedName name="OSRRefD22_9x_0" localSheetId="74">'491'!$D$67</definedName>
    <definedName name="OSRRefD22_9x_0" localSheetId="88">'492'!$D$63</definedName>
    <definedName name="OSRRefD22_9x_0" localSheetId="95">'501'!$D$59:$D$62</definedName>
    <definedName name="OSRRefD22_9x_0" localSheetId="39">'Div 2'!$D$60:$D$61</definedName>
    <definedName name="OSRRefD22_9x_0" localSheetId="47">'Div 3'!$D$178</definedName>
    <definedName name="OSRRefD22_9x_0" localSheetId="72">'Div 4'!$D$70</definedName>
    <definedName name="OSRRefD22_9x_0" localSheetId="94">'Div 5'!$D$59:$D$62</definedName>
    <definedName name="OSRRefD22_9x_0" localSheetId="62">'Div 6'!$D$91:$D$92</definedName>
    <definedName name="OSRRefD22_9x_0" localSheetId="2">Summary!$D$207</definedName>
    <definedName name="OSRRefD22x_0" localSheetId="40">'200'!$D$20:$D$21,'200'!$D$23,'200'!$D$25,'200'!$D$27,'200'!$D$29:$D$30</definedName>
    <definedName name="OSRRefD22x_0" localSheetId="41">'201'!$D$21:$D$29,'201'!$D$31:$D$40,'201'!$D$42,'201'!$D$44,'201'!$D$46:$D$47,'201'!$D$49,'201'!$D$51,'201'!$D$53,'201'!$D$55,'201'!$D$57,'201'!$D$59:$D$61,'201'!$D$63:$D$64,'201'!$D$66,'201'!$D$68:$D$70,'201'!$D$72,'201'!$D$74,'201'!$D$76</definedName>
    <definedName name="OSRRefD22x_0" localSheetId="42">'202'!$D$21:$D$29,'202'!$D$31:$D$40,'202'!$D$42,'202'!$D$44,'202'!$D$46:$D$47,'202'!$D$49,'202'!$D$51,'202'!$D$53:$D$55,'202'!$D$57,'202'!$D$59:$D$61,'202'!$D$63,'202'!$D$65,'202'!$D$67</definedName>
    <definedName name="OSRRefD22x_0" localSheetId="43">'203'!$D$20:$D$29,'203'!$D$31:$D$40,'203'!$D$42,'203'!$D$44,'203'!$D$46,'203'!$D$48,'203'!$D$50,'203'!$D$52:$D$53,'203'!$D$55:$D$57,'203'!$D$59:$D$60,'203'!$D$62,'203'!$D$64:$D$67,'203'!$D$69,'203'!$D$71,'203'!$D$73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'205'!$D$20:$D$28,'205'!$D$30:$D$39,'205'!$D$41,'205'!$D$43,'205'!$D$45:$D$47,'205'!$D$49,'205'!$D$51:$D$53,'205'!$D$55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$134:$D$143,'300'!$D$145:$D$154,'300'!$D$156,'300'!$D$158:$D$159,'300'!$D$161,'300'!$D$163:$D$164,'300'!$D$166:$D$167,'300'!$D$169:$D$170,'300'!$D$172,'300'!$D$174,'300'!$D$176:$D$177,'300'!$D$179:$D$181,'300'!$D$183,'300'!$D$185:$D$186,'300'!$D$188,'300'!$D$190,'300'!$D$192:$D$195,'300'!$D$197:$D$200,'300'!$D$202:$D$205,'300'!$D$207:$D$208,'300'!$D$210:$D$218,'300'!$D$220:$D$221,'300'!$D$223,'300'!$D$225:$D$227,'300'!$D$229</definedName>
    <definedName name="OSRRefD22x_0" localSheetId="49">'300 &amp; 317'!$D$156:$D$165,'300 &amp; 317'!$D$167:$D$176,'300 &amp; 317'!$D$178,'300 &amp; 317'!$D$180:$D$181,'300 &amp; 317'!$D$183,'300 &amp; 317'!$D$185:$D$186,'300 &amp; 317'!$D$188:$D$189,'300 &amp; 317'!$D$191:$D$192,'300 &amp; 317'!$D$194,'300 &amp; 317'!$D$196,'300 &amp; 317'!$D$198:$D$199,'300 &amp; 317'!$D$201:$D$203,'300 &amp; 317'!$D$205,'300 &amp; 317'!$D$207:$D$208,'300 &amp; 317'!$D$210,'300 &amp; 317'!$D$212,'300 &amp; 317'!$D$214:$D$217,'300 &amp; 317'!$D$219:$D$222,'300 &amp; 317'!$D$224:$D$227,'300 &amp; 317'!$D$229:$D$230,'300 &amp; 317'!$D$232:$D$240,'300 &amp; 317'!$D$242:$D$243,'300 &amp; 317'!$D$245,'300 &amp; 317'!$D$247:$D$249,'300 &amp; 317'!$D$251</definedName>
    <definedName name="OSRRefD22x_0" localSheetId="50">'301'!$D$21:$D$30,'301'!$D$32:$D$41,'301'!$D$43,'301'!$D$45:$D$46,'301'!$D$48,'301'!$D$50:$D$51,'301'!$D$53,'301'!$D$55,'301'!$D$57,'301'!$D$59,'301'!$D$61,'301'!$D$63,'301'!$D$65,'301'!$D$67,'301'!$D$69,'301'!$D$71:$D$74,'301'!$D$76:$D$78,'301'!$D$80:$D$81,'301'!$D$83:$D$89,'301'!$D$91,'301'!$D$93,'301'!$D$95:$D$97,'301'!$D$99</definedName>
    <definedName name="OSRRefD22x_0" localSheetId="51">'306'!$D$20:$D$28,'306'!$D$30:$D$39,'306'!$D$41,'306'!$D$43,'306'!$D$45,'306'!$D$47,'306'!$D$49:$D$50,'306'!$D$52:$D$53,'306'!$D$55,'306'!$D$57,'306'!$D$59</definedName>
    <definedName name="OSRRefD22x_0" localSheetId="53">'307'!$D$51:$D$58,'307'!$D$60:$D$69,'307'!$D$71,'307'!$D$73,'307'!$D$75,'307'!$D$77:$D$78,'307'!$D$80,'307'!$D$82,'307'!$D$84,'307'!$D$86:$D$87,'307'!$D$89:$D$90,'307'!$D$92:$D$95,'307'!$D$97:$D$98,'307'!$D$100</definedName>
    <definedName name="OSRRefD22x_0" localSheetId="54">'308'!$D$59:$D$68,'308'!$D$70:$D$79,'308'!$D$81,'308'!$D$83:$D$84,'308'!$D$86,'308'!$D$88,'308'!$D$90:$D$91,'308'!$D$93:$D$94,'308'!$D$96,'308'!$D$98:$D$100,'308'!$D$102:$D$103,'308'!$D$105:$D$107,'308'!$D$109:$D$110,'308'!$D$112,'308'!$D$114</definedName>
    <definedName name="OSRRefD22x_0" localSheetId="66">'309'!$D$23:$D$30,'309'!$D$32:$D$41,'309'!$D$43,'309'!$D$45,'309'!$D$47,'309'!$D$49,'309'!$D$51,'309'!$D$53:$D$54,'309'!$D$56:$D$57,'309'!$D$59:$D$61,'309'!$D$63</definedName>
    <definedName name="OSRRefD22x_0" localSheetId="65">'310'!$D$31:$D$39,'310'!$D$41:$D$50,'310'!$D$52,'310'!$D$54,'310'!$D$56,'310'!$D$58:$D$59,'310'!$D$61,'310'!$D$63,'310'!$D$65,'310'!$D$67,'310'!$D$69,'310'!$D$71,'310'!$D$73,'310'!$D$75:$D$78,'310'!$D$80:$D$81,'310'!$D$83:$D$86,'310'!$D$88,'310'!$D$90:$D$96,'310'!$D$98:$D$99,'310'!$D$101,'310'!$D$103,'310'!$D$105</definedName>
    <definedName name="OSRRefD22x_0" localSheetId="73">'310 &amp; 491'!$D$36:$D$44,'310 &amp; 491'!$D$46:$D$55,'310 &amp; 491'!$D$57,'310 &amp; 491'!$D$59,'310 &amp; 491'!$D$61,'310 &amp; 491'!$D$63:$D$65,'310 &amp; 491'!$D$67,'310 &amp; 491'!$D$69,'310 &amp; 491'!$D$71:$D$72,'310 &amp; 491'!$D$74,'310 &amp; 491'!$D$76,'310 &amp; 491'!$D$78,'310 &amp; 491'!$D$80,'310 &amp; 491'!$D$82,'310 &amp; 491'!$D$84:$D$87,'310 &amp; 491'!$D$89:$D$90,'310 &amp; 491'!$D$92:$D$96,'310 &amp; 491'!$D$98:$D$99,'310 &amp; 491'!$D$101:$D$111,'310 &amp; 491'!$D$113:$D$114,'310 &amp; 491'!$D$116,'310 &amp; 491'!$D$118:$D$120,'310 &amp; 491'!$D$122</definedName>
    <definedName name="OSRRefD22x_0" localSheetId="55">'311'!$D$58:$D$67,'311'!$D$69:$D$78,'311'!$D$80,'311'!$D$82:$D$83,'311'!$D$85,'311'!$D$87,'311'!$D$89:$D$90,'311'!$D$92:$D$93,'311'!$D$95,'311'!$D$97:$D$99,'311'!$D$101:$D$102,'311'!$D$104:$D$106,'311'!$D$108:$D$109,'311'!$D$111,'311'!$D$113</definedName>
    <definedName name="OSRRefD22x_0" localSheetId="67">'313'!$D$27:$D$35,'313'!$D$37:$D$46,'313'!$D$48,'313'!$D$50,'313'!$D$52,'313'!$D$54,'313'!$D$56:$D$57,'313'!$D$59,'313'!$D$61:$D$63,'313'!$D$65:$D$66,'313'!$D$68,'313'!$D$70</definedName>
    <definedName name="OSRRefD22x_0" localSheetId="58">'315'!$D$84:$D$92,'315'!$D$94:$D$103,'315'!$D$105,'315'!$D$107,'315'!$D$109,'315'!$D$111:$D$112,'315'!$D$114,'315'!$D$116:$D$117,'315'!$D$119,'315'!$D$121:$D$122,'315'!$D$124,'315'!$D$126,'315'!$D$128:$D$130,'315'!$D$132:$D$133,'315'!$D$135:$D$141,'315'!$D$143,'315'!$D$145,'315'!$D$147:$D$148</definedName>
    <definedName name="OSRRefD22x_0" localSheetId="61">'316'!$D$32:$D$40,'316'!$D$42:$D$51,'316'!$D$53,'316'!$D$55,'316'!$D$57,'316'!$D$59,'316'!$D$61:$D$62,'316'!$D$64:$D$66,'316'!$D$68,'316'!$D$70,'316'!$D$72:$D$76,'316'!$D$78,'316'!$D$80</definedName>
    <definedName name="OSRRefD22x_0" localSheetId="63">'317'!$D$54:$D$63,'317'!$D$65:$D$74,'317'!$D$76,'317'!$D$78,'317'!$D$80,'317'!$D$82,'317'!$D$84:$D$85,'317'!$D$87,'317'!$D$89,'317'!$D$91:$D$92,'317'!$D$94,'317'!$D$96:$D$99,'317'!$D$101,'317'!$D$103</definedName>
    <definedName name="OSRRefD22x_0" localSheetId="64">'320'!$D$22:$D$23,'320'!$D$25,'320'!$D$27</definedName>
    <definedName name="OSRRefD22x_0" localSheetId="68">'321'!$D$26:$D$34,'321'!$D$36:$D$45,'321'!$D$47,'321'!$D$49,'321'!$D$51,'321'!$D$53,'321'!$D$55,'321'!$D$57:$D$58,'321'!$D$60:$D$61,'321'!$D$63:$D$64,'321'!$D$66:$D$68,'321'!$D$70:$D$71,'321'!$D$73,'321'!$D$75</definedName>
    <definedName name="OSRRefD22x_0" localSheetId="69">'322'!$D$23:$D$30,'322'!$D$32:$D$41,'322'!$D$43,'322'!$D$45,'322'!$D$47,'322'!$D$49,'322'!$D$51,'322'!$D$53:$D$54,'322'!$D$56:$D$57,'322'!$D$59:$D$62,'322'!$D$64,'322'!$D$66</definedName>
    <definedName name="OSRRefD22x_0" localSheetId="56">'324'!$D$27:$D$34,'324'!$D$36:$D$45</definedName>
    <definedName name="OSRRefD22x_0" localSheetId="70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9">'326'!$D$56:$D$64,'326'!$D$66:$D$75,'326'!$D$77,'326'!$D$79,'326'!$D$81,'326'!$D$83,'326'!$D$85,'326'!$D$87,'326'!$D$89:$D$90,'326'!$D$92,'326'!$D$94,'326'!$D$96,'326'!$D$98,'326'!$D$100:$D$102,'326'!$D$104:$D$106,'326'!$D$108:$D$109,'326'!$D$111:$D$116,'326'!$D$118:$D$119,'326'!$D$121,'326'!$D$123:$D$124,'326'!$D$126</definedName>
    <definedName name="OSRRefD22x_0" localSheetId="71">'327'!$D$25,'327'!$D$27</definedName>
    <definedName name="OSRRefD22x_0" localSheetId="52">'330'!$D$54:$D$62,'330'!$D$64:$D$73,'330'!$D$75,'330'!$D$77,'330'!$D$79,'330'!$D$81:$D$82,'330'!$D$84,'330'!$D$86,'330'!$D$88,'330'!$D$90:$D$91,'330'!$D$93:$D$94,'330'!$D$96:$D$99,'330'!$D$101:$D$102,'330'!$D$104</definedName>
    <definedName name="OSRRefD22x_0" localSheetId="57">'331'!$D$86:$D$94,'331'!$D$96:$D$105,'331'!$D$107,'331'!$D$109,'331'!$D$111,'331'!$D$113:$D$114,'331'!$D$116,'331'!$D$118,'331'!$D$120:$D$121,'331'!$D$123:$D$124,'331'!$D$126,'331'!$D$128:$D$129,'331'!$D$131,'331'!$D$133,'331'!$D$135:$D$137,'331'!$D$139:$D$141,'331'!$D$143:$D$145,'331'!$D$147:$D$148,'331'!$D$150:$D$157,'331'!$D$159:$D$160,'331'!$D$162,'331'!$D$164:$D$165,'331'!$D$167</definedName>
    <definedName name="OSRRefD22x_0" localSheetId="60">'332'!$D$34:$D$42,'332'!$D$44:$D$53,'332'!$D$55,'332'!$D$57,'332'!$D$59,'332'!$D$61,'332'!$D$63:$D$64,'332'!$D$66:$D$68,'332'!$D$70,'332'!$D$72,'332'!$D$74:$D$78,'332'!$D$80,'332'!$D$82</definedName>
    <definedName name="OSRRefD22x_0" localSheetId="75">'405'!$D$24:$D$31,'405'!$D$33:$D$42,'405'!$D$44,'405'!$D$46,'405'!$D$48:$D$49,'405'!$D$51,'405'!$D$53,'405'!$D$55,'405'!$D$57,'405'!$D$59:$D$60,'405'!$D$62,'405'!$D$64:$D$67,'405'!$D$69,'405'!$D$71:$D$79,'405'!$D$81,'405'!$D$83,'405'!$D$85,'405'!$D$87</definedName>
    <definedName name="OSRRefD22x_0" localSheetId="76">'406'!$D$20,'406'!$D$22,'406'!$D$24,'406'!$D$26,'406'!$D$28</definedName>
    <definedName name="OSRRefD22x_0" localSheetId="77">'411'!$D$20:$D$28,'411'!$D$30:$D$39,'411'!$D$41,'411'!$D$43,'411'!$D$45:$D$46,'411'!$D$48,'411'!$D$50,'411'!$D$52,'411'!$D$54,'411'!$D$56:$D$59,'411'!$D$61:$D$64,'411'!$D$66:$D$67,'411'!$D$69:$D$75,'411'!$D$77,'411'!$D$79,'411'!$D$81,'411'!$D$83</definedName>
    <definedName name="OSRRefD22x_0" localSheetId="78">'412'!$D$22:$D$29,'412'!$D$31:$D$40,'412'!$D$42,'412'!$D$44,'412'!$D$46:$D$47,'412'!$D$49,'412'!$D$51,'412'!$D$53,'412'!$D$55:$D$56,'412'!$D$58,'412'!$D$60:$D$63,'412'!$D$65:$D$70,'412'!$D$72:$D$73,'412'!$D$75</definedName>
    <definedName name="OSRRefD22x_0" localSheetId="79">'413'!$D$23:$D$31,'413'!$D$33:$D$42,'413'!$D$44,'413'!$D$46,'413'!$D$48,'413'!$D$50,'413'!$D$52,'413'!$D$54,'413'!$D$56:$D$59,'413'!$D$61:$D$62,'413'!$D$64:$D$71,'413'!$D$73:$D$74,'413'!$D$76</definedName>
    <definedName name="OSRRefD22x_0" localSheetId="80">'414'!$D$25:$D$33,'414'!$D$35:$D$44,'414'!$D$46,'414'!$D$48,'414'!$D$50,'414'!$D$52,'414'!$D$54,'414'!$D$56,'414'!$D$58:$D$59,'414'!$D$61,'414'!$D$63,'414'!$D$65,'414'!$D$67:$D$69,'414'!$D$71,'414'!$D$73,'414'!$D$75</definedName>
    <definedName name="OSRRefD22x_0" localSheetId="81">'415'!$D$27:$D$35,'415'!$D$37:$D$46,'415'!$D$48,'415'!$D$50,'415'!$D$52,'415'!$D$54:$D$55,'415'!$D$57,'415'!$D$59,'415'!$D$61,'415'!$D$63,'415'!$D$65,'415'!$D$67:$D$69,'415'!$D$71:$D$75,'415'!$D$77,'415'!$D$79:$D$86,'415'!$D$88:$D$89,'415'!$D$91,'415'!$D$93:$D$94,'415'!$D$96</definedName>
    <definedName name="OSRRefD22x_0" localSheetId="82">'418'!$D$24:$D$31,'418'!$D$33:$D$42,'418'!$D$44,'418'!$D$46,'418'!$D$48:$D$49,'418'!$D$51,'418'!$D$53,'418'!$D$55,'418'!$D$57:$D$59,'418'!$D$61:$D$62,'418'!$D$64:$D$65,'418'!$D$67:$D$76,'418'!$D$78:$D$79,'418'!$D$81</definedName>
    <definedName name="OSRRefD22x_0" localSheetId="83">'420'!$D$22,'420'!$D$24</definedName>
    <definedName name="OSRRefD22x_0" localSheetId="84">'423'!$D$20:$D$27,'423'!$D$29:$D$38,'423'!$D$40,'423'!$D$42,'423'!$D$44:$D$45,'423'!$D$47,'423'!$D$49,'423'!$D$51</definedName>
    <definedName name="OSRRefD22x_0" localSheetId="85">'424'!$D$20,'424'!$D$22,'424'!$D$24,'424'!$D$26</definedName>
    <definedName name="OSRRefD22x_0" localSheetId="87">'425'!$D$21:$D$25,'425'!$D$27,'425'!$D$29,'425'!$D$31,'425'!$D$33:$D$34,'425'!$D$36</definedName>
    <definedName name="OSRRefD22x_0" localSheetId="89">'430'!$D$20:$D$28,'430'!$D$30:$D$39,'430'!$D$41,'430'!$D$43,'430'!$D$45:$D$47,'430'!$D$49:$D$50,'430'!$D$52,'430'!$D$54</definedName>
    <definedName name="OSRRefD22x_0" localSheetId="90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91">'435'!$D$20</definedName>
    <definedName name="OSRRefD22x_0" localSheetId="92">'444'!$D$27:$D$36,'444'!$D$38:$D$47,'444'!$D$49,'444'!$D$51,'444'!$D$53,'444'!$D$55,'444'!$D$57,'444'!$D$59,'444'!$D$61,'444'!$D$63,'444'!$D$65,'444'!$D$67:$D$70,'444'!$D$72:$D$75,'444'!$D$77,'444'!$D$79:$D$87,'444'!$D$89:$D$90,'444'!$D$92,'444'!$D$94</definedName>
    <definedName name="OSRRefD22x_0" localSheetId="93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4">'491'!$D$30:$D$38,'491'!$D$40:$D$49,'491'!$D$51,'491'!$D$53,'491'!$D$55,'491'!$D$57:$D$59,'491'!$D$61,'491'!$D$63,'491'!$D$65,'491'!$D$67,'491'!$D$69,'491'!$D$71,'491'!$D$73,'491'!$D$75,'491'!$D$77:$D$80,'491'!$D$82:$D$83,'491'!$D$85:$D$89,'491'!$D$91:$D$92,'491'!$D$94:$D$104,'491'!$D$106:$D$107,'491'!$D$109,'491'!$D$111:$D$113,'491'!$D$115</definedName>
    <definedName name="OSRRefD22x_0" localSheetId="88">'492'!$D$27:$D$36,'492'!$D$38:$D$47,'492'!$D$49,'492'!$D$51,'492'!$D$53,'492'!$D$55,'492'!$D$57,'492'!$D$59,'492'!$D$61,'492'!$D$63,'492'!$D$65,'492'!$D$67,'492'!$D$69:$D$72,'492'!$D$74:$D$77,'492'!$D$79,'492'!$D$81:$D$90,'492'!$D$92:$D$93,'492'!$D$95,'492'!$D$97:$D$98</definedName>
    <definedName name="OSRRefD22x_0" localSheetId="95">'501'!$D$22:$D$31,'501'!$D$33:$D$42,'501'!$D$44,'501'!$D$46,'501'!$D$48,'501'!$D$50:$D$51,'501'!$D$53,'501'!$D$55,'501'!$D$57,'501'!$D$59:$D$62,'501'!$D$64,'501'!$D$66:$D$67,'501'!$D$69,'501'!$D$71</definedName>
    <definedName name="OSRRefD22x_0" localSheetId="39">'Div 2'!$D$21:$D$31,'Div 2'!$D$33:$D$42,'Div 2'!$D$44,'Div 2'!$D$46,'Div 2'!$D$48,'Div 2'!$D$50:$D$51,'Div 2'!$D$53:$D$54,'Div 2'!$D$56,'Div 2'!$D$58,'Div 2'!$D$60:$D$61,'Div 2'!$D$63,'Div 2'!$D$65:$D$66,'Div 2'!$D$68:$D$71,'Div 2'!$D$73:$D$76,'Div 2'!$D$78:$D$79,'Div 2'!$D$81:$D$82,'Div 2'!$D$84:$D$89,'Div 2'!$D$91:$D$92,'Div 2'!$D$94,'Div 2'!$D$96:$D$97</definedName>
    <definedName name="OSRRefD22x_0" localSheetId="47">'Div 3'!$D$138:$D$147,'Div 3'!$D$149:$D$158,'Div 3'!$D$160,'Div 3'!$D$162:$D$163,'Div 3'!$D$165,'Div 3'!$D$167:$D$168,'Div 3'!$D$170:$D$171,'Div 3'!$D$173:$D$174,'Div 3'!$D$176,'Div 3'!$D$178,'Div 3'!$D$180:$D$181,'Div 3'!$D$183:$D$185,'Div 3'!$D$187,'Div 3'!$D$189,'Div 3'!$D$191:$D$192,'Div 3'!$D$194,'Div 3'!$D$196,'Div 3'!$D$198:$D$201,'Div 3'!$D$203:$D$206,'Div 3'!$D$208:$D$212,'Div 3'!$D$214:$D$215,'Div 3'!$D$217:$D$225,'Div 3'!$D$227:$D$228,'Div 3'!$D$230,'Div 3'!$D$232:$D$234,'Div 3'!$D$236</definedName>
    <definedName name="OSRRefD22x_0" localSheetId="72">'Div 4'!$D$32:$D$41,'Div 4'!$D$43:$D$52,'Div 4'!$D$54,'Div 4'!$D$56,'Div 4'!$D$58,'Div 4'!$D$60:$D$62,'Div 4'!$D$64,'Div 4'!$D$66,'Div 4'!$D$68,'Div 4'!$D$70,'Div 4'!$D$72,'Div 4'!$D$74,'Div 4'!$D$76,'Div 4'!$D$78,'Div 4'!$D$80,'Div 4'!$D$82:$D$85,'Div 4'!$D$87:$D$88,'Div 4'!$D$90:$D$94,'Div 4'!$D$96:$D$97,'Div 4'!$D$99:$D$109,'Div 4'!$D$111:$D$112,'Div 4'!$D$114,'Div 4'!$D$116:$D$118,'Div 4'!$D$120</definedName>
    <definedName name="OSRRefD22x_0" localSheetId="94">'Div 5'!$D$22:$D$31,'Div 5'!$D$33:$D$42,'Div 5'!$D$44,'Div 5'!$D$46,'Div 5'!$D$48,'Div 5'!$D$50:$D$51,'Div 5'!$D$53,'Div 5'!$D$55,'Div 5'!$D$57,'Div 5'!$D$59:$D$62,'Div 5'!$D$64,'Div 5'!$D$66:$D$67,'Div 5'!$D$69,'Div 5'!$D$71</definedName>
    <definedName name="OSRRefD22x_0" localSheetId="62">'Div 6'!$D$54:$D$63,'Div 6'!$D$65:$D$74,'Div 6'!$D$76,'Div 6'!$D$78,'Div 6'!$D$80,'Div 6'!$D$82,'Div 6'!$D$84:$D$85,'Div 6'!$D$87,'Div 6'!$D$89,'Div 6'!$D$91:$D$92,'Div 6'!$D$94,'Div 6'!$D$96:$D$99,'Div 6'!$D$101,'Div 6'!$D$103</definedName>
    <definedName name="OSRRefD22x_0" localSheetId="2">Summary!$D$166:$D$175,Summary!$D$177:$D$186,Summary!$D$188,Summary!$D$190:$D$191,Summary!$D$193,Summary!$D$195:$D$197,Summary!$D$199:$D$200,Summary!$D$202:$D$203,Summary!$D$205,Summary!$D$207,Summary!$D$209:$D$210,Summary!$D$212:$D$214,Summary!$D$216,Summary!$D$218,Summary!$D$220:$D$221,Summary!$D$223,Summary!$D$225,Summary!$D$227,Summary!$D$229:$D$232,Summary!$D$234:$D$237,Summary!$D$239:$D$243,Summary!$D$245:$D$246,Summary!$D$248:$D$258,Summary!$D$260:$D$261,Summary!$D$263,Summary!$D$265:$D$267,Summary!$D$269</definedName>
    <definedName name="OSRRefD25x_0" localSheetId="42">'202'!$D$70:$D$72</definedName>
    <definedName name="OSRRefD25x_0" localSheetId="48">'300'!$D$232:$D$236</definedName>
    <definedName name="OSRRefD25x_0" localSheetId="49">'300 &amp; 317'!$D$254:$D$259</definedName>
    <definedName name="OSRRefD25x_0" localSheetId="50">'301'!$D$102:$D$103</definedName>
    <definedName name="OSRRefD25x_0" localSheetId="54">'308'!$D$117:$D$119</definedName>
    <definedName name="OSRRefD25x_0" localSheetId="73">'310 &amp; 491'!$D$125:$D$128</definedName>
    <definedName name="OSRRefD25x_0" localSheetId="55">'311'!$D$116:$D$118</definedName>
    <definedName name="OSRRefD25x_0" localSheetId="58">'315'!$D$151:$D$154</definedName>
    <definedName name="OSRRefD25x_0" localSheetId="61">'316'!$D$83</definedName>
    <definedName name="OSRRefD25x_0" localSheetId="63">'317'!$D$106:$D$107</definedName>
    <definedName name="OSRRefD25x_0" localSheetId="64">'320'!$D$30</definedName>
    <definedName name="OSRRefD25x_0" localSheetId="57">'331'!$D$170:$D$173</definedName>
    <definedName name="OSRRefD25x_0" localSheetId="60">'332'!$D$85:$D$86</definedName>
    <definedName name="OSRRefD25x_0" localSheetId="77">'411'!$D$86:$D$87</definedName>
    <definedName name="OSRRefD25x_0" localSheetId="82">'418'!$D$84</definedName>
    <definedName name="OSRRefD25x_0" localSheetId="84">'423'!$D$54:$D$56</definedName>
    <definedName name="OSRRefD25x_0" localSheetId="86">'455'!$D$21:$D$22</definedName>
    <definedName name="OSRRefD25x_0" localSheetId="74">'491'!$D$118:$D$121</definedName>
    <definedName name="OSRRefD25x_0" localSheetId="95">'501'!$D$74</definedName>
    <definedName name="OSRRefD25x_0" localSheetId="39">'Div 2'!$D$100:$D$102</definedName>
    <definedName name="OSRRefD25x_0" localSheetId="47">'Div 3'!$D$239:$D$243</definedName>
    <definedName name="OSRRefD25x_0" localSheetId="72">'Div 4'!$D$123:$D$126</definedName>
    <definedName name="OSRRefD25x_0" localSheetId="94">'Div 5'!$D$74</definedName>
    <definedName name="OSRRefD25x_0" localSheetId="62">'Div 6'!$D$106:$D$107</definedName>
    <definedName name="OSRRefD25x_0" localSheetId="2">Summary!$D$272:$D$279</definedName>
    <definedName name="OSRRefH13x_0" localSheetId="41">'201'!$H$13</definedName>
    <definedName name="OSRRefH13x_0" localSheetId="42">'202'!$H$13</definedName>
    <definedName name="OSRRefH13x_0" localSheetId="48">'300'!$H$13:$H$78</definedName>
    <definedName name="OSRRefH13x_0" localSheetId="49">'300 &amp; 317'!$H$13:$H$93</definedName>
    <definedName name="OSRRefH13x_0" localSheetId="53">'307'!$H$13:$H$23</definedName>
    <definedName name="OSRRefH13x_0" localSheetId="54">'308'!$H$13:$H$35</definedName>
    <definedName name="OSRRefH13x_0" localSheetId="66">'309'!$H$13</definedName>
    <definedName name="OSRRefH13x_0" localSheetId="65">'310'!$H$13:$H$20</definedName>
    <definedName name="OSRRefH13x_0" localSheetId="73">'310 &amp; 491'!$H$13:$H$25</definedName>
    <definedName name="OSRRefH13x_0" localSheetId="55">'311'!$H$13:$H$34</definedName>
    <definedName name="OSRRefH13x_0" localSheetId="67">'313'!$H$13:$H$17</definedName>
    <definedName name="OSRRefH13x_0" localSheetId="58">'315'!$H$13:$H$51</definedName>
    <definedName name="OSRRefH13x_0" localSheetId="61">'316'!$H$13:$H$24</definedName>
    <definedName name="OSRRefH13x_0" localSheetId="63">'317'!$H$13:$H$31</definedName>
    <definedName name="OSRRefH13x_0" localSheetId="68">'321'!$H$13:$H$15</definedName>
    <definedName name="OSRRefH13x_0" localSheetId="69">'322'!$H$13</definedName>
    <definedName name="OSRRefH13x_0" localSheetId="56">'324'!$H$13:$H$16</definedName>
    <definedName name="OSRRefH13x_0" localSheetId="70">'325'!$H$13:$H$14</definedName>
    <definedName name="OSRRefH13x_0" localSheetId="59">'326'!$H$13:$H$33</definedName>
    <definedName name="OSRRefH13x_0" localSheetId="71">'327'!$H$13:$H$14</definedName>
    <definedName name="OSRRefH13x_0" localSheetId="52">'330'!$H$13:$H$26</definedName>
    <definedName name="OSRRefH13x_0" localSheetId="57">'331'!$H$13:$H$51</definedName>
    <definedName name="OSRRefH13x_0" localSheetId="60">'332'!$H$13:$H$24</definedName>
    <definedName name="OSRRefH13x_0" localSheetId="75">'405'!$H$13:$H$14</definedName>
    <definedName name="OSRRefH13x_0" localSheetId="78">'412'!$H$13</definedName>
    <definedName name="OSRRefH13x_0" localSheetId="79">'413'!$H$13:$H$14</definedName>
    <definedName name="OSRRefH13x_0" localSheetId="80">'414'!$H$13:$H$15</definedName>
    <definedName name="OSRRefH13x_0" localSheetId="81">'415'!$H$13:$H$16</definedName>
    <definedName name="OSRRefH13x_0" localSheetId="82">'418'!$H$13:$H$14</definedName>
    <definedName name="OSRRefH13x_0" localSheetId="83">'420'!$H$13:$H$14</definedName>
    <definedName name="OSRRefH13x_0" localSheetId="90">'433'!$H$13:$H$16</definedName>
    <definedName name="OSRRefH13x_0" localSheetId="92">'444'!$H$13:$H$16</definedName>
    <definedName name="OSRRefH13x_0" localSheetId="93">'450'!$H$13:$H$14</definedName>
    <definedName name="OSRRefH13x_0" localSheetId="74">'491'!$H$13:$H$19</definedName>
    <definedName name="OSRRefH13x_0" localSheetId="88">'492'!$H$13:$H$16</definedName>
    <definedName name="OSRRefH13x_0" localSheetId="95">'501'!$H$13:$H$14</definedName>
    <definedName name="OSRRefH13x_0" localSheetId="39">'Div 2'!$H$13</definedName>
    <definedName name="OSRRefH13x_0" localSheetId="47">'Div 3'!$H$13:$H$80</definedName>
    <definedName name="OSRRefH13x_0" localSheetId="72">'Div 4'!$H$13:$H$21</definedName>
    <definedName name="OSRRefH13x_0" localSheetId="94">'Div 5'!$H$13:$H$14</definedName>
    <definedName name="OSRRefH13x_0" localSheetId="62">'Div 6'!$H$13:$H$31</definedName>
    <definedName name="OSRRefH13x_0" localSheetId="2">Summary!$H$13:$H$101</definedName>
    <definedName name="OSRRefH16x_0" localSheetId="48">'300'!$H$81:$H$128</definedName>
    <definedName name="OSRRefH16x_0" localSheetId="49">'300 &amp; 317'!$H$96:$H$150</definedName>
    <definedName name="OSRRefH16x_0" localSheetId="50">'301'!$H$15</definedName>
    <definedName name="OSRRefH16x_0" localSheetId="53">'307'!$H$26:$H$45</definedName>
    <definedName name="OSRRefH16x_0" localSheetId="54">'308'!$H$38:$H$53</definedName>
    <definedName name="OSRRefH16x_0" localSheetId="66">'309'!$H$16:$H$17</definedName>
    <definedName name="OSRRefH16x_0" localSheetId="65">'310'!$H$23:$H$25</definedName>
    <definedName name="OSRRefH16x_0" localSheetId="73">'310 &amp; 491'!$H$28:$H$30</definedName>
    <definedName name="OSRRefH16x_0" localSheetId="55">'311'!$H$37:$H$52</definedName>
    <definedName name="OSRRefH16x_0" localSheetId="67">'313'!$H$20:$H$21</definedName>
    <definedName name="OSRRefH16x_0" localSheetId="58">'315'!$H$54:$H$78</definedName>
    <definedName name="OSRRefH16x_0" localSheetId="63">'317'!$H$34:$H$48</definedName>
    <definedName name="OSRRefH16x_0" localSheetId="64">'320'!$H$15:$H$16</definedName>
    <definedName name="OSRRefH16x_0" localSheetId="68">'321'!$H$18:$H$20</definedName>
    <definedName name="OSRRefH16x_0" localSheetId="69">'322'!$H$16:$H$17</definedName>
    <definedName name="OSRRefH16x_0" localSheetId="56">'324'!$H$19:$H$21</definedName>
    <definedName name="OSRRefH16x_0" localSheetId="70">'325'!$H$17:$H$19</definedName>
    <definedName name="OSRRefH16x_0" localSheetId="59">'326'!$H$36:$H$50</definedName>
    <definedName name="OSRRefH16x_0" localSheetId="71">'327'!$H$17:$H$19</definedName>
    <definedName name="OSRRefH16x_0" localSheetId="52">'330'!$H$29:$H$48</definedName>
    <definedName name="OSRRefH16x_0" localSheetId="57">'331'!$H$54:$H$80</definedName>
    <definedName name="OSRRefH16x_0" localSheetId="60">'332'!$H$27:$H$28</definedName>
    <definedName name="OSRRefH16x_0" localSheetId="75">'405'!$H$17:$H$18</definedName>
    <definedName name="OSRRefH16x_0" localSheetId="78">'412'!$H$16</definedName>
    <definedName name="OSRRefH16x_0" localSheetId="79">'413'!$H$17</definedName>
    <definedName name="OSRRefH16x_0" localSheetId="80">'414'!$H$18:$H$19</definedName>
    <definedName name="OSRRefH16x_0" localSheetId="81">'415'!$H$19:$H$21</definedName>
    <definedName name="OSRRefH16x_0" localSheetId="82">'418'!$H$17:$H$18</definedName>
    <definedName name="OSRRefH16x_0" localSheetId="87">'425'!$H$15</definedName>
    <definedName name="OSRRefH16x_0" localSheetId="90">'433'!$H$19:$H$21</definedName>
    <definedName name="OSRRefH16x_0" localSheetId="92">'444'!$H$19:$H$21</definedName>
    <definedName name="OSRRefH16x_0" localSheetId="93">'450'!$H$17</definedName>
    <definedName name="OSRRefH16x_0" localSheetId="74">'491'!$H$22:$H$24</definedName>
    <definedName name="OSRRefH16x_0" localSheetId="88">'492'!$H$19:$H$21</definedName>
    <definedName name="OSRRefH16x_0" localSheetId="47">'Div 3'!$H$83:$H$132</definedName>
    <definedName name="OSRRefH16x_0" localSheetId="72">'Div 4'!$H$24:$H$26</definedName>
    <definedName name="OSRRefH16x_0" localSheetId="62">'Div 6'!$H$34:$H$48</definedName>
    <definedName name="OSRRefH16x_0" localSheetId="2">Summary!$H$104:$H$160</definedName>
    <definedName name="OSRRefH22_0x_0" localSheetId="40">'200'!$H$20:$H$21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'300'!$H$134:$H$143</definedName>
    <definedName name="OSRRefH22_0x_0" localSheetId="49">'300 &amp; 317'!$H$156:$H$165</definedName>
    <definedName name="OSRRefH22_0x_0" localSheetId="50">'301'!$H$21:$H$30</definedName>
    <definedName name="OSRRefH22_0x_0" localSheetId="51">'306'!$H$20:$H$28</definedName>
    <definedName name="OSRRefH22_0x_0" localSheetId="53">'307'!$H$51:$H$58</definedName>
    <definedName name="OSRRefH22_0x_0" localSheetId="54">'308'!$H$59:$H$68</definedName>
    <definedName name="OSRRefH22_0x_0" localSheetId="66">'309'!$H$23:$H$30</definedName>
    <definedName name="OSRRefH22_0x_0" localSheetId="65">'310'!$H$31:$H$39</definedName>
    <definedName name="OSRRefH22_0x_0" localSheetId="73">'310 &amp; 491'!$H$36:$H$44</definedName>
    <definedName name="OSRRefH22_0x_0" localSheetId="55">'311'!$H$58:$H$67</definedName>
    <definedName name="OSRRefH22_0x_0" localSheetId="67">'313'!$H$27:$H$35</definedName>
    <definedName name="OSRRefH22_0x_0" localSheetId="58">'315'!$H$84:$H$92</definedName>
    <definedName name="OSRRefH22_0x_0" localSheetId="61">'316'!$H$32:$H$40</definedName>
    <definedName name="OSRRefH22_0x_0" localSheetId="63">'317'!$H$54:$H$63</definedName>
    <definedName name="OSRRefH22_0x_0" localSheetId="64">'320'!$H$22:$H$23</definedName>
    <definedName name="OSRRefH22_0x_0" localSheetId="68">'321'!$H$26:$H$34</definedName>
    <definedName name="OSRRefH22_0x_0" localSheetId="69">'322'!$H$23:$H$30</definedName>
    <definedName name="OSRRefH22_0x_0" localSheetId="56">'324'!$H$27:$H$34</definedName>
    <definedName name="OSRRefH22_0x_0" localSheetId="70">'325'!$H$25:$H$32</definedName>
    <definedName name="OSRRefH22_0x_0" localSheetId="59">'326'!$H$56:$H$64</definedName>
    <definedName name="OSRRefH22_0x_0" localSheetId="71">'327'!$H$25</definedName>
    <definedName name="OSRRefH22_0x_0" localSheetId="52">'330'!$H$54:$H$62</definedName>
    <definedName name="OSRRefH22_0x_0" localSheetId="57">'331'!$H$86:$H$94</definedName>
    <definedName name="OSRRefH22_0x_0" localSheetId="60">'332'!$H$34:$H$42</definedName>
    <definedName name="OSRRefH22_0x_0" localSheetId="75">'405'!$H$24:$H$31</definedName>
    <definedName name="OSRRefH22_0x_0" localSheetId="76">'406'!$H$20</definedName>
    <definedName name="OSRRefH22_0x_0" localSheetId="77">'411'!$H$20:$H$28</definedName>
    <definedName name="OSRRefH22_0x_0" localSheetId="78">'412'!$H$22:$H$29</definedName>
    <definedName name="OSRRefH22_0x_0" localSheetId="79">'413'!$H$23:$H$31</definedName>
    <definedName name="OSRRefH22_0x_0" localSheetId="80">'414'!$H$25:$H$33</definedName>
    <definedName name="OSRRefH22_0x_0" localSheetId="81">'415'!$H$27:$H$35</definedName>
    <definedName name="OSRRefH22_0x_0" localSheetId="82">'418'!$H$24:$H$31</definedName>
    <definedName name="OSRRefH22_0x_0" localSheetId="83">'420'!$H$22</definedName>
    <definedName name="OSRRefH22_0x_0" localSheetId="84">'423'!$H$20:$H$27</definedName>
    <definedName name="OSRRefH22_0x_0" localSheetId="85">'424'!$H$20</definedName>
    <definedName name="OSRRefH22_0x_0" localSheetId="87">'425'!$H$21:$H$25</definedName>
    <definedName name="OSRRefH22_0x_0" localSheetId="89">'430'!$H$20:$H$28</definedName>
    <definedName name="OSRRefH22_0x_0" localSheetId="90">'433'!$H$27:$H$36</definedName>
    <definedName name="OSRRefH22_0x_0" localSheetId="91">'435'!$H$20</definedName>
    <definedName name="OSRRefH22_0x_0" localSheetId="92">'444'!$H$27:$H$36</definedName>
    <definedName name="OSRRefH22_0x_0" localSheetId="93">'450'!$H$23:$H$32</definedName>
    <definedName name="OSRRefH22_0x_0" localSheetId="74">'491'!$H$30:$H$38</definedName>
    <definedName name="OSRRefH22_0x_0" localSheetId="88">'492'!$H$27:$H$36</definedName>
    <definedName name="OSRRefH22_0x_0" localSheetId="95">'501'!$H$22:$H$31</definedName>
    <definedName name="OSRRefH22_0x_0" localSheetId="39">'Div 2'!$H$21:$H$31</definedName>
    <definedName name="OSRRefH22_0x_0" localSheetId="47">'Div 3'!$H$138:$H$147</definedName>
    <definedName name="OSRRefH22_0x_0" localSheetId="72">'Div 4'!$H$32:$H$41</definedName>
    <definedName name="OSRRefH22_0x_0" localSheetId="94">'Div 5'!$H$22:$H$31</definedName>
    <definedName name="OSRRefH22_0x_0" localSheetId="62">'Div 6'!$H$54:$H$63</definedName>
    <definedName name="OSRRefH22_0x_0" localSheetId="2">Summary!$H$166:$H$175</definedName>
    <definedName name="OSRRefH22_10x_0" localSheetId="41">'201'!$H$59:$H$61</definedName>
    <definedName name="OSRRefH22_10x_0" localSheetId="42">'202'!$H$63</definedName>
    <definedName name="OSRRefH22_10x_0" localSheetId="43">'203'!$H$62</definedName>
    <definedName name="OSRRefH22_10x_0" localSheetId="44">'204'!$H$62:$H$63</definedName>
    <definedName name="OSRRefH22_10x_0" localSheetId="48">'300'!$H$176:$H$177</definedName>
    <definedName name="OSRRefH22_10x_0" localSheetId="49">'300 &amp; 317'!$H$198:$H$199</definedName>
    <definedName name="OSRRefH22_10x_0" localSheetId="50">'301'!$H$61</definedName>
    <definedName name="OSRRefH22_10x_0" localSheetId="51">'306'!$H$59</definedName>
    <definedName name="OSRRefH22_10x_0" localSheetId="53">'307'!$H$89:$H$90</definedName>
    <definedName name="OSRRefH22_10x_0" localSheetId="54">'308'!$H$102:$H$103</definedName>
    <definedName name="OSRRefH22_10x_0" localSheetId="66">'309'!$H$63</definedName>
    <definedName name="OSRRefH22_10x_0" localSheetId="65">'310'!$H$69</definedName>
    <definedName name="OSRRefH22_10x_0" localSheetId="73">'310 &amp; 491'!$H$76</definedName>
    <definedName name="OSRRefH22_10x_0" localSheetId="55">'311'!$H$101:$H$102</definedName>
    <definedName name="OSRRefH22_10x_0" localSheetId="67">'313'!$H$68</definedName>
    <definedName name="OSRRefH22_10x_0" localSheetId="58">'315'!$H$124</definedName>
    <definedName name="OSRRefH22_10x_0" localSheetId="61">'316'!$H$72:$H$76</definedName>
    <definedName name="OSRRefH22_10x_0" localSheetId="63">'317'!$H$94</definedName>
    <definedName name="OSRRefH22_10x_0" localSheetId="68">'321'!$H$66:$H$68</definedName>
    <definedName name="OSRRefH22_10x_0" localSheetId="69">'322'!$H$64</definedName>
    <definedName name="OSRRefH22_10x_0" localSheetId="70">'325'!$H$62</definedName>
    <definedName name="OSRRefH22_10x_0" localSheetId="59">'326'!$H$94</definedName>
    <definedName name="OSRRefH22_10x_0" localSheetId="52">'330'!$H$93:$H$94</definedName>
    <definedName name="OSRRefH22_10x_0" localSheetId="57">'331'!$H$126</definedName>
    <definedName name="OSRRefH22_10x_0" localSheetId="60">'332'!$H$74:$H$78</definedName>
    <definedName name="OSRRefH22_10x_0" localSheetId="75">'405'!$H$62</definedName>
    <definedName name="OSRRefH22_10x_0" localSheetId="77">'411'!$H$61:$H$64</definedName>
    <definedName name="OSRRefH22_10x_0" localSheetId="78">'412'!$H$60:$H$63</definedName>
    <definedName name="OSRRefH22_10x_0" localSheetId="79">'413'!$H$64:$H$71</definedName>
    <definedName name="OSRRefH22_10x_0" localSheetId="80">'414'!$H$63</definedName>
    <definedName name="OSRRefH22_10x_0" localSheetId="81">'415'!$H$65</definedName>
    <definedName name="OSRRefH22_10x_0" localSheetId="82">'418'!$H$64:$H$65</definedName>
    <definedName name="OSRRefH22_10x_0" localSheetId="90">'433'!$H$65</definedName>
    <definedName name="OSRRefH22_10x_0" localSheetId="92">'444'!$H$65</definedName>
    <definedName name="OSRRefH22_10x_0" localSheetId="93">'450'!$H$61</definedName>
    <definedName name="OSRRefH22_10x_0" localSheetId="74">'491'!$H$69</definedName>
    <definedName name="OSRRefH22_10x_0" localSheetId="88">'492'!$H$65</definedName>
    <definedName name="OSRRefH22_10x_0" localSheetId="95">'501'!$H$64</definedName>
    <definedName name="OSRRefH22_10x_0" localSheetId="39">'Div 2'!$H$63</definedName>
    <definedName name="OSRRefH22_10x_0" localSheetId="47">'Div 3'!$H$180:$H$181</definedName>
    <definedName name="OSRRefH22_10x_0" localSheetId="72">'Div 4'!$H$72</definedName>
    <definedName name="OSRRefH22_10x_0" localSheetId="94">'Div 5'!$H$64</definedName>
    <definedName name="OSRRefH22_10x_0" localSheetId="62">'Div 6'!$H$94</definedName>
    <definedName name="OSRRefH22_10x_0" localSheetId="2">Summary!$H$209:$H$210</definedName>
    <definedName name="OSRRefH22_11x_0" localSheetId="41">'201'!$H$63:$H$64</definedName>
    <definedName name="OSRRefH22_11x_0" localSheetId="42">'202'!$H$65</definedName>
    <definedName name="OSRRefH22_11x_0" localSheetId="43">'203'!$H$64:$H$67</definedName>
    <definedName name="OSRRefH22_11x_0" localSheetId="44">'204'!$H$65</definedName>
    <definedName name="OSRRefH22_11x_0" localSheetId="48">'300'!$H$179:$H$181</definedName>
    <definedName name="OSRRefH22_11x_0" localSheetId="49">'300 &amp; 317'!$H$201:$H$203</definedName>
    <definedName name="OSRRefH22_11x_0" localSheetId="50">'301'!$H$63</definedName>
    <definedName name="OSRRefH22_11x_0" localSheetId="53">'307'!$H$92:$H$95</definedName>
    <definedName name="OSRRefH22_11x_0" localSheetId="54">'308'!$H$105:$H$107</definedName>
    <definedName name="OSRRefH22_11x_0" localSheetId="65">'310'!$H$71</definedName>
    <definedName name="OSRRefH22_11x_0" localSheetId="73">'310 &amp; 491'!$H$78</definedName>
    <definedName name="OSRRefH22_11x_0" localSheetId="55">'311'!$H$104:$H$106</definedName>
    <definedName name="OSRRefH22_11x_0" localSheetId="67">'313'!$H$70</definedName>
    <definedName name="OSRRefH22_11x_0" localSheetId="58">'315'!$H$126</definedName>
    <definedName name="OSRRefH22_11x_0" localSheetId="61">'316'!$H$78</definedName>
    <definedName name="OSRRefH22_11x_0" localSheetId="63">'317'!$H$96:$H$99</definedName>
    <definedName name="OSRRefH22_11x_0" localSheetId="68">'321'!$H$70:$H$71</definedName>
    <definedName name="OSRRefH22_11x_0" localSheetId="69">'322'!$H$66</definedName>
    <definedName name="OSRRefH22_11x_0" localSheetId="70">'325'!$H$64:$H$67</definedName>
    <definedName name="OSRRefH22_11x_0" localSheetId="59">'326'!$H$96</definedName>
    <definedName name="OSRRefH22_11x_0" localSheetId="52">'330'!$H$96:$H$99</definedName>
    <definedName name="OSRRefH22_11x_0" localSheetId="57">'331'!$H$128:$H$129</definedName>
    <definedName name="OSRRefH22_11x_0" localSheetId="60">'332'!$H$80</definedName>
    <definedName name="OSRRefH22_11x_0" localSheetId="75">'405'!$H$64:$H$67</definedName>
    <definedName name="OSRRefH22_11x_0" localSheetId="77">'411'!$H$66:$H$67</definedName>
    <definedName name="OSRRefH22_11x_0" localSheetId="78">'412'!$H$65:$H$70</definedName>
    <definedName name="OSRRefH22_11x_0" localSheetId="79">'413'!$H$73:$H$74</definedName>
    <definedName name="OSRRefH22_11x_0" localSheetId="80">'414'!$H$65</definedName>
    <definedName name="OSRRefH22_11x_0" localSheetId="81">'415'!$H$67:$H$69</definedName>
    <definedName name="OSRRefH22_11x_0" localSheetId="82">'418'!$H$67:$H$76</definedName>
    <definedName name="OSRRefH22_11x_0" localSheetId="90">'433'!$H$67:$H$69</definedName>
    <definedName name="OSRRefH22_11x_0" localSheetId="92">'444'!$H$67:$H$70</definedName>
    <definedName name="OSRRefH22_11x_0" localSheetId="93">'450'!$H$63</definedName>
    <definedName name="OSRRefH22_11x_0" localSheetId="74">'491'!$H$71</definedName>
    <definedName name="OSRRefH22_11x_0" localSheetId="88">'492'!$H$67</definedName>
    <definedName name="OSRRefH22_11x_0" localSheetId="95">'501'!$H$66:$H$67</definedName>
    <definedName name="OSRRefH22_11x_0" localSheetId="39">'Div 2'!$H$65:$H$66</definedName>
    <definedName name="OSRRefH22_11x_0" localSheetId="47">'Div 3'!$H$183:$H$185</definedName>
    <definedName name="OSRRefH22_11x_0" localSheetId="72">'Div 4'!$H$74</definedName>
    <definedName name="OSRRefH22_11x_0" localSheetId="94">'Div 5'!$H$66:$H$67</definedName>
    <definedName name="OSRRefH22_11x_0" localSheetId="62">'Div 6'!$H$96:$H$99</definedName>
    <definedName name="OSRRefH22_11x_0" localSheetId="2">Summary!$H$212:$H$214</definedName>
    <definedName name="OSRRefH22_12x_0" localSheetId="41">'201'!$H$66</definedName>
    <definedName name="OSRRefH22_12x_0" localSheetId="42">'202'!$H$67</definedName>
    <definedName name="OSRRefH22_12x_0" localSheetId="43">'203'!$H$69</definedName>
    <definedName name="OSRRefH22_12x_0" localSheetId="44">'204'!$H$67</definedName>
    <definedName name="OSRRefH22_12x_0" localSheetId="48">'300'!$H$183</definedName>
    <definedName name="OSRRefH22_12x_0" localSheetId="49">'300 &amp; 317'!$H$205</definedName>
    <definedName name="OSRRefH22_12x_0" localSheetId="50">'301'!$H$65</definedName>
    <definedName name="OSRRefH22_12x_0" localSheetId="53">'307'!$H$97:$H$98</definedName>
    <definedName name="OSRRefH22_12x_0" localSheetId="54">'308'!$H$109:$H$110</definedName>
    <definedName name="OSRRefH22_12x_0" localSheetId="65">'310'!$H$73</definedName>
    <definedName name="OSRRefH22_12x_0" localSheetId="73">'310 &amp; 491'!$H$80</definedName>
    <definedName name="OSRRefH22_12x_0" localSheetId="55">'311'!$H$108:$H$109</definedName>
    <definedName name="OSRRefH22_12x_0" localSheetId="58">'315'!$H$128:$H$130</definedName>
    <definedName name="OSRRefH22_12x_0" localSheetId="61">'316'!$H$80</definedName>
    <definedName name="OSRRefH22_12x_0" localSheetId="63">'317'!$H$101</definedName>
    <definedName name="OSRRefH22_12x_0" localSheetId="68">'321'!$H$73</definedName>
    <definedName name="OSRRefH22_12x_0" localSheetId="70">'325'!$H$69:$H$71</definedName>
    <definedName name="OSRRefH22_12x_0" localSheetId="59">'326'!$H$98</definedName>
    <definedName name="OSRRefH22_12x_0" localSheetId="52">'330'!$H$101:$H$102</definedName>
    <definedName name="OSRRefH22_12x_0" localSheetId="57">'331'!$H$131</definedName>
    <definedName name="OSRRefH22_12x_0" localSheetId="60">'332'!$H$82</definedName>
    <definedName name="OSRRefH22_12x_0" localSheetId="75">'405'!$H$69</definedName>
    <definedName name="OSRRefH22_12x_0" localSheetId="77">'411'!$H$69:$H$75</definedName>
    <definedName name="OSRRefH22_12x_0" localSheetId="78">'412'!$H$72:$H$73</definedName>
    <definedName name="OSRRefH22_12x_0" localSheetId="79">'413'!$H$76</definedName>
    <definedName name="OSRRefH22_12x_0" localSheetId="80">'414'!$H$67:$H$69</definedName>
    <definedName name="OSRRefH22_12x_0" localSheetId="81">'415'!$H$71:$H$75</definedName>
    <definedName name="OSRRefH22_12x_0" localSheetId="82">'418'!$H$78:$H$79</definedName>
    <definedName name="OSRRefH22_12x_0" localSheetId="90">'433'!$H$71:$H$74</definedName>
    <definedName name="OSRRefH22_12x_0" localSheetId="92">'444'!$H$72:$H$75</definedName>
    <definedName name="OSRRefH22_12x_0" localSheetId="93">'450'!$H$65</definedName>
    <definedName name="OSRRefH22_12x_0" localSheetId="74">'491'!$H$73</definedName>
    <definedName name="OSRRefH22_12x_0" localSheetId="88">'492'!$H$69:$H$72</definedName>
    <definedName name="OSRRefH22_12x_0" localSheetId="95">'501'!$H$69</definedName>
    <definedName name="OSRRefH22_12x_0" localSheetId="39">'Div 2'!$H$68:$H$71</definedName>
    <definedName name="OSRRefH22_12x_0" localSheetId="47">'Div 3'!$H$187</definedName>
    <definedName name="OSRRefH22_12x_0" localSheetId="72">'Div 4'!$H$76</definedName>
    <definedName name="OSRRefH22_12x_0" localSheetId="94">'Div 5'!$H$69</definedName>
    <definedName name="OSRRefH22_12x_0" localSheetId="62">'Div 6'!$H$101</definedName>
    <definedName name="OSRRefH22_12x_0" localSheetId="2">Summary!$H$216</definedName>
    <definedName name="OSRRefH22_13x_0" localSheetId="41">'201'!$H$68:$H$70</definedName>
    <definedName name="OSRRefH22_13x_0" localSheetId="43">'203'!$H$71</definedName>
    <definedName name="OSRRefH22_13x_0" localSheetId="48">'300'!$H$185:$H$186</definedName>
    <definedName name="OSRRefH22_13x_0" localSheetId="49">'300 &amp; 317'!$H$207:$H$208</definedName>
    <definedName name="OSRRefH22_13x_0" localSheetId="50">'301'!$H$67</definedName>
    <definedName name="OSRRefH22_13x_0" localSheetId="53">'307'!$H$100</definedName>
    <definedName name="OSRRefH22_13x_0" localSheetId="54">'308'!$H$112</definedName>
    <definedName name="OSRRefH22_13x_0" localSheetId="65">'310'!$H$75:$H$78</definedName>
    <definedName name="OSRRefH22_13x_0" localSheetId="73">'310 &amp; 491'!$H$82</definedName>
    <definedName name="OSRRefH22_13x_0" localSheetId="55">'311'!$H$111</definedName>
    <definedName name="OSRRefH22_13x_0" localSheetId="58">'315'!$H$132:$H$133</definedName>
    <definedName name="OSRRefH22_13x_0" localSheetId="63">'317'!$H$103</definedName>
    <definedName name="OSRRefH22_13x_0" localSheetId="68">'321'!$H$75</definedName>
    <definedName name="OSRRefH22_13x_0" localSheetId="70">'325'!$H$73</definedName>
    <definedName name="OSRRefH22_13x_0" localSheetId="59">'326'!$H$100:$H$102</definedName>
    <definedName name="OSRRefH22_13x_0" localSheetId="52">'330'!$H$104</definedName>
    <definedName name="OSRRefH22_13x_0" localSheetId="57">'331'!$H$133</definedName>
    <definedName name="OSRRefH22_13x_0" localSheetId="75">'405'!$H$71:$H$79</definedName>
    <definedName name="OSRRefH22_13x_0" localSheetId="77">'411'!$H$77</definedName>
    <definedName name="OSRRefH22_13x_0" localSheetId="78">'412'!$H$75</definedName>
    <definedName name="OSRRefH22_13x_0" localSheetId="80">'414'!$H$71</definedName>
    <definedName name="OSRRefH22_13x_0" localSheetId="81">'415'!$H$77</definedName>
    <definedName name="OSRRefH22_13x_0" localSheetId="82">'418'!$H$81</definedName>
    <definedName name="OSRRefH22_13x_0" localSheetId="90">'433'!$H$76:$H$83</definedName>
    <definedName name="OSRRefH22_13x_0" localSheetId="92">'444'!$H$77</definedName>
    <definedName name="OSRRefH22_13x_0" localSheetId="93">'450'!$H$67:$H$69</definedName>
    <definedName name="OSRRefH22_13x_0" localSheetId="74">'491'!$H$75</definedName>
    <definedName name="OSRRefH22_13x_0" localSheetId="88">'492'!$H$74:$H$77</definedName>
    <definedName name="OSRRefH22_13x_0" localSheetId="95">'501'!$H$71</definedName>
    <definedName name="OSRRefH22_13x_0" localSheetId="39">'Div 2'!$H$73:$H$76</definedName>
    <definedName name="OSRRefH22_13x_0" localSheetId="47">'Div 3'!$H$189</definedName>
    <definedName name="OSRRefH22_13x_0" localSheetId="72">'Div 4'!$H$78</definedName>
    <definedName name="OSRRefH22_13x_0" localSheetId="94">'Div 5'!$H$71</definedName>
    <definedName name="OSRRefH22_13x_0" localSheetId="62">'Div 6'!$H$103</definedName>
    <definedName name="OSRRefH22_13x_0" localSheetId="2">Summary!$H$218</definedName>
    <definedName name="OSRRefH22_14x_0" localSheetId="41">'201'!$H$72</definedName>
    <definedName name="OSRRefH22_14x_0" localSheetId="43">'203'!$H$73</definedName>
    <definedName name="OSRRefH22_14x_0" localSheetId="48">'300'!$H$188</definedName>
    <definedName name="OSRRefH22_14x_0" localSheetId="49">'300 &amp; 317'!$H$210</definedName>
    <definedName name="OSRRefH22_14x_0" localSheetId="50">'301'!$H$69</definedName>
    <definedName name="OSRRefH22_14x_0" localSheetId="54">'308'!$H$114</definedName>
    <definedName name="OSRRefH22_14x_0" localSheetId="65">'310'!$H$80:$H$81</definedName>
    <definedName name="OSRRefH22_14x_0" localSheetId="73">'310 &amp; 491'!$H$84:$H$87</definedName>
    <definedName name="OSRRefH22_14x_0" localSheetId="55">'311'!$H$113</definedName>
    <definedName name="OSRRefH22_14x_0" localSheetId="58">'315'!$H$135:$H$141</definedName>
    <definedName name="OSRRefH22_14x_0" localSheetId="70">'325'!$H$75:$H$79</definedName>
    <definedName name="OSRRefH22_14x_0" localSheetId="59">'326'!$H$104:$H$106</definedName>
    <definedName name="OSRRefH22_14x_0" localSheetId="57">'331'!$H$135:$H$137</definedName>
    <definedName name="OSRRefH22_14x_0" localSheetId="75">'405'!$H$81</definedName>
    <definedName name="OSRRefH22_14x_0" localSheetId="77">'411'!$H$79</definedName>
    <definedName name="OSRRefH22_14x_0" localSheetId="80">'414'!$H$73</definedName>
    <definedName name="OSRRefH22_14x_0" localSheetId="81">'415'!$H$79:$H$86</definedName>
    <definedName name="OSRRefH22_14x_0" localSheetId="90">'433'!$H$85</definedName>
    <definedName name="OSRRefH22_14x_0" localSheetId="92">'444'!$H$79:$H$87</definedName>
    <definedName name="OSRRefH22_14x_0" localSheetId="93">'450'!$H$71:$H$77</definedName>
    <definedName name="OSRRefH22_14x_0" localSheetId="74">'491'!$H$77:$H$80</definedName>
    <definedName name="OSRRefH22_14x_0" localSheetId="88">'492'!$H$79</definedName>
    <definedName name="OSRRefH22_14x_0" localSheetId="39">'Div 2'!$H$78:$H$79</definedName>
    <definedName name="OSRRefH22_14x_0" localSheetId="47">'Div 3'!$H$191:$H$192</definedName>
    <definedName name="OSRRefH22_14x_0" localSheetId="72">'Div 4'!$H$80</definedName>
    <definedName name="OSRRefH22_14x_0" localSheetId="2">Summary!$H$220:$H$221</definedName>
    <definedName name="OSRRefH22_15x_0" localSheetId="41">'201'!$H$74</definedName>
    <definedName name="OSRRefH22_15x_0" localSheetId="48">'300'!$H$190</definedName>
    <definedName name="OSRRefH22_15x_0" localSheetId="49">'300 &amp; 317'!$H$212</definedName>
    <definedName name="OSRRefH22_15x_0" localSheetId="50">'301'!$H$71:$H$74</definedName>
    <definedName name="OSRRefH22_15x_0" localSheetId="65">'310'!$H$83:$H$86</definedName>
    <definedName name="OSRRefH22_15x_0" localSheetId="73">'310 &amp; 491'!$H$89:$H$90</definedName>
    <definedName name="OSRRefH22_15x_0" localSheetId="58">'315'!$H$143</definedName>
    <definedName name="OSRRefH22_15x_0" localSheetId="70">'325'!$H$81:$H$82</definedName>
    <definedName name="OSRRefH22_15x_0" localSheetId="59">'326'!$H$108:$H$109</definedName>
    <definedName name="OSRRefH22_15x_0" localSheetId="57">'331'!$H$139:$H$141</definedName>
    <definedName name="OSRRefH22_15x_0" localSheetId="75">'405'!$H$83</definedName>
    <definedName name="OSRRefH22_15x_0" localSheetId="77">'411'!$H$81</definedName>
    <definedName name="OSRRefH22_15x_0" localSheetId="80">'414'!$H$75</definedName>
    <definedName name="OSRRefH22_15x_0" localSheetId="81">'415'!$H$88:$H$89</definedName>
    <definedName name="OSRRefH22_15x_0" localSheetId="90">'433'!$H$87</definedName>
    <definedName name="OSRRefH22_15x_0" localSheetId="92">'444'!$H$89:$H$90</definedName>
    <definedName name="OSRRefH22_15x_0" localSheetId="93">'450'!$H$79:$H$80</definedName>
    <definedName name="OSRRefH22_15x_0" localSheetId="74">'491'!$H$82:$H$83</definedName>
    <definedName name="OSRRefH22_15x_0" localSheetId="88">'492'!$H$81:$H$90</definedName>
    <definedName name="OSRRefH22_15x_0" localSheetId="39">'Div 2'!$H$81:$H$82</definedName>
    <definedName name="OSRRefH22_15x_0" localSheetId="47">'Div 3'!$H$194</definedName>
    <definedName name="OSRRefH22_15x_0" localSheetId="72">'Div 4'!$H$82:$H$85</definedName>
    <definedName name="OSRRefH22_15x_0" localSheetId="2">Summary!$H$223</definedName>
    <definedName name="OSRRefH22_16x_0" localSheetId="41">'201'!$H$76</definedName>
    <definedName name="OSRRefH22_16x_0" localSheetId="48">'300'!$H$192:$H$195</definedName>
    <definedName name="OSRRefH22_16x_0" localSheetId="49">'300 &amp; 317'!$H$214:$H$217</definedName>
    <definedName name="OSRRefH22_16x_0" localSheetId="50">'301'!$H$76:$H$78</definedName>
    <definedName name="OSRRefH22_16x_0" localSheetId="65">'310'!$H$88</definedName>
    <definedName name="OSRRefH22_16x_0" localSheetId="73">'310 &amp; 491'!$H$92:$H$96</definedName>
    <definedName name="OSRRefH22_16x_0" localSheetId="58">'315'!$H$145</definedName>
    <definedName name="OSRRefH22_16x_0" localSheetId="70">'325'!$H$84</definedName>
    <definedName name="OSRRefH22_16x_0" localSheetId="59">'326'!$H$111:$H$116</definedName>
    <definedName name="OSRRefH22_16x_0" localSheetId="57">'331'!$H$143:$H$145</definedName>
    <definedName name="OSRRefH22_16x_0" localSheetId="75">'405'!$H$85</definedName>
    <definedName name="OSRRefH22_16x_0" localSheetId="77">'411'!$H$83</definedName>
    <definedName name="OSRRefH22_16x_0" localSheetId="81">'415'!$H$91</definedName>
    <definedName name="OSRRefH22_16x_0" localSheetId="92">'444'!$H$92</definedName>
    <definedName name="OSRRefH22_16x_0" localSheetId="93">'450'!$H$82</definedName>
    <definedName name="OSRRefH22_16x_0" localSheetId="74">'491'!$H$85:$H$89</definedName>
    <definedName name="OSRRefH22_16x_0" localSheetId="88">'492'!$H$92:$H$93</definedName>
    <definedName name="OSRRefH22_16x_0" localSheetId="39">'Div 2'!$H$84:$H$89</definedName>
    <definedName name="OSRRefH22_16x_0" localSheetId="47">'Div 3'!$H$196</definedName>
    <definedName name="OSRRefH22_16x_0" localSheetId="72">'Div 4'!$H$87:$H$88</definedName>
    <definedName name="OSRRefH22_16x_0" localSheetId="2">Summary!$H$225</definedName>
    <definedName name="OSRRefH22_17x_0" localSheetId="48">'300'!$H$197:$H$200</definedName>
    <definedName name="OSRRefH22_17x_0" localSheetId="49">'300 &amp; 317'!$H$219:$H$222</definedName>
    <definedName name="OSRRefH22_17x_0" localSheetId="50">'301'!$H$80:$H$81</definedName>
    <definedName name="OSRRefH22_17x_0" localSheetId="65">'310'!$H$90:$H$96</definedName>
    <definedName name="OSRRefH22_17x_0" localSheetId="73">'310 &amp; 491'!$H$98:$H$99</definedName>
    <definedName name="OSRRefH22_17x_0" localSheetId="58">'315'!$H$147:$H$148</definedName>
    <definedName name="OSRRefH22_17x_0" localSheetId="70">'325'!$H$86</definedName>
    <definedName name="OSRRefH22_17x_0" localSheetId="59">'326'!$H$118:$H$119</definedName>
    <definedName name="OSRRefH22_17x_0" localSheetId="57">'331'!$H$147:$H$148</definedName>
    <definedName name="OSRRefH22_17x_0" localSheetId="75">'405'!$H$87</definedName>
    <definedName name="OSRRefH22_17x_0" localSheetId="81">'415'!$H$93:$H$94</definedName>
    <definedName name="OSRRefH22_17x_0" localSheetId="92">'444'!$H$94</definedName>
    <definedName name="OSRRefH22_17x_0" localSheetId="74">'491'!$H$91:$H$92</definedName>
    <definedName name="OSRRefH22_17x_0" localSheetId="88">'492'!$H$95</definedName>
    <definedName name="OSRRefH22_17x_0" localSheetId="39">'Div 2'!$H$91:$H$92</definedName>
    <definedName name="OSRRefH22_17x_0" localSheetId="47">'Div 3'!$H$198:$H$201</definedName>
    <definedName name="OSRRefH22_17x_0" localSheetId="72">'Div 4'!$H$90:$H$94</definedName>
    <definedName name="OSRRefH22_17x_0" localSheetId="2">Summary!$H$227</definedName>
    <definedName name="OSRRefH22_18x_0" localSheetId="48">'300'!$H$202:$H$205</definedName>
    <definedName name="OSRRefH22_18x_0" localSheetId="49">'300 &amp; 317'!$H$224:$H$227</definedName>
    <definedName name="OSRRefH22_18x_0" localSheetId="50">'301'!$H$83:$H$89</definedName>
    <definedName name="OSRRefH22_18x_0" localSheetId="65">'310'!$H$98:$H$99</definedName>
    <definedName name="OSRRefH22_18x_0" localSheetId="73">'310 &amp; 491'!$H$101:$H$111</definedName>
    <definedName name="OSRRefH22_18x_0" localSheetId="59">'326'!$H$121</definedName>
    <definedName name="OSRRefH22_18x_0" localSheetId="57">'331'!$H$150:$H$157</definedName>
    <definedName name="OSRRefH22_18x_0" localSheetId="81">'415'!$H$96</definedName>
    <definedName name="OSRRefH22_18x_0" localSheetId="74">'491'!$H$94:$H$104</definedName>
    <definedName name="OSRRefH22_18x_0" localSheetId="88">'492'!$H$97:$H$98</definedName>
    <definedName name="OSRRefH22_18x_0" localSheetId="39">'Div 2'!$H$94</definedName>
    <definedName name="OSRRefH22_18x_0" localSheetId="47">'Div 3'!$H$203:$H$206</definedName>
    <definedName name="OSRRefH22_18x_0" localSheetId="72">'Div 4'!$H$96:$H$97</definedName>
    <definedName name="OSRRefH22_18x_0" localSheetId="2">Summary!$H$229:$H$232</definedName>
    <definedName name="OSRRefH22_19x_0" localSheetId="48">'300'!$H$207:$H$208</definedName>
    <definedName name="OSRRefH22_19x_0" localSheetId="49">'300 &amp; 317'!$H$229:$H$230</definedName>
    <definedName name="OSRRefH22_19x_0" localSheetId="50">'301'!$H$91</definedName>
    <definedName name="OSRRefH22_19x_0" localSheetId="65">'310'!$H$101</definedName>
    <definedName name="OSRRefH22_19x_0" localSheetId="73">'310 &amp; 491'!$H$113:$H$114</definedName>
    <definedName name="OSRRefH22_19x_0" localSheetId="59">'326'!$H$123:$H$124</definedName>
    <definedName name="OSRRefH22_19x_0" localSheetId="57">'331'!$H$159:$H$160</definedName>
    <definedName name="OSRRefH22_19x_0" localSheetId="74">'491'!$H$106:$H$107</definedName>
    <definedName name="OSRRefH22_19x_0" localSheetId="39">'Div 2'!$H$96:$H$97</definedName>
    <definedName name="OSRRefH22_19x_0" localSheetId="47">'Div 3'!$H$208:$H$212</definedName>
    <definedName name="OSRRefH22_19x_0" localSheetId="72">'Div 4'!$H$99:$H$109</definedName>
    <definedName name="OSRRefH22_19x_0" localSheetId="2">Summary!$H$234:$H$237</definedName>
    <definedName name="OSRRefH22_1x_0" localSheetId="40">'200'!$H$23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'300'!$H$145:$H$154</definedName>
    <definedName name="OSRRefH22_1x_0" localSheetId="49">'300 &amp; 317'!$H$167:$H$176</definedName>
    <definedName name="OSRRefH22_1x_0" localSheetId="50">'301'!$H$32:$H$41</definedName>
    <definedName name="OSRRefH22_1x_0" localSheetId="51">'306'!$H$30:$H$39</definedName>
    <definedName name="OSRRefH22_1x_0" localSheetId="53">'307'!$H$60:$H$69</definedName>
    <definedName name="OSRRefH22_1x_0" localSheetId="54">'308'!$H$70:$H$79</definedName>
    <definedName name="OSRRefH22_1x_0" localSheetId="66">'309'!$H$32:$H$41</definedName>
    <definedName name="OSRRefH22_1x_0" localSheetId="65">'310'!$H$41:$H$50</definedName>
    <definedName name="OSRRefH22_1x_0" localSheetId="73">'310 &amp; 491'!$H$46:$H$55</definedName>
    <definedName name="OSRRefH22_1x_0" localSheetId="55">'311'!$H$69:$H$78</definedName>
    <definedName name="OSRRefH22_1x_0" localSheetId="67">'313'!$H$37:$H$46</definedName>
    <definedName name="OSRRefH22_1x_0" localSheetId="58">'315'!$H$94:$H$103</definedName>
    <definedName name="OSRRefH22_1x_0" localSheetId="61">'316'!$H$42:$H$51</definedName>
    <definedName name="OSRRefH22_1x_0" localSheetId="63">'317'!$H$65:$H$74</definedName>
    <definedName name="OSRRefH22_1x_0" localSheetId="64">'320'!$H$25</definedName>
    <definedName name="OSRRefH22_1x_0" localSheetId="68">'321'!$H$36:$H$45</definedName>
    <definedName name="OSRRefH22_1x_0" localSheetId="69">'322'!$H$32:$H$41</definedName>
    <definedName name="OSRRefH22_1x_0" localSheetId="56">'324'!$H$36:$H$45</definedName>
    <definedName name="OSRRefH22_1x_0" localSheetId="70">'325'!$H$34:$H$43</definedName>
    <definedName name="OSRRefH22_1x_0" localSheetId="59">'326'!$H$66:$H$75</definedName>
    <definedName name="OSRRefH22_1x_0" localSheetId="71">'327'!$H$27</definedName>
    <definedName name="OSRRefH22_1x_0" localSheetId="52">'330'!$H$64:$H$73</definedName>
    <definedName name="OSRRefH22_1x_0" localSheetId="57">'331'!$H$96:$H$105</definedName>
    <definedName name="OSRRefH22_1x_0" localSheetId="60">'332'!$H$44:$H$53</definedName>
    <definedName name="OSRRefH22_1x_0" localSheetId="75">'405'!$H$33:$H$42</definedName>
    <definedName name="OSRRefH22_1x_0" localSheetId="76">'406'!$H$22</definedName>
    <definedName name="OSRRefH22_1x_0" localSheetId="77">'411'!$H$30:$H$39</definedName>
    <definedName name="OSRRefH22_1x_0" localSheetId="78">'412'!$H$31:$H$40</definedName>
    <definedName name="OSRRefH22_1x_0" localSheetId="79">'413'!$H$33:$H$42</definedName>
    <definedName name="OSRRefH22_1x_0" localSheetId="80">'414'!$H$35:$H$44</definedName>
    <definedName name="OSRRefH22_1x_0" localSheetId="81">'415'!$H$37:$H$46</definedName>
    <definedName name="OSRRefH22_1x_0" localSheetId="82">'418'!$H$33:$H$42</definedName>
    <definedName name="OSRRefH22_1x_0" localSheetId="83">'420'!$H$24</definedName>
    <definedName name="OSRRefH22_1x_0" localSheetId="84">'423'!$H$29:$H$38</definedName>
    <definedName name="OSRRefH22_1x_0" localSheetId="85">'424'!$H$22</definedName>
    <definedName name="OSRRefH22_1x_0" localSheetId="87">'425'!$H$27</definedName>
    <definedName name="OSRRefH22_1x_0" localSheetId="89">'430'!$H$30:$H$39</definedName>
    <definedName name="OSRRefH22_1x_0" localSheetId="90">'433'!$H$38:$H$47</definedName>
    <definedName name="OSRRefH22_1x_0" localSheetId="92">'444'!$H$38:$H$47</definedName>
    <definedName name="OSRRefH22_1x_0" localSheetId="93">'450'!$H$34:$H$43</definedName>
    <definedName name="OSRRefH22_1x_0" localSheetId="74">'491'!$H$40:$H$49</definedName>
    <definedName name="OSRRefH22_1x_0" localSheetId="88">'492'!$H$38:$H$47</definedName>
    <definedName name="OSRRefH22_1x_0" localSheetId="95">'501'!$H$33:$H$42</definedName>
    <definedName name="OSRRefH22_1x_0" localSheetId="39">'Div 2'!$H$33:$H$42</definedName>
    <definedName name="OSRRefH22_1x_0" localSheetId="47">'Div 3'!$H$149:$H$158</definedName>
    <definedName name="OSRRefH22_1x_0" localSheetId="72">'Div 4'!$H$43:$H$52</definedName>
    <definedName name="OSRRefH22_1x_0" localSheetId="94">'Div 5'!$H$33:$H$42</definedName>
    <definedName name="OSRRefH22_1x_0" localSheetId="62">'Div 6'!$H$65:$H$74</definedName>
    <definedName name="OSRRefH22_1x_0" localSheetId="2">Summary!$H$177:$H$186</definedName>
    <definedName name="OSRRefH22_20x_0" localSheetId="48">'300'!$H$210:$H$218</definedName>
    <definedName name="OSRRefH22_20x_0" localSheetId="49">'300 &amp; 317'!$H$232:$H$240</definedName>
    <definedName name="OSRRefH22_20x_0" localSheetId="50">'301'!$H$93</definedName>
    <definedName name="OSRRefH22_20x_0" localSheetId="65">'310'!$H$103</definedName>
    <definedName name="OSRRefH22_20x_0" localSheetId="73">'310 &amp; 491'!$H$116</definedName>
    <definedName name="OSRRefH22_20x_0" localSheetId="59">'326'!$H$126</definedName>
    <definedName name="OSRRefH22_20x_0" localSheetId="57">'331'!$H$162</definedName>
    <definedName name="OSRRefH22_20x_0" localSheetId="74">'491'!$H$109</definedName>
    <definedName name="OSRRefH22_20x_0" localSheetId="47">'Div 3'!$H$214:$H$215</definedName>
    <definedName name="OSRRefH22_20x_0" localSheetId="72">'Div 4'!$H$111:$H$112</definedName>
    <definedName name="OSRRefH22_20x_0" localSheetId="2">Summary!$H$239:$H$243</definedName>
    <definedName name="OSRRefH22_21x_0" localSheetId="48">'300'!$H$220:$H$221</definedName>
    <definedName name="OSRRefH22_21x_0" localSheetId="49">'300 &amp; 317'!$H$242:$H$243</definedName>
    <definedName name="OSRRefH22_21x_0" localSheetId="50">'301'!$H$95:$H$97</definedName>
    <definedName name="OSRRefH22_21x_0" localSheetId="65">'310'!$H$105</definedName>
    <definedName name="OSRRefH22_21x_0" localSheetId="73">'310 &amp; 491'!$H$118:$H$120</definedName>
    <definedName name="OSRRefH22_21x_0" localSheetId="57">'331'!$H$164:$H$165</definedName>
    <definedName name="OSRRefH22_21x_0" localSheetId="74">'491'!$H$111:$H$113</definedName>
    <definedName name="OSRRefH22_21x_0" localSheetId="47">'Div 3'!$H$217:$H$225</definedName>
    <definedName name="OSRRefH22_21x_0" localSheetId="72">'Div 4'!$H$114</definedName>
    <definedName name="OSRRefH22_21x_0" localSheetId="2">Summary!$H$245:$H$246</definedName>
    <definedName name="OSRRefH22_22x_0" localSheetId="48">'300'!$H$223</definedName>
    <definedName name="OSRRefH22_22x_0" localSheetId="49">'300 &amp; 317'!$H$245</definedName>
    <definedName name="OSRRefH22_22x_0" localSheetId="50">'301'!$H$99</definedName>
    <definedName name="OSRRefH22_22x_0" localSheetId="73">'310 &amp; 491'!$H$122</definedName>
    <definedName name="OSRRefH22_22x_0" localSheetId="57">'331'!$H$167</definedName>
    <definedName name="OSRRefH22_22x_0" localSheetId="74">'491'!$H$115</definedName>
    <definedName name="OSRRefH22_22x_0" localSheetId="47">'Div 3'!$H$227:$H$228</definedName>
    <definedName name="OSRRefH22_22x_0" localSheetId="72">'Div 4'!$H$116:$H$118</definedName>
    <definedName name="OSRRefH22_22x_0" localSheetId="2">Summary!$H$248:$H$258</definedName>
    <definedName name="OSRRefH22_23x_0" localSheetId="48">'300'!$H$225:$H$227</definedName>
    <definedName name="OSRRefH22_23x_0" localSheetId="49">'300 &amp; 317'!$H$247:$H$249</definedName>
    <definedName name="OSRRefH22_23x_0" localSheetId="47">'Div 3'!$H$230</definedName>
    <definedName name="OSRRefH22_23x_0" localSheetId="72">'Div 4'!$H$120</definedName>
    <definedName name="OSRRefH22_23x_0" localSheetId="2">Summary!$H$260:$H$261</definedName>
    <definedName name="OSRRefH22_24x_0" localSheetId="48">'300'!$H$229</definedName>
    <definedName name="OSRRefH22_24x_0" localSheetId="49">'300 &amp; 317'!$H$251</definedName>
    <definedName name="OSRRefH22_24x_0" localSheetId="47">'Div 3'!$H$232:$H$234</definedName>
    <definedName name="OSRRefH22_24x_0" localSheetId="2">Summary!$H$263</definedName>
    <definedName name="OSRRefH22_25x_0" localSheetId="47">'Div 3'!$H$236</definedName>
    <definedName name="OSRRefH22_25x_0" localSheetId="2">Summary!$H$265:$H$267</definedName>
    <definedName name="OSRRefH22_26x_0" localSheetId="2">Summary!$H$269</definedName>
    <definedName name="OSRRefH22_2x_0" localSheetId="40">'200'!$H$25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'300'!$H$156</definedName>
    <definedName name="OSRRefH22_2x_0" localSheetId="49">'300 &amp; 317'!$H$178</definedName>
    <definedName name="OSRRefH22_2x_0" localSheetId="50">'301'!$H$43</definedName>
    <definedName name="OSRRefH22_2x_0" localSheetId="51">'306'!$H$41</definedName>
    <definedName name="OSRRefH22_2x_0" localSheetId="53">'307'!$H$71</definedName>
    <definedName name="OSRRefH22_2x_0" localSheetId="54">'308'!$H$81</definedName>
    <definedName name="OSRRefH22_2x_0" localSheetId="66">'309'!$H$43</definedName>
    <definedName name="OSRRefH22_2x_0" localSheetId="65">'310'!$H$52</definedName>
    <definedName name="OSRRefH22_2x_0" localSheetId="73">'310 &amp; 491'!$H$57</definedName>
    <definedName name="OSRRefH22_2x_0" localSheetId="55">'311'!$H$80</definedName>
    <definedName name="OSRRefH22_2x_0" localSheetId="67">'313'!$H$48</definedName>
    <definedName name="OSRRefH22_2x_0" localSheetId="58">'315'!$H$105</definedName>
    <definedName name="OSRRefH22_2x_0" localSheetId="61">'316'!$H$53</definedName>
    <definedName name="OSRRefH22_2x_0" localSheetId="63">'317'!$H$76</definedName>
    <definedName name="OSRRefH22_2x_0" localSheetId="64">'320'!$H$27</definedName>
    <definedName name="OSRRefH22_2x_0" localSheetId="68">'321'!$H$47</definedName>
    <definedName name="OSRRefH22_2x_0" localSheetId="69">'322'!$H$43</definedName>
    <definedName name="OSRRefH22_2x_0" localSheetId="70">'325'!$H$45</definedName>
    <definedName name="OSRRefH22_2x_0" localSheetId="59">'326'!$H$77</definedName>
    <definedName name="OSRRefH22_2x_0" localSheetId="52">'330'!$H$75</definedName>
    <definedName name="OSRRefH22_2x_0" localSheetId="57">'331'!$H$107</definedName>
    <definedName name="OSRRefH22_2x_0" localSheetId="60">'332'!$H$55</definedName>
    <definedName name="OSRRefH22_2x_0" localSheetId="75">'405'!$H$44</definedName>
    <definedName name="OSRRefH22_2x_0" localSheetId="76">'406'!$H$24</definedName>
    <definedName name="OSRRefH22_2x_0" localSheetId="77">'411'!$H$41</definedName>
    <definedName name="OSRRefH22_2x_0" localSheetId="78">'412'!$H$42</definedName>
    <definedName name="OSRRefH22_2x_0" localSheetId="79">'413'!$H$44</definedName>
    <definedName name="OSRRefH22_2x_0" localSheetId="80">'414'!$H$46</definedName>
    <definedName name="OSRRefH22_2x_0" localSheetId="81">'415'!$H$48</definedName>
    <definedName name="OSRRefH22_2x_0" localSheetId="82">'418'!$H$44</definedName>
    <definedName name="OSRRefH22_2x_0" localSheetId="84">'423'!$H$40</definedName>
    <definedName name="OSRRefH22_2x_0" localSheetId="85">'424'!$H$24</definedName>
    <definedName name="OSRRefH22_2x_0" localSheetId="87">'425'!$H$29</definedName>
    <definedName name="OSRRefH22_2x_0" localSheetId="89">'430'!$H$41</definedName>
    <definedName name="OSRRefH22_2x_0" localSheetId="90">'433'!$H$49</definedName>
    <definedName name="OSRRefH22_2x_0" localSheetId="92">'444'!$H$49</definedName>
    <definedName name="OSRRefH22_2x_0" localSheetId="93">'450'!$H$45</definedName>
    <definedName name="OSRRefH22_2x_0" localSheetId="74">'491'!$H$51</definedName>
    <definedName name="OSRRefH22_2x_0" localSheetId="88">'492'!$H$49</definedName>
    <definedName name="OSRRefH22_2x_0" localSheetId="95">'501'!$H$44</definedName>
    <definedName name="OSRRefH22_2x_0" localSheetId="39">'Div 2'!$H$44</definedName>
    <definedName name="OSRRefH22_2x_0" localSheetId="47">'Div 3'!$H$160</definedName>
    <definedName name="OSRRefH22_2x_0" localSheetId="72">'Div 4'!$H$54</definedName>
    <definedName name="OSRRefH22_2x_0" localSheetId="94">'Div 5'!$H$44</definedName>
    <definedName name="OSRRefH22_2x_0" localSheetId="62">'Div 6'!$H$76</definedName>
    <definedName name="OSRRefH22_2x_0" localSheetId="2">Summary!$H$188</definedName>
    <definedName name="OSRRefH22_3x_0" localSheetId="40">'200'!$H$27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'300'!$H$158:$H$159</definedName>
    <definedName name="OSRRefH22_3x_0" localSheetId="49">'300 &amp; 317'!$H$180:$H$181</definedName>
    <definedName name="OSRRefH22_3x_0" localSheetId="50">'301'!$H$45:$H$46</definedName>
    <definedName name="OSRRefH22_3x_0" localSheetId="51">'306'!$H$43</definedName>
    <definedName name="OSRRefH22_3x_0" localSheetId="53">'307'!$H$73</definedName>
    <definedName name="OSRRefH22_3x_0" localSheetId="54">'308'!$H$83:$H$84</definedName>
    <definedName name="OSRRefH22_3x_0" localSheetId="66">'309'!$H$45</definedName>
    <definedName name="OSRRefH22_3x_0" localSheetId="65">'310'!$H$54</definedName>
    <definedName name="OSRRefH22_3x_0" localSheetId="73">'310 &amp; 491'!$H$59</definedName>
    <definedName name="OSRRefH22_3x_0" localSheetId="55">'311'!$H$82:$H$83</definedName>
    <definedName name="OSRRefH22_3x_0" localSheetId="67">'313'!$H$50</definedName>
    <definedName name="OSRRefH22_3x_0" localSheetId="58">'315'!$H$107</definedName>
    <definedName name="OSRRefH22_3x_0" localSheetId="61">'316'!$H$55</definedName>
    <definedName name="OSRRefH22_3x_0" localSheetId="63">'317'!$H$78</definedName>
    <definedName name="OSRRefH22_3x_0" localSheetId="68">'321'!$H$49</definedName>
    <definedName name="OSRRefH22_3x_0" localSheetId="69">'322'!$H$45</definedName>
    <definedName name="OSRRefH22_3x_0" localSheetId="70">'325'!$H$47</definedName>
    <definedName name="OSRRefH22_3x_0" localSheetId="59">'326'!$H$79</definedName>
    <definedName name="OSRRefH22_3x_0" localSheetId="52">'330'!$H$77</definedName>
    <definedName name="OSRRefH22_3x_0" localSheetId="57">'331'!$H$109</definedName>
    <definedName name="OSRRefH22_3x_0" localSheetId="60">'332'!$H$57</definedName>
    <definedName name="OSRRefH22_3x_0" localSheetId="75">'405'!$H$46</definedName>
    <definedName name="OSRRefH22_3x_0" localSheetId="76">'406'!$H$26</definedName>
    <definedName name="OSRRefH22_3x_0" localSheetId="77">'411'!$H$43</definedName>
    <definedName name="OSRRefH22_3x_0" localSheetId="78">'412'!$H$44</definedName>
    <definedName name="OSRRefH22_3x_0" localSheetId="79">'413'!$H$46</definedName>
    <definedName name="OSRRefH22_3x_0" localSheetId="80">'414'!$H$48</definedName>
    <definedName name="OSRRefH22_3x_0" localSheetId="81">'415'!$H$50</definedName>
    <definedName name="OSRRefH22_3x_0" localSheetId="82">'418'!$H$46</definedName>
    <definedName name="OSRRefH22_3x_0" localSheetId="84">'423'!$H$42</definedName>
    <definedName name="OSRRefH22_3x_0" localSheetId="85">'424'!$H$26</definedName>
    <definedName name="OSRRefH22_3x_0" localSheetId="87">'425'!$H$31</definedName>
    <definedName name="OSRRefH22_3x_0" localSheetId="89">'430'!$H$43</definedName>
    <definedName name="OSRRefH22_3x_0" localSheetId="90">'433'!$H$51</definedName>
    <definedName name="OSRRefH22_3x_0" localSheetId="92">'444'!$H$51</definedName>
    <definedName name="OSRRefH22_3x_0" localSheetId="93">'450'!$H$47</definedName>
    <definedName name="OSRRefH22_3x_0" localSheetId="74">'491'!$H$53</definedName>
    <definedName name="OSRRefH22_3x_0" localSheetId="88">'492'!$H$51</definedName>
    <definedName name="OSRRefH22_3x_0" localSheetId="95">'501'!$H$46</definedName>
    <definedName name="OSRRefH22_3x_0" localSheetId="39">'Div 2'!$H$46</definedName>
    <definedName name="OSRRefH22_3x_0" localSheetId="47">'Div 3'!$H$162:$H$163</definedName>
    <definedName name="OSRRefH22_3x_0" localSheetId="72">'Div 4'!$H$56</definedName>
    <definedName name="OSRRefH22_3x_0" localSheetId="94">'Div 5'!$H$46</definedName>
    <definedName name="OSRRefH22_3x_0" localSheetId="62">'Div 6'!$H$78</definedName>
    <definedName name="OSRRefH22_3x_0" localSheetId="2">Summary!$H$190:$H$191</definedName>
    <definedName name="OSRRefH22_4x_0" localSheetId="40">'200'!$H$29:$H$30</definedName>
    <definedName name="OSRRefH22_4x_0" localSheetId="41">'201'!$H$46:$H$47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'205'!$H$45:$H$47</definedName>
    <definedName name="OSRRefH22_4x_0" localSheetId="46">'206'!$H$45</definedName>
    <definedName name="OSRRefH22_4x_0" localSheetId="48">'300'!$H$161</definedName>
    <definedName name="OSRRefH22_4x_0" localSheetId="49">'300 &amp; 317'!$H$183</definedName>
    <definedName name="OSRRefH22_4x_0" localSheetId="50">'301'!$H$48</definedName>
    <definedName name="OSRRefH22_4x_0" localSheetId="51">'306'!$H$45</definedName>
    <definedName name="OSRRefH22_4x_0" localSheetId="53">'307'!$H$75</definedName>
    <definedName name="OSRRefH22_4x_0" localSheetId="54">'308'!$H$86</definedName>
    <definedName name="OSRRefH22_4x_0" localSheetId="66">'309'!$H$47</definedName>
    <definedName name="OSRRefH22_4x_0" localSheetId="65">'310'!$H$56</definedName>
    <definedName name="OSRRefH22_4x_0" localSheetId="73">'310 &amp; 491'!$H$61</definedName>
    <definedName name="OSRRefH22_4x_0" localSheetId="55">'311'!$H$85</definedName>
    <definedName name="OSRRefH22_4x_0" localSheetId="67">'313'!$H$52</definedName>
    <definedName name="OSRRefH22_4x_0" localSheetId="58">'315'!$H$109</definedName>
    <definedName name="OSRRefH22_4x_0" localSheetId="61">'316'!$H$57</definedName>
    <definedName name="OSRRefH22_4x_0" localSheetId="63">'317'!$H$80</definedName>
    <definedName name="OSRRefH22_4x_0" localSheetId="68">'321'!$H$51</definedName>
    <definedName name="OSRRefH22_4x_0" localSheetId="69">'322'!$H$47</definedName>
    <definedName name="OSRRefH22_4x_0" localSheetId="70">'325'!$H$49</definedName>
    <definedName name="OSRRefH22_4x_0" localSheetId="59">'326'!$H$81</definedName>
    <definedName name="OSRRefH22_4x_0" localSheetId="52">'330'!$H$79</definedName>
    <definedName name="OSRRefH22_4x_0" localSheetId="57">'331'!$H$111</definedName>
    <definedName name="OSRRefH22_4x_0" localSheetId="60">'332'!$H$59</definedName>
    <definedName name="OSRRefH22_4x_0" localSheetId="75">'405'!$H$48:$H$49</definedName>
    <definedName name="OSRRefH22_4x_0" localSheetId="76">'406'!$H$28</definedName>
    <definedName name="OSRRefH22_4x_0" localSheetId="77">'411'!$H$45:$H$46</definedName>
    <definedName name="OSRRefH22_4x_0" localSheetId="78">'412'!$H$46:$H$47</definedName>
    <definedName name="OSRRefH22_4x_0" localSheetId="79">'413'!$H$48</definedName>
    <definedName name="OSRRefH22_4x_0" localSheetId="80">'414'!$H$50</definedName>
    <definedName name="OSRRefH22_4x_0" localSheetId="81">'415'!$H$52</definedName>
    <definedName name="OSRRefH22_4x_0" localSheetId="82">'418'!$H$48:$H$49</definedName>
    <definedName name="OSRRefH22_4x_0" localSheetId="84">'423'!$H$44:$H$45</definedName>
    <definedName name="OSRRefH22_4x_0" localSheetId="87">'425'!$H$33:$H$34</definedName>
    <definedName name="OSRRefH22_4x_0" localSheetId="89">'430'!$H$45:$H$47</definedName>
    <definedName name="OSRRefH22_4x_0" localSheetId="90">'433'!$H$53</definedName>
    <definedName name="OSRRefH22_4x_0" localSheetId="92">'444'!$H$53</definedName>
    <definedName name="OSRRefH22_4x_0" localSheetId="93">'450'!$H$49</definedName>
    <definedName name="OSRRefH22_4x_0" localSheetId="74">'491'!$H$55</definedName>
    <definedName name="OSRRefH22_4x_0" localSheetId="88">'492'!$H$53</definedName>
    <definedName name="OSRRefH22_4x_0" localSheetId="95">'501'!$H$48</definedName>
    <definedName name="OSRRefH22_4x_0" localSheetId="39">'Div 2'!$H$48</definedName>
    <definedName name="OSRRefH22_4x_0" localSheetId="47">'Div 3'!$H$165</definedName>
    <definedName name="OSRRefH22_4x_0" localSheetId="72">'Div 4'!$H$58</definedName>
    <definedName name="OSRRefH22_4x_0" localSheetId="94">'Div 5'!$H$48</definedName>
    <definedName name="OSRRefH22_4x_0" localSheetId="62">'Div 6'!$H$80</definedName>
    <definedName name="OSRRefH22_4x_0" localSheetId="2">Summary!$H$193</definedName>
    <definedName name="OSRRefH22_5x_0" localSheetId="41">'201'!$H$49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'205'!$H$49</definedName>
    <definedName name="OSRRefH22_5x_0" localSheetId="46">'206'!$H$47</definedName>
    <definedName name="OSRRefH22_5x_0" localSheetId="48">'300'!$H$163:$H$164</definedName>
    <definedName name="OSRRefH22_5x_0" localSheetId="49">'300 &amp; 317'!$H$185:$H$186</definedName>
    <definedName name="OSRRefH22_5x_0" localSheetId="50">'301'!$H$50:$H$51</definedName>
    <definedName name="OSRRefH22_5x_0" localSheetId="51">'306'!$H$47</definedName>
    <definedName name="OSRRefH22_5x_0" localSheetId="53">'307'!$H$77:$H$78</definedName>
    <definedName name="OSRRefH22_5x_0" localSheetId="54">'308'!$H$88</definedName>
    <definedName name="OSRRefH22_5x_0" localSheetId="66">'309'!$H$49</definedName>
    <definedName name="OSRRefH22_5x_0" localSheetId="65">'310'!$H$58:$H$59</definedName>
    <definedName name="OSRRefH22_5x_0" localSheetId="73">'310 &amp; 491'!$H$63:$H$65</definedName>
    <definedName name="OSRRefH22_5x_0" localSheetId="55">'311'!$H$87</definedName>
    <definedName name="OSRRefH22_5x_0" localSheetId="67">'313'!$H$54</definedName>
    <definedName name="OSRRefH22_5x_0" localSheetId="58">'315'!$H$111:$H$112</definedName>
    <definedName name="OSRRefH22_5x_0" localSheetId="61">'316'!$H$59</definedName>
    <definedName name="OSRRefH22_5x_0" localSheetId="63">'317'!$H$82</definedName>
    <definedName name="OSRRefH22_5x_0" localSheetId="68">'321'!$H$53</definedName>
    <definedName name="OSRRefH22_5x_0" localSheetId="69">'322'!$H$49</definedName>
    <definedName name="OSRRefH22_5x_0" localSheetId="70">'325'!$H$51:$H$52</definedName>
    <definedName name="OSRRefH22_5x_0" localSheetId="59">'326'!$H$83</definedName>
    <definedName name="OSRRefH22_5x_0" localSheetId="52">'330'!$H$81:$H$82</definedName>
    <definedName name="OSRRefH22_5x_0" localSheetId="57">'331'!$H$113:$H$114</definedName>
    <definedName name="OSRRefH22_5x_0" localSheetId="60">'332'!$H$61</definedName>
    <definedName name="OSRRefH22_5x_0" localSheetId="75">'405'!$H$51</definedName>
    <definedName name="OSRRefH22_5x_0" localSheetId="77">'411'!$H$48</definedName>
    <definedName name="OSRRefH22_5x_0" localSheetId="78">'412'!$H$49</definedName>
    <definedName name="OSRRefH22_5x_0" localSheetId="79">'413'!$H$50</definedName>
    <definedName name="OSRRefH22_5x_0" localSheetId="80">'414'!$H$52</definedName>
    <definedName name="OSRRefH22_5x_0" localSheetId="81">'415'!$H$54:$H$55</definedName>
    <definedName name="OSRRefH22_5x_0" localSheetId="82">'418'!$H$51</definedName>
    <definedName name="OSRRefH22_5x_0" localSheetId="84">'423'!$H$47</definedName>
    <definedName name="OSRRefH22_5x_0" localSheetId="87">'425'!$H$36</definedName>
    <definedName name="OSRRefH22_5x_0" localSheetId="89">'430'!$H$49:$H$50</definedName>
    <definedName name="OSRRefH22_5x_0" localSheetId="90">'433'!$H$55</definedName>
    <definedName name="OSRRefH22_5x_0" localSheetId="92">'444'!$H$55</definedName>
    <definedName name="OSRRefH22_5x_0" localSheetId="93">'450'!$H$51</definedName>
    <definedName name="OSRRefH22_5x_0" localSheetId="74">'491'!$H$57:$H$59</definedName>
    <definedName name="OSRRefH22_5x_0" localSheetId="88">'492'!$H$55</definedName>
    <definedName name="OSRRefH22_5x_0" localSheetId="95">'501'!$H$50:$H$51</definedName>
    <definedName name="OSRRefH22_5x_0" localSheetId="39">'Div 2'!$H$50:$H$51</definedName>
    <definedName name="OSRRefH22_5x_0" localSheetId="47">'Div 3'!$H$167:$H$168</definedName>
    <definedName name="OSRRefH22_5x_0" localSheetId="72">'Div 4'!$H$60:$H$62</definedName>
    <definedName name="OSRRefH22_5x_0" localSheetId="94">'Div 5'!$H$50:$H$51</definedName>
    <definedName name="OSRRefH22_5x_0" localSheetId="62">'Div 6'!$H$82</definedName>
    <definedName name="OSRRefH22_5x_0" localSheetId="2">Summary!$H$195:$H$197</definedName>
    <definedName name="OSRRefH22_6x_0" localSheetId="41">'201'!$H$51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'205'!$H$51:$H$53</definedName>
    <definedName name="OSRRefH22_6x_0" localSheetId="46">'206'!$H$49</definedName>
    <definedName name="OSRRefH22_6x_0" localSheetId="48">'300'!$H$166:$H$167</definedName>
    <definedName name="OSRRefH22_6x_0" localSheetId="49">'300 &amp; 317'!$H$188:$H$189</definedName>
    <definedName name="OSRRefH22_6x_0" localSheetId="50">'301'!$H$53</definedName>
    <definedName name="OSRRefH22_6x_0" localSheetId="51">'306'!$H$49:$H$50</definedName>
    <definedName name="OSRRefH22_6x_0" localSheetId="53">'307'!$H$80</definedName>
    <definedName name="OSRRefH22_6x_0" localSheetId="54">'308'!$H$90:$H$91</definedName>
    <definedName name="OSRRefH22_6x_0" localSheetId="66">'309'!$H$51</definedName>
    <definedName name="OSRRefH22_6x_0" localSheetId="65">'310'!$H$61</definedName>
    <definedName name="OSRRefH22_6x_0" localSheetId="73">'310 &amp; 491'!$H$67</definedName>
    <definedName name="OSRRefH22_6x_0" localSheetId="55">'311'!$H$89:$H$90</definedName>
    <definedName name="OSRRefH22_6x_0" localSheetId="67">'313'!$H$56:$H$57</definedName>
    <definedName name="OSRRefH22_6x_0" localSheetId="58">'315'!$H$114</definedName>
    <definedName name="OSRRefH22_6x_0" localSheetId="61">'316'!$H$61:$H$62</definedName>
    <definedName name="OSRRefH22_6x_0" localSheetId="63">'317'!$H$84:$H$85</definedName>
    <definedName name="OSRRefH22_6x_0" localSheetId="68">'321'!$H$55</definedName>
    <definedName name="OSRRefH22_6x_0" localSheetId="69">'322'!$H$51</definedName>
    <definedName name="OSRRefH22_6x_0" localSheetId="70">'325'!$H$54</definedName>
    <definedName name="OSRRefH22_6x_0" localSheetId="59">'326'!$H$85</definedName>
    <definedName name="OSRRefH22_6x_0" localSheetId="52">'330'!$H$84</definedName>
    <definedName name="OSRRefH22_6x_0" localSheetId="57">'331'!$H$116</definedName>
    <definedName name="OSRRefH22_6x_0" localSheetId="60">'332'!$H$63:$H$64</definedName>
    <definedName name="OSRRefH22_6x_0" localSheetId="75">'405'!$H$53</definedName>
    <definedName name="OSRRefH22_6x_0" localSheetId="77">'411'!$H$50</definedName>
    <definedName name="OSRRefH22_6x_0" localSheetId="78">'412'!$H$51</definedName>
    <definedName name="OSRRefH22_6x_0" localSheetId="79">'413'!$H$52</definedName>
    <definedName name="OSRRefH22_6x_0" localSheetId="80">'414'!$H$54</definedName>
    <definedName name="OSRRefH22_6x_0" localSheetId="81">'415'!$H$57</definedName>
    <definedName name="OSRRefH22_6x_0" localSheetId="82">'418'!$H$53</definedName>
    <definedName name="OSRRefH22_6x_0" localSheetId="84">'423'!$H$49</definedName>
    <definedName name="OSRRefH22_6x_0" localSheetId="89">'430'!$H$52</definedName>
    <definedName name="OSRRefH22_6x_0" localSheetId="90">'433'!$H$57</definedName>
    <definedName name="OSRRefH22_6x_0" localSheetId="92">'444'!$H$57</definedName>
    <definedName name="OSRRefH22_6x_0" localSheetId="93">'450'!$H$53</definedName>
    <definedName name="OSRRefH22_6x_0" localSheetId="74">'491'!$H$61</definedName>
    <definedName name="OSRRefH22_6x_0" localSheetId="88">'492'!$H$57</definedName>
    <definedName name="OSRRefH22_6x_0" localSheetId="95">'501'!$H$53</definedName>
    <definedName name="OSRRefH22_6x_0" localSheetId="39">'Div 2'!$H$53:$H$54</definedName>
    <definedName name="OSRRefH22_6x_0" localSheetId="47">'Div 3'!$H$170:$H$171</definedName>
    <definedName name="OSRRefH22_6x_0" localSheetId="72">'Div 4'!$H$64</definedName>
    <definedName name="OSRRefH22_6x_0" localSheetId="94">'Div 5'!$H$53</definedName>
    <definedName name="OSRRefH22_6x_0" localSheetId="62">'Div 6'!$H$84:$H$85</definedName>
    <definedName name="OSRRefH22_6x_0" localSheetId="2">Summary!$H$199:$H$200</definedName>
    <definedName name="OSRRefH22_7x_0" localSheetId="41">'201'!$H$53</definedName>
    <definedName name="OSRRefH22_7x_0" localSheetId="42">'202'!$H$53:$H$55</definedName>
    <definedName name="OSRRefH22_7x_0" localSheetId="43">'203'!$H$52:$H$53</definedName>
    <definedName name="OSRRefH22_7x_0" localSheetId="44">'204'!$H$53:$H$55</definedName>
    <definedName name="OSRRefH22_7x_0" localSheetId="45">'205'!$H$55</definedName>
    <definedName name="OSRRefH22_7x_0" localSheetId="46">'206'!$H$51</definedName>
    <definedName name="OSRRefH22_7x_0" localSheetId="48">'300'!$H$169:$H$170</definedName>
    <definedName name="OSRRefH22_7x_0" localSheetId="49">'300 &amp; 317'!$H$191:$H$192</definedName>
    <definedName name="OSRRefH22_7x_0" localSheetId="50">'301'!$H$55</definedName>
    <definedName name="OSRRefH22_7x_0" localSheetId="51">'306'!$H$52:$H$53</definedName>
    <definedName name="OSRRefH22_7x_0" localSheetId="53">'307'!$H$82</definedName>
    <definedName name="OSRRefH22_7x_0" localSheetId="54">'308'!$H$93:$H$94</definedName>
    <definedName name="OSRRefH22_7x_0" localSheetId="66">'309'!$H$53:$H$54</definedName>
    <definedName name="OSRRefH22_7x_0" localSheetId="65">'310'!$H$63</definedName>
    <definedName name="OSRRefH22_7x_0" localSheetId="73">'310 &amp; 491'!$H$69</definedName>
    <definedName name="OSRRefH22_7x_0" localSheetId="55">'311'!$H$92:$H$93</definedName>
    <definedName name="OSRRefH22_7x_0" localSheetId="67">'313'!$H$59</definedName>
    <definedName name="OSRRefH22_7x_0" localSheetId="58">'315'!$H$116:$H$117</definedName>
    <definedName name="OSRRefH22_7x_0" localSheetId="61">'316'!$H$64:$H$66</definedName>
    <definedName name="OSRRefH22_7x_0" localSheetId="63">'317'!$H$87</definedName>
    <definedName name="OSRRefH22_7x_0" localSheetId="68">'321'!$H$57:$H$58</definedName>
    <definedName name="OSRRefH22_7x_0" localSheetId="69">'322'!$H$53:$H$54</definedName>
    <definedName name="OSRRefH22_7x_0" localSheetId="70">'325'!$H$56</definedName>
    <definedName name="OSRRefH22_7x_0" localSheetId="59">'326'!$H$87</definedName>
    <definedName name="OSRRefH22_7x_0" localSheetId="52">'330'!$H$86</definedName>
    <definedName name="OSRRefH22_7x_0" localSheetId="57">'331'!$H$118</definedName>
    <definedName name="OSRRefH22_7x_0" localSheetId="60">'332'!$H$66:$H$68</definedName>
    <definedName name="OSRRefH22_7x_0" localSheetId="75">'405'!$H$55</definedName>
    <definedName name="OSRRefH22_7x_0" localSheetId="77">'411'!$H$52</definedName>
    <definedName name="OSRRefH22_7x_0" localSheetId="78">'412'!$H$53</definedName>
    <definedName name="OSRRefH22_7x_0" localSheetId="79">'413'!$H$54</definedName>
    <definedName name="OSRRefH22_7x_0" localSheetId="80">'414'!$H$56</definedName>
    <definedName name="OSRRefH22_7x_0" localSheetId="81">'415'!$H$59</definedName>
    <definedName name="OSRRefH22_7x_0" localSheetId="82">'418'!$H$55</definedName>
    <definedName name="OSRRefH22_7x_0" localSheetId="84">'423'!$H$51</definedName>
    <definedName name="OSRRefH22_7x_0" localSheetId="89">'430'!$H$54</definedName>
    <definedName name="OSRRefH22_7x_0" localSheetId="90">'433'!$H$59</definedName>
    <definedName name="OSRRefH22_7x_0" localSheetId="92">'444'!$H$59</definedName>
    <definedName name="OSRRefH22_7x_0" localSheetId="93">'450'!$H$55</definedName>
    <definedName name="OSRRefH22_7x_0" localSheetId="74">'491'!$H$63</definedName>
    <definedName name="OSRRefH22_7x_0" localSheetId="88">'492'!$H$59</definedName>
    <definedName name="OSRRefH22_7x_0" localSheetId="95">'501'!$H$55</definedName>
    <definedName name="OSRRefH22_7x_0" localSheetId="39">'Div 2'!$H$56</definedName>
    <definedName name="OSRRefH22_7x_0" localSheetId="47">'Div 3'!$H$173:$H$174</definedName>
    <definedName name="OSRRefH22_7x_0" localSheetId="72">'Div 4'!$H$66</definedName>
    <definedName name="OSRRefH22_7x_0" localSheetId="94">'Div 5'!$H$55</definedName>
    <definedName name="OSRRefH22_7x_0" localSheetId="62">'Div 6'!$H$87</definedName>
    <definedName name="OSRRefH22_7x_0" localSheetId="2">Summary!$H$202:$H$203</definedName>
    <definedName name="OSRRefH22_8x_0" localSheetId="41">'201'!$H$55</definedName>
    <definedName name="OSRRefH22_8x_0" localSheetId="42">'202'!$H$57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'300'!$H$172</definedName>
    <definedName name="OSRRefH22_8x_0" localSheetId="49">'300 &amp; 317'!$H$194</definedName>
    <definedName name="OSRRefH22_8x_0" localSheetId="50">'301'!$H$57</definedName>
    <definedName name="OSRRefH22_8x_0" localSheetId="51">'306'!$H$55</definedName>
    <definedName name="OSRRefH22_8x_0" localSheetId="53">'307'!$H$84</definedName>
    <definedName name="OSRRefH22_8x_0" localSheetId="54">'308'!$H$96</definedName>
    <definedName name="OSRRefH22_8x_0" localSheetId="66">'309'!$H$56:$H$57</definedName>
    <definedName name="OSRRefH22_8x_0" localSheetId="65">'310'!$H$65</definedName>
    <definedName name="OSRRefH22_8x_0" localSheetId="73">'310 &amp; 491'!$H$71:$H$72</definedName>
    <definedName name="OSRRefH22_8x_0" localSheetId="55">'311'!$H$95</definedName>
    <definedName name="OSRRefH22_8x_0" localSheetId="67">'313'!$H$61:$H$63</definedName>
    <definedName name="OSRRefH22_8x_0" localSheetId="58">'315'!$H$119</definedName>
    <definedName name="OSRRefH22_8x_0" localSheetId="61">'316'!$H$68</definedName>
    <definedName name="OSRRefH22_8x_0" localSheetId="63">'317'!$H$89</definedName>
    <definedName name="OSRRefH22_8x_0" localSheetId="68">'321'!$H$60:$H$61</definedName>
    <definedName name="OSRRefH22_8x_0" localSheetId="69">'322'!$H$56:$H$57</definedName>
    <definedName name="OSRRefH22_8x_0" localSheetId="70">'325'!$H$58</definedName>
    <definedName name="OSRRefH22_8x_0" localSheetId="59">'326'!$H$89:$H$90</definedName>
    <definedName name="OSRRefH22_8x_0" localSheetId="52">'330'!$H$88</definedName>
    <definedName name="OSRRefH22_8x_0" localSheetId="57">'331'!$H$120:$H$121</definedName>
    <definedName name="OSRRefH22_8x_0" localSheetId="60">'332'!$H$70</definedName>
    <definedName name="OSRRefH22_8x_0" localSheetId="75">'405'!$H$57</definedName>
    <definedName name="OSRRefH22_8x_0" localSheetId="77">'411'!$H$54</definedName>
    <definedName name="OSRRefH22_8x_0" localSheetId="78">'412'!$H$55:$H$56</definedName>
    <definedName name="OSRRefH22_8x_0" localSheetId="79">'413'!$H$56:$H$59</definedName>
    <definedName name="OSRRefH22_8x_0" localSheetId="80">'414'!$H$58:$H$59</definedName>
    <definedName name="OSRRefH22_8x_0" localSheetId="81">'415'!$H$61</definedName>
    <definedName name="OSRRefH22_8x_0" localSheetId="82">'418'!$H$57:$H$59</definedName>
    <definedName name="OSRRefH22_8x_0" localSheetId="90">'433'!$H$61</definedName>
    <definedName name="OSRRefH22_8x_0" localSheetId="92">'444'!$H$61</definedName>
    <definedName name="OSRRefH22_8x_0" localSheetId="93">'450'!$H$57</definedName>
    <definedName name="OSRRefH22_8x_0" localSheetId="74">'491'!$H$65</definedName>
    <definedName name="OSRRefH22_8x_0" localSheetId="88">'492'!$H$61</definedName>
    <definedName name="OSRRefH22_8x_0" localSheetId="95">'501'!$H$57</definedName>
    <definedName name="OSRRefH22_8x_0" localSheetId="39">'Div 2'!$H$58</definedName>
    <definedName name="OSRRefH22_8x_0" localSheetId="47">'Div 3'!$H$176</definedName>
    <definedName name="OSRRefH22_8x_0" localSheetId="72">'Div 4'!$H$68</definedName>
    <definedName name="OSRRefH22_8x_0" localSheetId="94">'Div 5'!$H$57</definedName>
    <definedName name="OSRRefH22_8x_0" localSheetId="62">'Div 6'!$H$89</definedName>
    <definedName name="OSRRefH22_8x_0" localSheetId="2">Summary!$H$205</definedName>
    <definedName name="OSRRefH22_9x_0" localSheetId="41">'201'!$H$57</definedName>
    <definedName name="OSRRefH22_9x_0" localSheetId="42">'202'!$H$59:$H$61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'300'!$H$174</definedName>
    <definedName name="OSRRefH22_9x_0" localSheetId="49">'300 &amp; 317'!$H$196</definedName>
    <definedName name="OSRRefH22_9x_0" localSheetId="50">'301'!$H$59</definedName>
    <definedName name="OSRRefH22_9x_0" localSheetId="51">'306'!$H$57</definedName>
    <definedName name="OSRRefH22_9x_0" localSheetId="53">'307'!$H$86:$H$87</definedName>
    <definedName name="OSRRefH22_9x_0" localSheetId="54">'308'!$H$98:$H$100</definedName>
    <definedName name="OSRRefH22_9x_0" localSheetId="66">'309'!$H$59:$H$61</definedName>
    <definedName name="OSRRefH22_9x_0" localSheetId="65">'310'!$H$67</definedName>
    <definedName name="OSRRefH22_9x_0" localSheetId="73">'310 &amp; 491'!$H$74</definedName>
    <definedName name="OSRRefH22_9x_0" localSheetId="55">'311'!$H$97:$H$99</definedName>
    <definedName name="OSRRefH22_9x_0" localSheetId="67">'313'!$H$65:$H$66</definedName>
    <definedName name="OSRRefH22_9x_0" localSheetId="58">'315'!$H$121:$H$122</definedName>
    <definedName name="OSRRefH22_9x_0" localSheetId="61">'316'!$H$70</definedName>
    <definedName name="OSRRefH22_9x_0" localSheetId="63">'317'!$H$91:$H$92</definedName>
    <definedName name="OSRRefH22_9x_0" localSheetId="68">'321'!$H$63:$H$64</definedName>
    <definedName name="OSRRefH22_9x_0" localSheetId="69">'322'!$H$59:$H$62</definedName>
    <definedName name="OSRRefH22_9x_0" localSheetId="70">'325'!$H$60</definedName>
    <definedName name="OSRRefH22_9x_0" localSheetId="59">'326'!$H$92</definedName>
    <definedName name="OSRRefH22_9x_0" localSheetId="52">'330'!$H$90:$H$91</definedName>
    <definedName name="OSRRefH22_9x_0" localSheetId="57">'331'!$H$123:$H$124</definedName>
    <definedName name="OSRRefH22_9x_0" localSheetId="60">'332'!$H$72</definedName>
    <definedName name="OSRRefH22_9x_0" localSheetId="75">'405'!$H$59:$H$60</definedName>
    <definedName name="OSRRefH22_9x_0" localSheetId="77">'411'!$H$56:$H$59</definedName>
    <definedName name="OSRRefH22_9x_0" localSheetId="78">'412'!$H$58</definedName>
    <definedName name="OSRRefH22_9x_0" localSheetId="79">'413'!$H$61:$H$62</definedName>
    <definedName name="OSRRefH22_9x_0" localSheetId="80">'414'!$H$61</definedName>
    <definedName name="OSRRefH22_9x_0" localSheetId="81">'415'!$H$63</definedName>
    <definedName name="OSRRefH22_9x_0" localSheetId="82">'418'!$H$61:$H$62</definedName>
    <definedName name="OSRRefH22_9x_0" localSheetId="90">'433'!$H$63</definedName>
    <definedName name="OSRRefH22_9x_0" localSheetId="92">'444'!$H$63</definedName>
    <definedName name="OSRRefH22_9x_0" localSheetId="93">'450'!$H$59</definedName>
    <definedName name="OSRRefH22_9x_0" localSheetId="74">'491'!$H$67</definedName>
    <definedName name="OSRRefH22_9x_0" localSheetId="88">'492'!$H$63</definedName>
    <definedName name="OSRRefH22_9x_0" localSheetId="95">'501'!$H$59:$H$62</definedName>
    <definedName name="OSRRefH22_9x_0" localSheetId="39">'Div 2'!$H$60:$H$61</definedName>
    <definedName name="OSRRefH22_9x_0" localSheetId="47">'Div 3'!$H$178</definedName>
    <definedName name="OSRRefH22_9x_0" localSheetId="72">'Div 4'!$H$70</definedName>
    <definedName name="OSRRefH22_9x_0" localSheetId="94">'Div 5'!$H$59:$H$62</definedName>
    <definedName name="OSRRefH22_9x_0" localSheetId="62">'Div 6'!$H$91:$H$92</definedName>
    <definedName name="OSRRefH22_9x_0" localSheetId="2">Summary!$H$207</definedName>
    <definedName name="OSRRefH22x_0" localSheetId="40">'200'!$H$20:$H$21,'200'!$H$23,'200'!$H$25,'200'!$H$27,'200'!$H$29:$H$30</definedName>
    <definedName name="OSRRefH22x_0" localSheetId="41">'201'!$H$21:$H$29,'201'!$H$31:$H$40,'201'!$H$42,'201'!$H$44,'201'!$H$46:$H$47,'201'!$H$49,'201'!$H$51,'201'!$H$53,'201'!$H$55,'201'!$H$57,'201'!$H$59:$H$61,'201'!$H$63:$H$64,'201'!$H$66,'201'!$H$68:$H$70,'201'!$H$72,'201'!$H$74,'201'!$H$76</definedName>
    <definedName name="OSRRefH22x_0" localSheetId="42">'202'!$H$21:$H$29,'202'!$H$31:$H$40,'202'!$H$42,'202'!$H$44,'202'!$H$46:$H$47,'202'!$H$49,'202'!$H$51,'202'!$H$53:$H$55,'202'!$H$57,'202'!$H$59:$H$61,'202'!$H$63,'202'!$H$65,'202'!$H$67</definedName>
    <definedName name="OSRRefH22x_0" localSheetId="43">'203'!$H$20:$H$29,'203'!$H$31:$H$40,'203'!$H$42,'203'!$H$44,'203'!$H$46,'203'!$H$48,'203'!$H$50,'203'!$H$52:$H$53,'203'!$H$55:$H$57,'203'!$H$59:$H$60,'203'!$H$62,'203'!$H$64:$H$67,'203'!$H$69,'203'!$H$71,'203'!$H$73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'205'!$H$20:$H$28,'205'!$H$30:$H$39,'205'!$H$41,'205'!$H$43,'205'!$H$45:$H$47,'205'!$H$49,'205'!$H$51:$H$53,'205'!$H$55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$134:$H$143,'300'!$H$145:$H$154,'300'!$H$156,'300'!$H$158:$H$159,'300'!$H$161,'300'!$H$163:$H$164,'300'!$H$166:$H$167,'300'!$H$169:$H$170,'300'!$H$172,'300'!$H$174,'300'!$H$176:$H$177,'300'!$H$179:$H$181,'300'!$H$183,'300'!$H$185:$H$186,'300'!$H$188,'300'!$H$190,'300'!$H$192:$H$195,'300'!$H$197:$H$200,'300'!$H$202:$H$205,'300'!$H$207:$H$208,'300'!$H$210:$H$218,'300'!$H$220:$H$221,'300'!$H$223,'300'!$H$225:$H$227,'300'!$H$229</definedName>
    <definedName name="OSRRefH22x_0" localSheetId="49">'300 &amp; 317'!$H$156:$H$165,'300 &amp; 317'!$H$167:$H$176,'300 &amp; 317'!$H$178,'300 &amp; 317'!$H$180:$H$181,'300 &amp; 317'!$H$183,'300 &amp; 317'!$H$185:$H$186,'300 &amp; 317'!$H$188:$H$189,'300 &amp; 317'!$H$191:$H$192,'300 &amp; 317'!$H$194,'300 &amp; 317'!$H$196,'300 &amp; 317'!$H$198:$H$199,'300 &amp; 317'!$H$201:$H$203,'300 &amp; 317'!$H$205,'300 &amp; 317'!$H$207:$H$208,'300 &amp; 317'!$H$210,'300 &amp; 317'!$H$212,'300 &amp; 317'!$H$214:$H$217,'300 &amp; 317'!$H$219:$H$222,'300 &amp; 317'!$H$224:$H$227,'300 &amp; 317'!$H$229:$H$230,'300 &amp; 317'!$H$232:$H$240,'300 &amp; 317'!$H$242:$H$243,'300 &amp; 317'!$H$245,'300 &amp; 317'!$H$247:$H$249,'300 &amp; 317'!$H$251</definedName>
    <definedName name="OSRRefH22x_0" localSheetId="50">'301'!$H$21:$H$30,'301'!$H$32:$H$41,'301'!$H$43,'301'!$H$45:$H$46,'301'!$H$48,'301'!$H$50:$H$51,'301'!$H$53,'301'!$H$55,'301'!$H$57,'301'!$H$59,'301'!$H$61,'301'!$H$63,'301'!$H$65,'301'!$H$67,'301'!$H$69,'301'!$H$71:$H$74,'301'!$H$76:$H$78,'301'!$H$80:$H$81,'301'!$H$83:$H$89,'301'!$H$91,'301'!$H$93,'301'!$H$95:$H$97,'301'!$H$99</definedName>
    <definedName name="OSRRefH22x_0" localSheetId="51">'306'!$H$20:$H$28,'306'!$H$30:$H$39,'306'!$H$41,'306'!$H$43,'306'!$H$45,'306'!$H$47,'306'!$H$49:$H$50,'306'!$H$52:$H$53,'306'!$H$55,'306'!$H$57,'306'!$H$59</definedName>
    <definedName name="OSRRefH22x_0" localSheetId="53">'307'!$H$51:$H$58,'307'!$H$60:$H$69,'307'!$H$71,'307'!$H$73,'307'!$H$75,'307'!$H$77:$H$78,'307'!$H$80,'307'!$H$82,'307'!$H$84,'307'!$H$86:$H$87,'307'!$H$89:$H$90,'307'!$H$92:$H$95,'307'!$H$97:$H$98,'307'!$H$100</definedName>
    <definedName name="OSRRefH22x_0" localSheetId="54">'308'!$H$59:$H$68,'308'!$H$70:$H$79,'308'!$H$81,'308'!$H$83:$H$84,'308'!$H$86,'308'!$H$88,'308'!$H$90:$H$91,'308'!$H$93:$H$94,'308'!$H$96,'308'!$H$98:$H$100,'308'!$H$102:$H$103,'308'!$H$105:$H$107,'308'!$H$109:$H$110,'308'!$H$112,'308'!$H$114</definedName>
    <definedName name="OSRRefH22x_0" localSheetId="66">'309'!$H$23:$H$30,'309'!$H$32:$H$41,'309'!$H$43,'309'!$H$45,'309'!$H$47,'309'!$H$49,'309'!$H$51,'309'!$H$53:$H$54,'309'!$H$56:$H$57,'309'!$H$59:$H$61,'309'!$H$63</definedName>
    <definedName name="OSRRefH22x_0" localSheetId="65">'310'!$H$31:$H$39,'310'!$H$41:$H$50,'310'!$H$52,'310'!$H$54,'310'!$H$56,'310'!$H$58:$H$59,'310'!$H$61,'310'!$H$63,'310'!$H$65,'310'!$H$67,'310'!$H$69,'310'!$H$71,'310'!$H$73,'310'!$H$75:$H$78,'310'!$H$80:$H$81,'310'!$H$83:$H$86,'310'!$H$88,'310'!$H$90:$H$96,'310'!$H$98:$H$99,'310'!$H$101,'310'!$H$103,'310'!$H$105</definedName>
    <definedName name="OSRRefH22x_0" localSheetId="73">'310 &amp; 491'!$H$36:$H$44,'310 &amp; 491'!$H$46:$H$55,'310 &amp; 491'!$H$57,'310 &amp; 491'!$H$59,'310 &amp; 491'!$H$61,'310 &amp; 491'!$H$63:$H$65,'310 &amp; 491'!$H$67,'310 &amp; 491'!$H$69,'310 &amp; 491'!$H$71:$H$72,'310 &amp; 491'!$H$74,'310 &amp; 491'!$H$76,'310 &amp; 491'!$H$78,'310 &amp; 491'!$H$80,'310 &amp; 491'!$H$82,'310 &amp; 491'!$H$84:$H$87,'310 &amp; 491'!$H$89:$H$90,'310 &amp; 491'!$H$92:$H$96,'310 &amp; 491'!$H$98:$H$99,'310 &amp; 491'!$H$101:$H$111,'310 &amp; 491'!$H$113:$H$114,'310 &amp; 491'!$H$116,'310 &amp; 491'!$H$118:$H$120,'310 &amp; 491'!$H$122</definedName>
    <definedName name="OSRRefH22x_0" localSheetId="55">'311'!$H$58:$H$67,'311'!$H$69:$H$78,'311'!$H$80,'311'!$H$82:$H$83,'311'!$H$85,'311'!$H$87,'311'!$H$89:$H$90,'311'!$H$92:$H$93,'311'!$H$95,'311'!$H$97:$H$99,'311'!$H$101:$H$102,'311'!$H$104:$H$106,'311'!$H$108:$H$109,'311'!$H$111,'311'!$H$113</definedName>
    <definedName name="OSRRefH22x_0" localSheetId="67">'313'!$H$27:$H$35,'313'!$H$37:$H$46,'313'!$H$48,'313'!$H$50,'313'!$H$52,'313'!$H$54,'313'!$H$56:$H$57,'313'!$H$59,'313'!$H$61:$H$63,'313'!$H$65:$H$66,'313'!$H$68,'313'!$H$70</definedName>
    <definedName name="OSRRefH22x_0" localSheetId="58">'315'!$H$84:$H$92,'315'!$H$94:$H$103,'315'!$H$105,'315'!$H$107,'315'!$H$109,'315'!$H$111:$H$112,'315'!$H$114,'315'!$H$116:$H$117,'315'!$H$119,'315'!$H$121:$H$122,'315'!$H$124,'315'!$H$126,'315'!$H$128:$H$130,'315'!$H$132:$H$133,'315'!$H$135:$H$141,'315'!$H$143,'315'!$H$145,'315'!$H$147:$H$148</definedName>
    <definedName name="OSRRefH22x_0" localSheetId="61">'316'!$H$32:$H$40,'316'!$H$42:$H$51,'316'!$H$53,'316'!$H$55,'316'!$H$57,'316'!$H$59,'316'!$H$61:$H$62,'316'!$H$64:$H$66,'316'!$H$68,'316'!$H$70,'316'!$H$72:$H$76,'316'!$H$78,'316'!$H$80</definedName>
    <definedName name="OSRRefH22x_0" localSheetId="63">'317'!$H$54:$H$63,'317'!$H$65:$H$74,'317'!$H$76,'317'!$H$78,'317'!$H$80,'317'!$H$82,'317'!$H$84:$H$85,'317'!$H$87,'317'!$H$89,'317'!$H$91:$H$92,'317'!$H$94,'317'!$H$96:$H$99,'317'!$H$101,'317'!$H$103</definedName>
    <definedName name="OSRRefH22x_0" localSheetId="64">'320'!$H$22:$H$23,'320'!$H$25,'320'!$H$27</definedName>
    <definedName name="OSRRefH22x_0" localSheetId="68">'321'!$H$26:$H$34,'321'!$H$36:$H$45,'321'!$H$47,'321'!$H$49,'321'!$H$51,'321'!$H$53,'321'!$H$55,'321'!$H$57:$H$58,'321'!$H$60:$H$61,'321'!$H$63:$H$64,'321'!$H$66:$H$68,'321'!$H$70:$H$71,'321'!$H$73,'321'!$H$75</definedName>
    <definedName name="OSRRefH22x_0" localSheetId="69">'322'!$H$23:$H$30,'322'!$H$32:$H$41,'322'!$H$43,'322'!$H$45,'322'!$H$47,'322'!$H$49,'322'!$H$51,'322'!$H$53:$H$54,'322'!$H$56:$H$57,'322'!$H$59:$H$62,'322'!$H$64,'322'!$H$66</definedName>
    <definedName name="OSRRefH22x_0" localSheetId="56">'324'!$H$27:$H$34,'324'!$H$36:$H$45</definedName>
    <definedName name="OSRRefH22x_0" localSheetId="70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9">'326'!$H$56:$H$64,'326'!$H$66:$H$75,'326'!$H$77,'326'!$H$79,'326'!$H$81,'326'!$H$83,'326'!$H$85,'326'!$H$87,'326'!$H$89:$H$90,'326'!$H$92,'326'!$H$94,'326'!$H$96,'326'!$H$98,'326'!$H$100:$H$102,'326'!$H$104:$H$106,'326'!$H$108:$H$109,'326'!$H$111:$H$116,'326'!$H$118:$H$119,'326'!$H$121,'326'!$H$123:$H$124,'326'!$H$126</definedName>
    <definedName name="OSRRefH22x_0" localSheetId="71">'327'!$H$25,'327'!$H$27</definedName>
    <definedName name="OSRRefH22x_0" localSheetId="52">'330'!$H$54:$H$62,'330'!$H$64:$H$73,'330'!$H$75,'330'!$H$77,'330'!$H$79,'330'!$H$81:$H$82,'330'!$H$84,'330'!$H$86,'330'!$H$88,'330'!$H$90:$H$91,'330'!$H$93:$H$94,'330'!$H$96:$H$99,'330'!$H$101:$H$102,'330'!$H$104</definedName>
    <definedName name="OSRRefH22x_0" localSheetId="57">'331'!$H$86:$H$94,'331'!$H$96:$H$105,'331'!$H$107,'331'!$H$109,'331'!$H$111,'331'!$H$113:$H$114,'331'!$H$116,'331'!$H$118,'331'!$H$120:$H$121,'331'!$H$123:$H$124,'331'!$H$126,'331'!$H$128:$H$129,'331'!$H$131,'331'!$H$133,'331'!$H$135:$H$137,'331'!$H$139:$H$141,'331'!$H$143:$H$145,'331'!$H$147:$H$148,'331'!$H$150:$H$157,'331'!$H$159:$H$160,'331'!$H$162,'331'!$H$164:$H$165,'331'!$H$167</definedName>
    <definedName name="OSRRefH22x_0" localSheetId="60">'332'!$H$34:$H$42,'332'!$H$44:$H$53,'332'!$H$55,'332'!$H$57,'332'!$H$59,'332'!$H$61,'332'!$H$63:$H$64,'332'!$H$66:$H$68,'332'!$H$70,'332'!$H$72,'332'!$H$74:$H$78,'332'!$H$80,'332'!$H$82</definedName>
    <definedName name="OSRRefH22x_0" localSheetId="75">'405'!$H$24:$H$31,'405'!$H$33:$H$42,'405'!$H$44,'405'!$H$46,'405'!$H$48:$H$49,'405'!$H$51,'405'!$H$53,'405'!$H$55,'405'!$H$57,'405'!$H$59:$H$60,'405'!$H$62,'405'!$H$64:$H$67,'405'!$H$69,'405'!$H$71:$H$79,'405'!$H$81,'405'!$H$83,'405'!$H$85,'405'!$H$87</definedName>
    <definedName name="OSRRefH22x_0" localSheetId="76">'406'!$H$20,'406'!$H$22,'406'!$H$24,'406'!$H$26,'406'!$H$28</definedName>
    <definedName name="OSRRefH22x_0" localSheetId="77">'411'!$H$20:$H$28,'411'!$H$30:$H$39,'411'!$H$41,'411'!$H$43,'411'!$H$45:$H$46,'411'!$H$48,'411'!$H$50,'411'!$H$52,'411'!$H$54,'411'!$H$56:$H$59,'411'!$H$61:$H$64,'411'!$H$66:$H$67,'411'!$H$69:$H$75,'411'!$H$77,'411'!$H$79,'411'!$H$81,'411'!$H$83</definedName>
    <definedName name="OSRRefH22x_0" localSheetId="78">'412'!$H$22:$H$29,'412'!$H$31:$H$40,'412'!$H$42,'412'!$H$44,'412'!$H$46:$H$47,'412'!$H$49,'412'!$H$51,'412'!$H$53,'412'!$H$55:$H$56,'412'!$H$58,'412'!$H$60:$H$63,'412'!$H$65:$H$70,'412'!$H$72:$H$73,'412'!$H$75</definedName>
    <definedName name="OSRRefH22x_0" localSheetId="79">'413'!$H$23:$H$31,'413'!$H$33:$H$42,'413'!$H$44,'413'!$H$46,'413'!$H$48,'413'!$H$50,'413'!$H$52,'413'!$H$54,'413'!$H$56:$H$59,'413'!$H$61:$H$62,'413'!$H$64:$H$71,'413'!$H$73:$H$74,'413'!$H$76</definedName>
    <definedName name="OSRRefH22x_0" localSheetId="80">'414'!$H$25:$H$33,'414'!$H$35:$H$44,'414'!$H$46,'414'!$H$48,'414'!$H$50,'414'!$H$52,'414'!$H$54,'414'!$H$56,'414'!$H$58:$H$59,'414'!$H$61,'414'!$H$63,'414'!$H$65,'414'!$H$67:$H$69,'414'!$H$71,'414'!$H$73,'414'!$H$75</definedName>
    <definedName name="OSRRefH22x_0" localSheetId="81">'415'!$H$27:$H$35,'415'!$H$37:$H$46,'415'!$H$48,'415'!$H$50,'415'!$H$52,'415'!$H$54:$H$55,'415'!$H$57,'415'!$H$59,'415'!$H$61,'415'!$H$63,'415'!$H$65,'415'!$H$67:$H$69,'415'!$H$71:$H$75,'415'!$H$77,'415'!$H$79:$H$86,'415'!$H$88:$H$89,'415'!$H$91,'415'!$H$93:$H$94,'415'!$H$96</definedName>
    <definedName name="OSRRefH22x_0" localSheetId="82">'418'!$H$24:$H$31,'418'!$H$33:$H$42,'418'!$H$44,'418'!$H$46,'418'!$H$48:$H$49,'418'!$H$51,'418'!$H$53,'418'!$H$55,'418'!$H$57:$H$59,'418'!$H$61:$H$62,'418'!$H$64:$H$65,'418'!$H$67:$H$76,'418'!$H$78:$H$79,'418'!$H$81</definedName>
    <definedName name="OSRRefH22x_0" localSheetId="83">'420'!$H$22,'420'!$H$24</definedName>
    <definedName name="OSRRefH22x_0" localSheetId="84">'423'!$H$20:$H$27,'423'!$H$29:$H$38,'423'!$H$40,'423'!$H$42,'423'!$H$44:$H$45,'423'!$H$47,'423'!$H$49,'423'!$H$51</definedName>
    <definedName name="OSRRefH22x_0" localSheetId="85">'424'!$H$20,'424'!$H$22,'424'!$H$24,'424'!$H$26</definedName>
    <definedName name="OSRRefH22x_0" localSheetId="87">'425'!$H$21:$H$25,'425'!$H$27,'425'!$H$29,'425'!$H$31,'425'!$H$33:$H$34,'425'!$H$36</definedName>
    <definedName name="OSRRefH22x_0" localSheetId="89">'430'!$H$20:$H$28,'430'!$H$30:$H$39,'430'!$H$41,'430'!$H$43,'430'!$H$45:$H$47,'430'!$H$49:$H$50,'430'!$H$52,'430'!$H$54</definedName>
    <definedName name="OSRRefH22x_0" localSheetId="90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91">'435'!$H$20</definedName>
    <definedName name="OSRRefH22x_0" localSheetId="92">'444'!$H$27:$H$36,'444'!$H$38:$H$47,'444'!$H$49,'444'!$H$51,'444'!$H$53,'444'!$H$55,'444'!$H$57,'444'!$H$59,'444'!$H$61,'444'!$H$63,'444'!$H$65,'444'!$H$67:$H$70,'444'!$H$72:$H$75,'444'!$H$77,'444'!$H$79:$H$87,'444'!$H$89:$H$90,'444'!$H$92,'444'!$H$94</definedName>
    <definedName name="OSRRefH22x_0" localSheetId="93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4">'491'!$H$30:$H$38,'491'!$H$40:$H$49,'491'!$H$51,'491'!$H$53,'491'!$H$55,'491'!$H$57:$H$59,'491'!$H$61,'491'!$H$63,'491'!$H$65,'491'!$H$67,'491'!$H$69,'491'!$H$71,'491'!$H$73,'491'!$H$75,'491'!$H$77:$H$80,'491'!$H$82:$H$83,'491'!$H$85:$H$89,'491'!$H$91:$H$92,'491'!$H$94:$H$104,'491'!$H$106:$H$107,'491'!$H$109,'491'!$H$111:$H$113,'491'!$H$115</definedName>
    <definedName name="OSRRefH22x_0" localSheetId="88">'492'!$H$27:$H$36,'492'!$H$38:$H$47,'492'!$H$49,'492'!$H$51,'492'!$H$53,'492'!$H$55,'492'!$H$57,'492'!$H$59,'492'!$H$61,'492'!$H$63,'492'!$H$65,'492'!$H$67,'492'!$H$69:$H$72,'492'!$H$74:$H$77,'492'!$H$79,'492'!$H$81:$H$90,'492'!$H$92:$H$93,'492'!$H$95,'492'!$H$97:$H$98</definedName>
    <definedName name="OSRRefH22x_0" localSheetId="95">'501'!$H$22:$H$31,'501'!$H$33:$H$42,'501'!$H$44,'501'!$H$46,'501'!$H$48,'501'!$H$50:$H$51,'501'!$H$53,'501'!$H$55,'501'!$H$57,'501'!$H$59:$H$62,'501'!$H$64,'501'!$H$66:$H$67,'501'!$H$69,'501'!$H$71</definedName>
    <definedName name="OSRRefH22x_0" localSheetId="39">'Div 2'!$H$21:$H$31,'Div 2'!$H$33:$H$42,'Div 2'!$H$44,'Div 2'!$H$46,'Div 2'!$H$48,'Div 2'!$H$50:$H$51,'Div 2'!$H$53:$H$54,'Div 2'!$H$56,'Div 2'!$H$58,'Div 2'!$H$60:$H$61,'Div 2'!$H$63,'Div 2'!$H$65:$H$66,'Div 2'!$H$68:$H$71,'Div 2'!$H$73:$H$76,'Div 2'!$H$78:$H$79,'Div 2'!$H$81:$H$82,'Div 2'!$H$84:$H$89,'Div 2'!$H$91:$H$92,'Div 2'!$H$94,'Div 2'!$H$96:$H$97</definedName>
    <definedName name="OSRRefH22x_0" localSheetId="47">'Div 3'!$H$138:$H$147,'Div 3'!$H$149:$H$158,'Div 3'!$H$160,'Div 3'!$H$162:$H$163,'Div 3'!$H$165,'Div 3'!$H$167:$H$168,'Div 3'!$H$170:$H$171,'Div 3'!$H$173:$H$174,'Div 3'!$H$176,'Div 3'!$H$178,'Div 3'!$H$180:$H$181,'Div 3'!$H$183:$H$185,'Div 3'!$H$187,'Div 3'!$H$189,'Div 3'!$H$191:$H$192,'Div 3'!$H$194,'Div 3'!$H$196,'Div 3'!$H$198:$H$201,'Div 3'!$H$203:$H$206,'Div 3'!$H$208:$H$212,'Div 3'!$H$214:$H$215,'Div 3'!$H$217:$H$225,'Div 3'!$H$227:$H$228,'Div 3'!$H$230,'Div 3'!$H$232:$H$234,'Div 3'!$H$236</definedName>
    <definedName name="OSRRefH22x_0" localSheetId="72">'Div 4'!$H$32:$H$41,'Div 4'!$H$43:$H$52,'Div 4'!$H$54,'Div 4'!$H$56,'Div 4'!$H$58,'Div 4'!$H$60:$H$62,'Div 4'!$H$64,'Div 4'!$H$66,'Div 4'!$H$68,'Div 4'!$H$70,'Div 4'!$H$72,'Div 4'!$H$74,'Div 4'!$H$76,'Div 4'!$H$78,'Div 4'!$H$80,'Div 4'!$H$82:$H$85,'Div 4'!$H$87:$H$88,'Div 4'!$H$90:$H$94,'Div 4'!$H$96:$H$97,'Div 4'!$H$99:$H$109,'Div 4'!$H$111:$H$112,'Div 4'!$H$114,'Div 4'!$H$116:$H$118,'Div 4'!$H$120</definedName>
    <definedName name="OSRRefH22x_0" localSheetId="94">'Div 5'!$H$22:$H$31,'Div 5'!$H$33:$H$42,'Div 5'!$H$44,'Div 5'!$H$46,'Div 5'!$H$48,'Div 5'!$H$50:$H$51,'Div 5'!$H$53,'Div 5'!$H$55,'Div 5'!$H$57,'Div 5'!$H$59:$H$62,'Div 5'!$H$64,'Div 5'!$H$66:$H$67,'Div 5'!$H$69,'Div 5'!$H$71</definedName>
    <definedName name="OSRRefH22x_0" localSheetId="62">'Div 6'!$H$54:$H$63,'Div 6'!$H$65:$H$74,'Div 6'!$H$76,'Div 6'!$H$78,'Div 6'!$H$80,'Div 6'!$H$82,'Div 6'!$H$84:$H$85,'Div 6'!$H$87,'Div 6'!$H$89,'Div 6'!$H$91:$H$92,'Div 6'!$H$94,'Div 6'!$H$96:$H$99,'Div 6'!$H$101,'Div 6'!$H$103</definedName>
    <definedName name="OSRRefH22x_0" localSheetId="2">Summary!$H$166:$H$175,Summary!$H$177:$H$186,Summary!$H$188,Summary!$H$190:$H$191,Summary!$H$193,Summary!$H$195:$H$197,Summary!$H$199:$H$200,Summary!$H$202:$H$203,Summary!$H$205,Summary!$H$207,Summary!$H$209:$H$210,Summary!$H$212:$H$214,Summary!$H$216,Summary!$H$218,Summary!$H$220:$H$221,Summary!$H$223,Summary!$H$225,Summary!$H$227,Summary!$H$229:$H$232,Summary!$H$234:$H$237,Summary!$H$239:$H$243,Summary!$H$245:$H$246,Summary!$H$248:$H$258,Summary!$H$260:$H$261,Summary!$H$263,Summary!$H$265:$H$267,Summary!$H$269</definedName>
    <definedName name="OSRRefH25x_0" localSheetId="42">'202'!$H$70:$H$72</definedName>
    <definedName name="OSRRefH25x_0" localSheetId="48">'300'!$H$232:$H$236</definedName>
    <definedName name="OSRRefH25x_0" localSheetId="49">'300 &amp; 317'!$H$254:$H$259</definedName>
    <definedName name="OSRRefH25x_0" localSheetId="50">'301'!$H$102:$H$103</definedName>
    <definedName name="OSRRefH25x_0" localSheetId="54">'308'!$H$117:$H$119</definedName>
    <definedName name="OSRRefH25x_0" localSheetId="73">'310 &amp; 491'!$H$125:$H$128</definedName>
    <definedName name="OSRRefH25x_0" localSheetId="55">'311'!$H$116:$H$118</definedName>
    <definedName name="OSRRefH25x_0" localSheetId="58">'315'!$H$151:$H$154</definedName>
    <definedName name="OSRRefH25x_0" localSheetId="61">'316'!$H$83</definedName>
    <definedName name="OSRRefH25x_0" localSheetId="63">'317'!$H$106:$H$107</definedName>
    <definedName name="OSRRefH25x_0" localSheetId="64">'320'!$H$30</definedName>
    <definedName name="OSRRefH25x_0" localSheetId="57">'331'!$H$170:$H$173</definedName>
    <definedName name="OSRRefH25x_0" localSheetId="60">'332'!$H$85:$H$86</definedName>
    <definedName name="OSRRefH25x_0" localSheetId="77">'411'!$H$86:$H$87</definedName>
    <definedName name="OSRRefH25x_0" localSheetId="82">'418'!$H$84</definedName>
    <definedName name="OSRRefH25x_0" localSheetId="84">'423'!$H$54:$H$56</definedName>
    <definedName name="OSRRefH25x_0" localSheetId="86">'455'!$H$21:$H$22</definedName>
    <definedName name="OSRRefH25x_0" localSheetId="74">'491'!$H$118:$H$121</definedName>
    <definedName name="OSRRefH25x_0" localSheetId="95">'501'!$H$74</definedName>
    <definedName name="OSRRefH25x_0" localSheetId="39">'Div 2'!$H$100:$H$102</definedName>
    <definedName name="OSRRefH25x_0" localSheetId="47">'Div 3'!$H$239:$H$243</definedName>
    <definedName name="OSRRefH25x_0" localSheetId="72">'Div 4'!$H$123:$H$126</definedName>
    <definedName name="OSRRefH25x_0" localSheetId="94">'Div 5'!$H$74</definedName>
    <definedName name="OSRRefH25x_0" localSheetId="62">'Div 6'!$H$106:$H$107</definedName>
    <definedName name="OSRRefH25x_0" localSheetId="2">Summary!$H$272:$H$279</definedName>
    <definedName name="OSRRefP13x_0" localSheetId="41">'201'!$P$13</definedName>
    <definedName name="OSRRefP13x_0" localSheetId="42">'202'!$P$13</definedName>
    <definedName name="OSRRefP13x_0" localSheetId="48">'300'!$P$13:$P$78</definedName>
    <definedName name="OSRRefP13x_0" localSheetId="49">'300 &amp; 317'!$P$13:$P$93</definedName>
    <definedName name="OSRRefP13x_0" localSheetId="53">'307'!$P$13:$P$23</definedName>
    <definedName name="OSRRefP13x_0" localSheetId="54">'308'!$P$13:$P$35</definedName>
    <definedName name="OSRRefP13x_0" localSheetId="66">'309'!$P$13</definedName>
    <definedName name="OSRRefP13x_0" localSheetId="65">'310'!$P$13:$P$20</definedName>
    <definedName name="OSRRefP13x_0" localSheetId="73">'310 &amp; 491'!$P$13:$P$25</definedName>
    <definedName name="OSRRefP13x_0" localSheetId="55">'311'!$P$13:$P$34</definedName>
    <definedName name="OSRRefP13x_0" localSheetId="67">'313'!$P$13:$P$17</definedName>
    <definedName name="OSRRefP13x_0" localSheetId="58">'315'!$P$13:$P$51</definedName>
    <definedName name="OSRRefP13x_0" localSheetId="61">'316'!$P$13:$P$24</definedName>
    <definedName name="OSRRefP13x_0" localSheetId="63">'317'!$P$13:$P$31</definedName>
    <definedName name="OSRRefP13x_0" localSheetId="68">'321'!$P$13:$P$15</definedName>
    <definedName name="OSRRefP13x_0" localSheetId="69">'322'!$P$13</definedName>
    <definedName name="OSRRefP13x_0" localSheetId="56">'324'!$P$13:$P$16</definedName>
    <definedName name="OSRRefP13x_0" localSheetId="70">'325'!$P$13:$P$14</definedName>
    <definedName name="OSRRefP13x_0" localSheetId="59">'326'!$P$13:$P$33</definedName>
    <definedName name="OSRRefP13x_0" localSheetId="71">'327'!$P$13:$P$14</definedName>
    <definedName name="OSRRefP13x_0" localSheetId="52">'330'!$P$13:$P$26</definedName>
    <definedName name="OSRRefP13x_0" localSheetId="57">'331'!$P$13:$P$51</definedName>
    <definedName name="OSRRefP13x_0" localSheetId="60">'332'!$P$13:$P$24</definedName>
    <definedName name="OSRRefP13x_0" localSheetId="75">'405'!$P$13:$P$14</definedName>
    <definedName name="OSRRefP13x_0" localSheetId="78">'412'!$P$13</definedName>
    <definedName name="OSRRefP13x_0" localSheetId="79">'413'!$P$13:$P$14</definedName>
    <definedName name="OSRRefP13x_0" localSheetId="80">'414'!$P$13:$P$15</definedName>
    <definedName name="OSRRefP13x_0" localSheetId="81">'415'!$P$13:$P$16</definedName>
    <definedName name="OSRRefP13x_0" localSheetId="82">'418'!$P$13:$P$14</definedName>
    <definedName name="OSRRefP13x_0" localSheetId="83">'420'!$P$13:$P$14</definedName>
    <definedName name="OSRRefP13x_0" localSheetId="90">'433'!$P$13:$P$16</definedName>
    <definedName name="OSRRefP13x_0" localSheetId="92">'444'!$P$13:$P$16</definedName>
    <definedName name="OSRRefP13x_0" localSheetId="93">'450'!$P$13:$P$14</definedName>
    <definedName name="OSRRefP13x_0" localSheetId="74">'491'!$P$13:$P$19</definedName>
    <definedName name="OSRRefP13x_0" localSheetId="88">'492'!$P$13:$P$16</definedName>
    <definedName name="OSRRefP13x_0" localSheetId="95">'501'!$P$13:$P$14</definedName>
    <definedName name="OSRRefP13x_0" localSheetId="39">'Div 2'!$P$13</definedName>
    <definedName name="OSRRefP13x_0" localSheetId="47">'Div 3'!$P$13:$P$80</definedName>
    <definedName name="OSRRefP13x_0" localSheetId="72">'Div 4'!$P$13:$P$21</definedName>
    <definedName name="OSRRefP13x_0" localSheetId="94">'Div 5'!$P$13:$P$14</definedName>
    <definedName name="OSRRefP13x_0" localSheetId="62">'Div 6'!$P$13:$P$31</definedName>
    <definedName name="OSRRefP13x_0" localSheetId="2">Summary!$P$13:$P$101</definedName>
    <definedName name="OSRRefP16x_0" localSheetId="48">'300'!$P$81:$P$128</definedName>
    <definedName name="OSRRefP16x_0" localSheetId="49">'300 &amp; 317'!$P$96:$P$150</definedName>
    <definedName name="OSRRefP16x_0" localSheetId="50">'301'!$P$15</definedName>
    <definedName name="OSRRefP16x_0" localSheetId="53">'307'!$P$26:$P$45</definedName>
    <definedName name="OSRRefP16x_0" localSheetId="54">'308'!$P$38:$P$53</definedName>
    <definedName name="OSRRefP16x_0" localSheetId="66">'309'!$P$16:$P$17</definedName>
    <definedName name="OSRRefP16x_0" localSheetId="65">'310'!$P$23:$P$25</definedName>
    <definedName name="OSRRefP16x_0" localSheetId="73">'310 &amp; 491'!$P$28:$P$30</definedName>
    <definedName name="OSRRefP16x_0" localSheetId="55">'311'!$P$37:$P$52</definedName>
    <definedName name="OSRRefP16x_0" localSheetId="67">'313'!$P$20:$P$21</definedName>
    <definedName name="OSRRefP16x_0" localSheetId="58">'315'!$P$54:$P$78</definedName>
    <definedName name="OSRRefP16x_0" localSheetId="63">'317'!$P$34:$P$48</definedName>
    <definedName name="OSRRefP16x_0" localSheetId="64">'320'!$P$15:$P$16</definedName>
    <definedName name="OSRRefP16x_0" localSheetId="68">'321'!$P$18:$P$20</definedName>
    <definedName name="OSRRefP16x_0" localSheetId="69">'322'!$P$16:$P$17</definedName>
    <definedName name="OSRRefP16x_0" localSheetId="56">'324'!$P$19:$P$21</definedName>
    <definedName name="OSRRefP16x_0" localSheetId="70">'325'!$P$17:$P$19</definedName>
    <definedName name="OSRRefP16x_0" localSheetId="59">'326'!$P$36:$P$50</definedName>
    <definedName name="OSRRefP16x_0" localSheetId="71">'327'!$P$17:$P$19</definedName>
    <definedName name="OSRRefP16x_0" localSheetId="52">'330'!$P$29:$P$48</definedName>
    <definedName name="OSRRefP16x_0" localSheetId="57">'331'!$P$54:$P$80</definedName>
    <definedName name="OSRRefP16x_0" localSheetId="60">'332'!$P$27:$P$28</definedName>
    <definedName name="OSRRefP16x_0" localSheetId="75">'405'!$P$17:$P$18</definedName>
    <definedName name="OSRRefP16x_0" localSheetId="78">'412'!$P$16</definedName>
    <definedName name="OSRRefP16x_0" localSheetId="79">'413'!$P$17</definedName>
    <definedName name="OSRRefP16x_0" localSheetId="80">'414'!$P$18:$P$19</definedName>
    <definedName name="OSRRefP16x_0" localSheetId="81">'415'!$P$19:$P$21</definedName>
    <definedName name="OSRRefP16x_0" localSheetId="82">'418'!$P$17:$P$18</definedName>
    <definedName name="OSRRefP16x_0" localSheetId="87">'425'!$P$15</definedName>
    <definedName name="OSRRefP16x_0" localSheetId="90">'433'!$P$19:$P$21</definedName>
    <definedName name="OSRRefP16x_0" localSheetId="92">'444'!$P$19:$P$21</definedName>
    <definedName name="OSRRefP16x_0" localSheetId="93">'450'!$P$17</definedName>
    <definedName name="OSRRefP16x_0" localSheetId="74">'491'!$P$22:$P$24</definedName>
    <definedName name="OSRRefP16x_0" localSheetId="88">'492'!$P$19:$P$21</definedName>
    <definedName name="OSRRefP16x_0" localSheetId="47">'Div 3'!$P$83:$P$132</definedName>
    <definedName name="OSRRefP16x_0" localSheetId="72">'Div 4'!$P$24:$P$26</definedName>
    <definedName name="OSRRefP16x_0" localSheetId="62">'Div 6'!$P$34:$P$48</definedName>
    <definedName name="OSRRefP16x_0" localSheetId="2">Summary!$P$104:$P$160</definedName>
    <definedName name="OSRRefP22_0x_0" localSheetId="40">'200'!$P$20:$P$21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'300'!$P$134:$P$143</definedName>
    <definedName name="OSRRefP22_0x_0" localSheetId="49">'300 &amp; 317'!$P$156:$P$165</definedName>
    <definedName name="OSRRefP22_0x_0" localSheetId="50">'301'!$P$21:$P$30</definedName>
    <definedName name="OSRRefP22_0x_0" localSheetId="51">'306'!$P$20:$P$28</definedName>
    <definedName name="OSRRefP22_0x_0" localSheetId="53">'307'!$P$51:$P$58</definedName>
    <definedName name="OSRRefP22_0x_0" localSheetId="54">'308'!$P$59:$P$68</definedName>
    <definedName name="OSRRefP22_0x_0" localSheetId="66">'309'!$P$23:$P$30</definedName>
    <definedName name="OSRRefP22_0x_0" localSheetId="65">'310'!$P$31:$P$39</definedName>
    <definedName name="OSRRefP22_0x_0" localSheetId="73">'310 &amp; 491'!$P$36:$P$44</definedName>
    <definedName name="OSRRefP22_0x_0" localSheetId="55">'311'!$P$58:$P$67</definedName>
    <definedName name="OSRRefP22_0x_0" localSheetId="67">'313'!$P$27:$P$35</definedName>
    <definedName name="OSRRefP22_0x_0" localSheetId="58">'315'!$P$84:$P$92</definedName>
    <definedName name="OSRRefP22_0x_0" localSheetId="61">'316'!$P$32:$P$40</definedName>
    <definedName name="OSRRefP22_0x_0" localSheetId="63">'317'!$P$54:$P$63</definedName>
    <definedName name="OSRRefP22_0x_0" localSheetId="64">'320'!$P$22:$P$23</definedName>
    <definedName name="OSRRefP22_0x_0" localSheetId="68">'321'!$P$26:$P$34</definedName>
    <definedName name="OSRRefP22_0x_0" localSheetId="69">'322'!$P$23:$P$30</definedName>
    <definedName name="OSRRefP22_0x_0" localSheetId="56">'324'!$P$27:$P$34</definedName>
    <definedName name="OSRRefP22_0x_0" localSheetId="70">'325'!$P$25:$P$32</definedName>
    <definedName name="OSRRefP22_0x_0" localSheetId="59">'326'!$P$56:$P$64</definedName>
    <definedName name="OSRRefP22_0x_0" localSheetId="71">'327'!$P$25</definedName>
    <definedName name="OSRRefP22_0x_0" localSheetId="52">'330'!$P$54:$P$62</definedName>
    <definedName name="OSRRefP22_0x_0" localSheetId="57">'331'!$P$86:$P$94</definedName>
    <definedName name="OSRRefP22_0x_0" localSheetId="60">'332'!$P$34:$P$42</definedName>
    <definedName name="OSRRefP22_0x_0" localSheetId="75">'405'!$P$24:$P$31</definedName>
    <definedName name="OSRRefP22_0x_0" localSheetId="76">'406'!$P$20</definedName>
    <definedName name="OSRRefP22_0x_0" localSheetId="77">'411'!$P$20:$P$28</definedName>
    <definedName name="OSRRefP22_0x_0" localSheetId="78">'412'!$P$22:$P$29</definedName>
    <definedName name="OSRRefP22_0x_0" localSheetId="79">'413'!$P$23:$P$31</definedName>
    <definedName name="OSRRefP22_0x_0" localSheetId="80">'414'!$P$25:$P$33</definedName>
    <definedName name="OSRRefP22_0x_0" localSheetId="81">'415'!$P$27:$P$35</definedName>
    <definedName name="OSRRefP22_0x_0" localSheetId="82">'418'!$P$24:$P$31</definedName>
    <definedName name="OSRRefP22_0x_0" localSheetId="83">'420'!$P$22</definedName>
    <definedName name="OSRRefP22_0x_0" localSheetId="84">'423'!$P$20:$P$27</definedName>
    <definedName name="OSRRefP22_0x_0" localSheetId="85">'424'!$P$20</definedName>
    <definedName name="OSRRefP22_0x_0" localSheetId="87">'425'!$P$21:$P$25</definedName>
    <definedName name="OSRRefP22_0x_0" localSheetId="89">'430'!$P$20:$P$28</definedName>
    <definedName name="OSRRefP22_0x_0" localSheetId="90">'433'!$P$27:$P$36</definedName>
    <definedName name="OSRRefP22_0x_0" localSheetId="91">'435'!$P$20</definedName>
    <definedName name="OSRRefP22_0x_0" localSheetId="92">'444'!$P$27:$P$36</definedName>
    <definedName name="OSRRefP22_0x_0" localSheetId="93">'450'!$P$23:$P$32</definedName>
    <definedName name="OSRRefP22_0x_0" localSheetId="74">'491'!$P$30:$P$38</definedName>
    <definedName name="OSRRefP22_0x_0" localSheetId="88">'492'!$P$27:$P$36</definedName>
    <definedName name="OSRRefP22_0x_0" localSheetId="95">'501'!$P$22:$P$31</definedName>
    <definedName name="OSRRefP22_0x_0" localSheetId="39">'Div 2'!$P$21:$P$31</definedName>
    <definedName name="OSRRefP22_0x_0" localSheetId="47">'Div 3'!$P$138:$P$147</definedName>
    <definedName name="OSRRefP22_0x_0" localSheetId="72">'Div 4'!$P$32:$P$41</definedName>
    <definedName name="OSRRefP22_0x_0" localSheetId="94">'Div 5'!$P$22:$P$31</definedName>
    <definedName name="OSRRefP22_0x_0" localSheetId="62">'Div 6'!$P$54:$P$63</definedName>
    <definedName name="OSRRefP22_0x_0" localSheetId="2">Summary!$P$166:$P$175</definedName>
    <definedName name="OSRRefP22_10x_0" localSheetId="41">'201'!$P$59:$P$61</definedName>
    <definedName name="OSRRefP22_10x_0" localSheetId="42">'202'!$P$63</definedName>
    <definedName name="OSRRefP22_10x_0" localSheetId="43">'203'!$P$62</definedName>
    <definedName name="OSRRefP22_10x_0" localSheetId="44">'204'!$P$62:$P$63</definedName>
    <definedName name="OSRRefP22_10x_0" localSheetId="48">'300'!$P$176:$P$177</definedName>
    <definedName name="OSRRefP22_10x_0" localSheetId="49">'300 &amp; 317'!$P$198:$P$199</definedName>
    <definedName name="OSRRefP22_10x_0" localSheetId="50">'301'!$P$61</definedName>
    <definedName name="OSRRefP22_10x_0" localSheetId="51">'306'!$P$59</definedName>
    <definedName name="OSRRefP22_10x_0" localSheetId="53">'307'!$P$89:$P$90</definedName>
    <definedName name="OSRRefP22_10x_0" localSheetId="54">'308'!$P$102:$P$103</definedName>
    <definedName name="OSRRefP22_10x_0" localSheetId="66">'309'!$P$63</definedName>
    <definedName name="OSRRefP22_10x_0" localSheetId="65">'310'!$P$69</definedName>
    <definedName name="OSRRefP22_10x_0" localSheetId="73">'310 &amp; 491'!$P$76</definedName>
    <definedName name="OSRRefP22_10x_0" localSheetId="55">'311'!$P$101:$P$102</definedName>
    <definedName name="OSRRefP22_10x_0" localSheetId="67">'313'!$P$68</definedName>
    <definedName name="OSRRefP22_10x_0" localSheetId="58">'315'!$P$124</definedName>
    <definedName name="OSRRefP22_10x_0" localSheetId="61">'316'!$P$72:$P$76</definedName>
    <definedName name="OSRRefP22_10x_0" localSheetId="63">'317'!$P$94</definedName>
    <definedName name="OSRRefP22_10x_0" localSheetId="68">'321'!$P$66:$P$68</definedName>
    <definedName name="OSRRefP22_10x_0" localSheetId="69">'322'!$P$64</definedName>
    <definedName name="OSRRefP22_10x_0" localSheetId="70">'325'!$P$62</definedName>
    <definedName name="OSRRefP22_10x_0" localSheetId="59">'326'!$P$94</definedName>
    <definedName name="OSRRefP22_10x_0" localSheetId="52">'330'!$P$93:$P$94</definedName>
    <definedName name="OSRRefP22_10x_0" localSheetId="57">'331'!$P$126</definedName>
    <definedName name="OSRRefP22_10x_0" localSheetId="60">'332'!$P$74:$P$78</definedName>
    <definedName name="OSRRefP22_10x_0" localSheetId="75">'405'!$P$62</definedName>
    <definedName name="OSRRefP22_10x_0" localSheetId="77">'411'!$P$61:$P$64</definedName>
    <definedName name="OSRRefP22_10x_0" localSheetId="78">'412'!$P$60:$P$63</definedName>
    <definedName name="OSRRefP22_10x_0" localSheetId="79">'413'!$P$64:$P$71</definedName>
    <definedName name="OSRRefP22_10x_0" localSheetId="80">'414'!$P$63</definedName>
    <definedName name="OSRRefP22_10x_0" localSheetId="81">'415'!$P$65</definedName>
    <definedName name="OSRRefP22_10x_0" localSheetId="82">'418'!$P$64:$P$65</definedName>
    <definedName name="OSRRefP22_10x_0" localSheetId="90">'433'!$P$65</definedName>
    <definedName name="OSRRefP22_10x_0" localSheetId="92">'444'!$P$65</definedName>
    <definedName name="OSRRefP22_10x_0" localSheetId="93">'450'!$P$61</definedName>
    <definedName name="OSRRefP22_10x_0" localSheetId="74">'491'!$P$69</definedName>
    <definedName name="OSRRefP22_10x_0" localSheetId="88">'492'!$P$65</definedName>
    <definedName name="OSRRefP22_10x_0" localSheetId="95">'501'!$P$64</definedName>
    <definedName name="OSRRefP22_10x_0" localSheetId="39">'Div 2'!$P$63</definedName>
    <definedName name="OSRRefP22_10x_0" localSheetId="47">'Div 3'!$P$180:$P$181</definedName>
    <definedName name="OSRRefP22_10x_0" localSheetId="72">'Div 4'!$P$72</definedName>
    <definedName name="OSRRefP22_10x_0" localSheetId="94">'Div 5'!$P$64</definedName>
    <definedName name="OSRRefP22_10x_0" localSheetId="62">'Div 6'!$P$94</definedName>
    <definedName name="OSRRefP22_10x_0" localSheetId="2">Summary!$P$209:$P$210</definedName>
    <definedName name="OSRRefP22_11x_0" localSheetId="41">'201'!$P$63:$P$64</definedName>
    <definedName name="OSRRefP22_11x_0" localSheetId="42">'202'!$P$65</definedName>
    <definedName name="OSRRefP22_11x_0" localSheetId="43">'203'!$P$64:$P$67</definedName>
    <definedName name="OSRRefP22_11x_0" localSheetId="44">'204'!$P$65</definedName>
    <definedName name="OSRRefP22_11x_0" localSheetId="48">'300'!$P$179:$P$181</definedName>
    <definedName name="OSRRefP22_11x_0" localSheetId="49">'300 &amp; 317'!$P$201:$P$203</definedName>
    <definedName name="OSRRefP22_11x_0" localSheetId="50">'301'!$P$63</definedName>
    <definedName name="OSRRefP22_11x_0" localSheetId="53">'307'!$P$92:$P$95</definedName>
    <definedName name="OSRRefP22_11x_0" localSheetId="54">'308'!$P$105:$P$107</definedName>
    <definedName name="OSRRefP22_11x_0" localSheetId="65">'310'!$P$71</definedName>
    <definedName name="OSRRefP22_11x_0" localSheetId="73">'310 &amp; 491'!$P$78</definedName>
    <definedName name="OSRRefP22_11x_0" localSheetId="55">'311'!$P$104:$P$106</definedName>
    <definedName name="OSRRefP22_11x_0" localSheetId="67">'313'!$P$70</definedName>
    <definedName name="OSRRefP22_11x_0" localSheetId="58">'315'!$P$126</definedName>
    <definedName name="OSRRefP22_11x_0" localSheetId="61">'316'!$P$78</definedName>
    <definedName name="OSRRefP22_11x_0" localSheetId="63">'317'!$P$96:$P$99</definedName>
    <definedName name="OSRRefP22_11x_0" localSheetId="68">'321'!$P$70:$P$71</definedName>
    <definedName name="OSRRefP22_11x_0" localSheetId="69">'322'!$P$66</definedName>
    <definedName name="OSRRefP22_11x_0" localSheetId="70">'325'!$P$64:$P$67</definedName>
    <definedName name="OSRRefP22_11x_0" localSheetId="59">'326'!$P$96</definedName>
    <definedName name="OSRRefP22_11x_0" localSheetId="52">'330'!$P$96:$P$99</definedName>
    <definedName name="OSRRefP22_11x_0" localSheetId="57">'331'!$P$128:$P$129</definedName>
    <definedName name="OSRRefP22_11x_0" localSheetId="60">'332'!$P$80</definedName>
    <definedName name="OSRRefP22_11x_0" localSheetId="75">'405'!$P$64:$P$67</definedName>
    <definedName name="OSRRefP22_11x_0" localSheetId="77">'411'!$P$66:$P$67</definedName>
    <definedName name="OSRRefP22_11x_0" localSheetId="78">'412'!$P$65:$P$70</definedName>
    <definedName name="OSRRefP22_11x_0" localSheetId="79">'413'!$P$73:$P$74</definedName>
    <definedName name="OSRRefP22_11x_0" localSheetId="80">'414'!$P$65</definedName>
    <definedName name="OSRRefP22_11x_0" localSheetId="81">'415'!$P$67:$P$69</definedName>
    <definedName name="OSRRefP22_11x_0" localSheetId="82">'418'!$P$67:$P$76</definedName>
    <definedName name="OSRRefP22_11x_0" localSheetId="90">'433'!$P$67:$P$69</definedName>
    <definedName name="OSRRefP22_11x_0" localSheetId="92">'444'!$P$67:$P$70</definedName>
    <definedName name="OSRRefP22_11x_0" localSheetId="93">'450'!$P$63</definedName>
    <definedName name="OSRRefP22_11x_0" localSheetId="74">'491'!$P$71</definedName>
    <definedName name="OSRRefP22_11x_0" localSheetId="88">'492'!$P$67</definedName>
    <definedName name="OSRRefP22_11x_0" localSheetId="95">'501'!$P$66:$P$67</definedName>
    <definedName name="OSRRefP22_11x_0" localSheetId="39">'Div 2'!$P$65:$P$66</definedName>
    <definedName name="OSRRefP22_11x_0" localSheetId="47">'Div 3'!$P$183:$P$185</definedName>
    <definedName name="OSRRefP22_11x_0" localSheetId="72">'Div 4'!$P$74</definedName>
    <definedName name="OSRRefP22_11x_0" localSheetId="94">'Div 5'!$P$66:$P$67</definedName>
    <definedName name="OSRRefP22_11x_0" localSheetId="62">'Div 6'!$P$96:$P$99</definedName>
    <definedName name="OSRRefP22_11x_0" localSheetId="2">Summary!$P$212:$P$214</definedName>
    <definedName name="OSRRefP22_12x_0" localSheetId="41">'201'!$P$66</definedName>
    <definedName name="OSRRefP22_12x_0" localSheetId="42">'202'!$P$67</definedName>
    <definedName name="OSRRefP22_12x_0" localSheetId="43">'203'!$P$69</definedName>
    <definedName name="OSRRefP22_12x_0" localSheetId="44">'204'!$P$67</definedName>
    <definedName name="OSRRefP22_12x_0" localSheetId="48">'300'!$P$183</definedName>
    <definedName name="OSRRefP22_12x_0" localSheetId="49">'300 &amp; 317'!$P$205</definedName>
    <definedName name="OSRRefP22_12x_0" localSheetId="50">'301'!$P$65</definedName>
    <definedName name="OSRRefP22_12x_0" localSheetId="53">'307'!$P$97:$P$98</definedName>
    <definedName name="OSRRefP22_12x_0" localSheetId="54">'308'!$P$109:$P$110</definedName>
    <definedName name="OSRRefP22_12x_0" localSheetId="65">'310'!$P$73</definedName>
    <definedName name="OSRRefP22_12x_0" localSheetId="73">'310 &amp; 491'!$P$80</definedName>
    <definedName name="OSRRefP22_12x_0" localSheetId="55">'311'!$P$108:$P$109</definedName>
    <definedName name="OSRRefP22_12x_0" localSheetId="58">'315'!$P$128:$P$130</definedName>
    <definedName name="OSRRefP22_12x_0" localSheetId="61">'316'!$P$80</definedName>
    <definedName name="OSRRefP22_12x_0" localSheetId="63">'317'!$P$101</definedName>
    <definedName name="OSRRefP22_12x_0" localSheetId="68">'321'!$P$73</definedName>
    <definedName name="OSRRefP22_12x_0" localSheetId="70">'325'!$P$69:$P$71</definedName>
    <definedName name="OSRRefP22_12x_0" localSheetId="59">'326'!$P$98</definedName>
    <definedName name="OSRRefP22_12x_0" localSheetId="52">'330'!$P$101:$P$102</definedName>
    <definedName name="OSRRefP22_12x_0" localSheetId="57">'331'!$P$131</definedName>
    <definedName name="OSRRefP22_12x_0" localSheetId="60">'332'!$P$82</definedName>
    <definedName name="OSRRefP22_12x_0" localSheetId="75">'405'!$P$69</definedName>
    <definedName name="OSRRefP22_12x_0" localSheetId="77">'411'!$P$69:$P$75</definedName>
    <definedName name="OSRRefP22_12x_0" localSheetId="78">'412'!$P$72:$P$73</definedName>
    <definedName name="OSRRefP22_12x_0" localSheetId="79">'413'!$P$76</definedName>
    <definedName name="OSRRefP22_12x_0" localSheetId="80">'414'!$P$67:$P$69</definedName>
    <definedName name="OSRRefP22_12x_0" localSheetId="81">'415'!$P$71:$P$75</definedName>
    <definedName name="OSRRefP22_12x_0" localSheetId="82">'418'!$P$78:$P$79</definedName>
    <definedName name="OSRRefP22_12x_0" localSheetId="90">'433'!$P$71:$P$74</definedName>
    <definedName name="OSRRefP22_12x_0" localSheetId="92">'444'!$P$72:$P$75</definedName>
    <definedName name="OSRRefP22_12x_0" localSheetId="93">'450'!$P$65</definedName>
    <definedName name="OSRRefP22_12x_0" localSheetId="74">'491'!$P$73</definedName>
    <definedName name="OSRRefP22_12x_0" localSheetId="88">'492'!$P$69:$P$72</definedName>
    <definedName name="OSRRefP22_12x_0" localSheetId="95">'501'!$P$69</definedName>
    <definedName name="OSRRefP22_12x_0" localSheetId="39">'Div 2'!$P$68:$P$71</definedName>
    <definedName name="OSRRefP22_12x_0" localSheetId="47">'Div 3'!$P$187</definedName>
    <definedName name="OSRRefP22_12x_0" localSheetId="72">'Div 4'!$P$76</definedName>
    <definedName name="OSRRefP22_12x_0" localSheetId="94">'Div 5'!$P$69</definedName>
    <definedName name="OSRRefP22_12x_0" localSheetId="62">'Div 6'!$P$101</definedName>
    <definedName name="OSRRefP22_12x_0" localSheetId="2">Summary!$P$216</definedName>
    <definedName name="OSRRefP22_13x_0" localSheetId="41">'201'!$P$68:$P$70</definedName>
    <definedName name="OSRRefP22_13x_0" localSheetId="43">'203'!$P$71</definedName>
    <definedName name="OSRRefP22_13x_0" localSheetId="48">'300'!$P$185:$P$186</definedName>
    <definedName name="OSRRefP22_13x_0" localSheetId="49">'300 &amp; 317'!$P$207:$P$208</definedName>
    <definedName name="OSRRefP22_13x_0" localSheetId="50">'301'!$P$67</definedName>
    <definedName name="OSRRefP22_13x_0" localSheetId="53">'307'!$P$100</definedName>
    <definedName name="OSRRefP22_13x_0" localSheetId="54">'308'!$P$112</definedName>
    <definedName name="OSRRefP22_13x_0" localSheetId="65">'310'!$P$75:$P$78</definedName>
    <definedName name="OSRRefP22_13x_0" localSheetId="73">'310 &amp; 491'!$P$82</definedName>
    <definedName name="OSRRefP22_13x_0" localSheetId="55">'311'!$P$111</definedName>
    <definedName name="OSRRefP22_13x_0" localSheetId="58">'315'!$P$132:$P$133</definedName>
    <definedName name="OSRRefP22_13x_0" localSheetId="63">'317'!$P$103</definedName>
    <definedName name="OSRRefP22_13x_0" localSheetId="68">'321'!$P$75</definedName>
    <definedName name="OSRRefP22_13x_0" localSheetId="70">'325'!$P$73</definedName>
    <definedName name="OSRRefP22_13x_0" localSheetId="59">'326'!$P$100:$P$102</definedName>
    <definedName name="OSRRefP22_13x_0" localSheetId="52">'330'!$P$104</definedName>
    <definedName name="OSRRefP22_13x_0" localSheetId="57">'331'!$P$133</definedName>
    <definedName name="OSRRefP22_13x_0" localSheetId="75">'405'!$P$71:$P$79</definedName>
    <definedName name="OSRRefP22_13x_0" localSheetId="77">'411'!$P$77</definedName>
    <definedName name="OSRRefP22_13x_0" localSheetId="78">'412'!$P$75</definedName>
    <definedName name="OSRRefP22_13x_0" localSheetId="80">'414'!$P$71</definedName>
    <definedName name="OSRRefP22_13x_0" localSheetId="81">'415'!$P$77</definedName>
    <definedName name="OSRRefP22_13x_0" localSheetId="82">'418'!$P$81</definedName>
    <definedName name="OSRRefP22_13x_0" localSheetId="90">'433'!$P$76:$P$83</definedName>
    <definedName name="OSRRefP22_13x_0" localSheetId="92">'444'!$P$77</definedName>
    <definedName name="OSRRefP22_13x_0" localSheetId="93">'450'!$P$67:$P$69</definedName>
    <definedName name="OSRRefP22_13x_0" localSheetId="74">'491'!$P$75</definedName>
    <definedName name="OSRRefP22_13x_0" localSheetId="88">'492'!$P$74:$P$77</definedName>
    <definedName name="OSRRefP22_13x_0" localSheetId="95">'501'!$P$71</definedName>
    <definedName name="OSRRefP22_13x_0" localSheetId="39">'Div 2'!$P$73:$P$76</definedName>
    <definedName name="OSRRefP22_13x_0" localSheetId="47">'Div 3'!$P$189</definedName>
    <definedName name="OSRRefP22_13x_0" localSheetId="72">'Div 4'!$P$78</definedName>
    <definedName name="OSRRefP22_13x_0" localSheetId="94">'Div 5'!$P$71</definedName>
    <definedName name="OSRRefP22_13x_0" localSheetId="62">'Div 6'!$P$103</definedName>
    <definedName name="OSRRefP22_13x_0" localSheetId="2">Summary!$P$218</definedName>
    <definedName name="OSRRefP22_14x_0" localSheetId="41">'201'!$P$72</definedName>
    <definedName name="OSRRefP22_14x_0" localSheetId="43">'203'!$P$73</definedName>
    <definedName name="OSRRefP22_14x_0" localSheetId="48">'300'!$P$188</definedName>
    <definedName name="OSRRefP22_14x_0" localSheetId="49">'300 &amp; 317'!$P$210</definedName>
    <definedName name="OSRRefP22_14x_0" localSheetId="50">'301'!$P$69</definedName>
    <definedName name="OSRRefP22_14x_0" localSheetId="54">'308'!$P$114</definedName>
    <definedName name="OSRRefP22_14x_0" localSheetId="65">'310'!$P$80:$P$81</definedName>
    <definedName name="OSRRefP22_14x_0" localSheetId="73">'310 &amp; 491'!$P$84:$P$87</definedName>
    <definedName name="OSRRefP22_14x_0" localSheetId="55">'311'!$P$113</definedName>
    <definedName name="OSRRefP22_14x_0" localSheetId="58">'315'!$P$135:$P$141</definedName>
    <definedName name="OSRRefP22_14x_0" localSheetId="70">'325'!$P$75:$P$79</definedName>
    <definedName name="OSRRefP22_14x_0" localSheetId="59">'326'!$P$104:$P$106</definedName>
    <definedName name="OSRRefP22_14x_0" localSheetId="57">'331'!$P$135:$P$137</definedName>
    <definedName name="OSRRefP22_14x_0" localSheetId="75">'405'!$P$81</definedName>
    <definedName name="OSRRefP22_14x_0" localSheetId="77">'411'!$P$79</definedName>
    <definedName name="OSRRefP22_14x_0" localSheetId="80">'414'!$P$73</definedName>
    <definedName name="OSRRefP22_14x_0" localSheetId="81">'415'!$P$79:$P$86</definedName>
    <definedName name="OSRRefP22_14x_0" localSheetId="90">'433'!$P$85</definedName>
    <definedName name="OSRRefP22_14x_0" localSheetId="92">'444'!$P$79:$P$87</definedName>
    <definedName name="OSRRefP22_14x_0" localSheetId="93">'450'!$P$71:$P$77</definedName>
    <definedName name="OSRRefP22_14x_0" localSheetId="74">'491'!$P$77:$P$80</definedName>
    <definedName name="OSRRefP22_14x_0" localSheetId="88">'492'!$P$79</definedName>
    <definedName name="OSRRefP22_14x_0" localSheetId="39">'Div 2'!$P$78:$P$79</definedName>
    <definedName name="OSRRefP22_14x_0" localSheetId="47">'Div 3'!$P$191:$P$192</definedName>
    <definedName name="OSRRefP22_14x_0" localSheetId="72">'Div 4'!$P$80</definedName>
    <definedName name="OSRRefP22_14x_0" localSheetId="2">Summary!$P$220:$P$221</definedName>
    <definedName name="OSRRefP22_15x_0" localSheetId="41">'201'!$P$74</definedName>
    <definedName name="OSRRefP22_15x_0" localSheetId="48">'300'!$P$190</definedName>
    <definedName name="OSRRefP22_15x_0" localSheetId="49">'300 &amp; 317'!$P$212</definedName>
    <definedName name="OSRRefP22_15x_0" localSheetId="50">'301'!$P$71:$P$74</definedName>
    <definedName name="OSRRefP22_15x_0" localSheetId="65">'310'!$P$83:$P$86</definedName>
    <definedName name="OSRRefP22_15x_0" localSheetId="73">'310 &amp; 491'!$P$89:$P$90</definedName>
    <definedName name="OSRRefP22_15x_0" localSheetId="58">'315'!$P$143</definedName>
    <definedName name="OSRRefP22_15x_0" localSheetId="70">'325'!$P$81:$P$82</definedName>
    <definedName name="OSRRefP22_15x_0" localSheetId="59">'326'!$P$108:$P$109</definedName>
    <definedName name="OSRRefP22_15x_0" localSheetId="57">'331'!$P$139:$P$141</definedName>
    <definedName name="OSRRefP22_15x_0" localSheetId="75">'405'!$P$83</definedName>
    <definedName name="OSRRefP22_15x_0" localSheetId="77">'411'!$P$81</definedName>
    <definedName name="OSRRefP22_15x_0" localSheetId="80">'414'!$P$75</definedName>
    <definedName name="OSRRefP22_15x_0" localSheetId="81">'415'!$P$88:$P$89</definedName>
    <definedName name="OSRRefP22_15x_0" localSheetId="90">'433'!$P$87</definedName>
    <definedName name="OSRRefP22_15x_0" localSheetId="92">'444'!$P$89:$P$90</definedName>
    <definedName name="OSRRefP22_15x_0" localSheetId="93">'450'!$P$79:$P$80</definedName>
    <definedName name="OSRRefP22_15x_0" localSheetId="74">'491'!$P$82:$P$83</definedName>
    <definedName name="OSRRefP22_15x_0" localSheetId="88">'492'!$P$81:$P$90</definedName>
    <definedName name="OSRRefP22_15x_0" localSheetId="39">'Div 2'!$P$81:$P$82</definedName>
    <definedName name="OSRRefP22_15x_0" localSheetId="47">'Div 3'!$P$194</definedName>
    <definedName name="OSRRefP22_15x_0" localSheetId="72">'Div 4'!$P$82:$P$85</definedName>
    <definedName name="OSRRefP22_15x_0" localSheetId="2">Summary!$P$223</definedName>
    <definedName name="OSRRefP22_16x_0" localSheetId="41">'201'!$P$76</definedName>
    <definedName name="OSRRefP22_16x_0" localSheetId="48">'300'!$P$192:$P$195</definedName>
    <definedName name="OSRRefP22_16x_0" localSheetId="49">'300 &amp; 317'!$P$214:$P$217</definedName>
    <definedName name="OSRRefP22_16x_0" localSheetId="50">'301'!$P$76:$P$78</definedName>
    <definedName name="OSRRefP22_16x_0" localSheetId="65">'310'!$P$88</definedName>
    <definedName name="OSRRefP22_16x_0" localSheetId="73">'310 &amp; 491'!$P$92:$P$96</definedName>
    <definedName name="OSRRefP22_16x_0" localSheetId="58">'315'!$P$145</definedName>
    <definedName name="OSRRefP22_16x_0" localSheetId="70">'325'!$P$84</definedName>
    <definedName name="OSRRefP22_16x_0" localSheetId="59">'326'!$P$111:$P$116</definedName>
    <definedName name="OSRRefP22_16x_0" localSheetId="57">'331'!$P$143:$P$145</definedName>
    <definedName name="OSRRefP22_16x_0" localSheetId="75">'405'!$P$85</definedName>
    <definedName name="OSRRefP22_16x_0" localSheetId="77">'411'!$P$83</definedName>
    <definedName name="OSRRefP22_16x_0" localSheetId="81">'415'!$P$91</definedName>
    <definedName name="OSRRefP22_16x_0" localSheetId="92">'444'!$P$92</definedName>
    <definedName name="OSRRefP22_16x_0" localSheetId="93">'450'!$P$82</definedName>
    <definedName name="OSRRefP22_16x_0" localSheetId="74">'491'!$P$85:$P$89</definedName>
    <definedName name="OSRRefP22_16x_0" localSheetId="88">'492'!$P$92:$P$93</definedName>
    <definedName name="OSRRefP22_16x_0" localSheetId="39">'Div 2'!$P$84:$P$89</definedName>
    <definedName name="OSRRefP22_16x_0" localSheetId="47">'Div 3'!$P$196</definedName>
    <definedName name="OSRRefP22_16x_0" localSheetId="72">'Div 4'!$P$87:$P$88</definedName>
    <definedName name="OSRRefP22_16x_0" localSheetId="2">Summary!$P$225</definedName>
    <definedName name="OSRRefP22_17x_0" localSheetId="48">'300'!$P$197:$P$200</definedName>
    <definedName name="OSRRefP22_17x_0" localSheetId="49">'300 &amp; 317'!$P$219:$P$222</definedName>
    <definedName name="OSRRefP22_17x_0" localSheetId="50">'301'!$P$80:$P$81</definedName>
    <definedName name="OSRRefP22_17x_0" localSheetId="65">'310'!$P$90:$P$96</definedName>
    <definedName name="OSRRefP22_17x_0" localSheetId="73">'310 &amp; 491'!$P$98:$P$99</definedName>
    <definedName name="OSRRefP22_17x_0" localSheetId="58">'315'!$P$147:$P$148</definedName>
    <definedName name="OSRRefP22_17x_0" localSheetId="70">'325'!$P$86</definedName>
    <definedName name="OSRRefP22_17x_0" localSheetId="59">'326'!$P$118:$P$119</definedName>
    <definedName name="OSRRefP22_17x_0" localSheetId="57">'331'!$P$147:$P$148</definedName>
    <definedName name="OSRRefP22_17x_0" localSheetId="75">'405'!$P$87</definedName>
    <definedName name="OSRRefP22_17x_0" localSheetId="81">'415'!$P$93:$P$94</definedName>
    <definedName name="OSRRefP22_17x_0" localSheetId="92">'444'!$P$94</definedName>
    <definedName name="OSRRefP22_17x_0" localSheetId="74">'491'!$P$91:$P$92</definedName>
    <definedName name="OSRRefP22_17x_0" localSheetId="88">'492'!$P$95</definedName>
    <definedName name="OSRRefP22_17x_0" localSheetId="39">'Div 2'!$P$91:$P$92</definedName>
    <definedName name="OSRRefP22_17x_0" localSheetId="47">'Div 3'!$P$198:$P$201</definedName>
    <definedName name="OSRRefP22_17x_0" localSheetId="72">'Div 4'!$P$90:$P$94</definedName>
    <definedName name="OSRRefP22_17x_0" localSheetId="2">Summary!$P$227</definedName>
    <definedName name="OSRRefP22_18x_0" localSheetId="48">'300'!$P$202:$P$205</definedName>
    <definedName name="OSRRefP22_18x_0" localSheetId="49">'300 &amp; 317'!$P$224:$P$227</definedName>
    <definedName name="OSRRefP22_18x_0" localSheetId="50">'301'!$P$83:$P$89</definedName>
    <definedName name="OSRRefP22_18x_0" localSheetId="65">'310'!$P$98:$P$99</definedName>
    <definedName name="OSRRefP22_18x_0" localSheetId="73">'310 &amp; 491'!$P$101:$P$111</definedName>
    <definedName name="OSRRefP22_18x_0" localSheetId="59">'326'!$P$121</definedName>
    <definedName name="OSRRefP22_18x_0" localSheetId="57">'331'!$P$150:$P$157</definedName>
    <definedName name="OSRRefP22_18x_0" localSheetId="81">'415'!$P$96</definedName>
    <definedName name="OSRRefP22_18x_0" localSheetId="74">'491'!$P$94:$P$104</definedName>
    <definedName name="OSRRefP22_18x_0" localSheetId="88">'492'!$P$97:$P$98</definedName>
    <definedName name="OSRRefP22_18x_0" localSheetId="39">'Div 2'!$P$94</definedName>
    <definedName name="OSRRefP22_18x_0" localSheetId="47">'Div 3'!$P$203:$P$206</definedName>
    <definedName name="OSRRefP22_18x_0" localSheetId="72">'Div 4'!$P$96:$P$97</definedName>
    <definedName name="OSRRefP22_18x_0" localSheetId="2">Summary!$P$229:$P$232</definedName>
    <definedName name="OSRRefP22_19x_0" localSheetId="48">'300'!$P$207:$P$208</definedName>
    <definedName name="OSRRefP22_19x_0" localSheetId="49">'300 &amp; 317'!$P$229:$P$230</definedName>
    <definedName name="OSRRefP22_19x_0" localSheetId="50">'301'!$P$91</definedName>
    <definedName name="OSRRefP22_19x_0" localSheetId="65">'310'!$P$101</definedName>
    <definedName name="OSRRefP22_19x_0" localSheetId="73">'310 &amp; 491'!$P$113:$P$114</definedName>
    <definedName name="OSRRefP22_19x_0" localSheetId="59">'326'!$P$123:$P$124</definedName>
    <definedName name="OSRRefP22_19x_0" localSheetId="57">'331'!$P$159:$P$160</definedName>
    <definedName name="OSRRefP22_19x_0" localSheetId="74">'491'!$P$106:$P$107</definedName>
    <definedName name="OSRRefP22_19x_0" localSheetId="39">'Div 2'!$P$96:$P$97</definedName>
    <definedName name="OSRRefP22_19x_0" localSheetId="47">'Div 3'!$P$208:$P$212</definedName>
    <definedName name="OSRRefP22_19x_0" localSheetId="72">'Div 4'!$P$99:$P$109</definedName>
    <definedName name="OSRRefP22_19x_0" localSheetId="2">Summary!$P$234:$P$237</definedName>
    <definedName name="OSRRefP22_1x_0" localSheetId="40">'200'!$P$23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'300'!$P$145:$P$154</definedName>
    <definedName name="OSRRefP22_1x_0" localSheetId="49">'300 &amp; 317'!$P$167:$P$176</definedName>
    <definedName name="OSRRefP22_1x_0" localSheetId="50">'301'!$P$32:$P$41</definedName>
    <definedName name="OSRRefP22_1x_0" localSheetId="51">'306'!$P$30:$P$39</definedName>
    <definedName name="OSRRefP22_1x_0" localSheetId="53">'307'!$P$60:$P$69</definedName>
    <definedName name="OSRRefP22_1x_0" localSheetId="54">'308'!$P$70:$P$79</definedName>
    <definedName name="OSRRefP22_1x_0" localSheetId="66">'309'!$P$32:$P$41</definedName>
    <definedName name="OSRRefP22_1x_0" localSheetId="65">'310'!$P$41:$P$50</definedName>
    <definedName name="OSRRefP22_1x_0" localSheetId="73">'310 &amp; 491'!$P$46:$P$55</definedName>
    <definedName name="OSRRefP22_1x_0" localSheetId="55">'311'!$P$69:$P$78</definedName>
    <definedName name="OSRRefP22_1x_0" localSheetId="67">'313'!$P$37:$P$46</definedName>
    <definedName name="OSRRefP22_1x_0" localSheetId="58">'315'!$P$94:$P$103</definedName>
    <definedName name="OSRRefP22_1x_0" localSheetId="61">'316'!$P$42:$P$51</definedName>
    <definedName name="OSRRefP22_1x_0" localSheetId="63">'317'!$P$65:$P$74</definedName>
    <definedName name="OSRRefP22_1x_0" localSheetId="64">'320'!$P$25</definedName>
    <definedName name="OSRRefP22_1x_0" localSheetId="68">'321'!$P$36:$P$45</definedName>
    <definedName name="OSRRefP22_1x_0" localSheetId="69">'322'!$P$32:$P$41</definedName>
    <definedName name="OSRRefP22_1x_0" localSheetId="56">'324'!$P$36:$P$45</definedName>
    <definedName name="OSRRefP22_1x_0" localSheetId="70">'325'!$P$34:$P$43</definedName>
    <definedName name="OSRRefP22_1x_0" localSheetId="59">'326'!$P$66:$P$75</definedName>
    <definedName name="OSRRefP22_1x_0" localSheetId="71">'327'!$P$27</definedName>
    <definedName name="OSRRefP22_1x_0" localSheetId="52">'330'!$P$64:$P$73</definedName>
    <definedName name="OSRRefP22_1x_0" localSheetId="57">'331'!$P$96:$P$105</definedName>
    <definedName name="OSRRefP22_1x_0" localSheetId="60">'332'!$P$44:$P$53</definedName>
    <definedName name="OSRRefP22_1x_0" localSheetId="75">'405'!$P$33:$P$42</definedName>
    <definedName name="OSRRefP22_1x_0" localSheetId="76">'406'!$P$22</definedName>
    <definedName name="OSRRefP22_1x_0" localSheetId="77">'411'!$P$30:$P$39</definedName>
    <definedName name="OSRRefP22_1x_0" localSheetId="78">'412'!$P$31:$P$40</definedName>
    <definedName name="OSRRefP22_1x_0" localSheetId="79">'413'!$P$33:$P$42</definedName>
    <definedName name="OSRRefP22_1x_0" localSheetId="80">'414'!$P$35:$P$44</definedName>
    <definedName name="OSRRefP22_1x_0" localSheetId="81">'415'!$P$37:$P$46</definedName>
    <definedName name="OSRRefP22_1x_0" localSheetId="82">'418'!$P$33:$P$42</definedName>
    <definedName name="OSRRefP22_1x_0" localSheetId="83">'420'!$P$24</definedName>
    <definedName name="OSRRefP22_1x_0" localSheetId="84">'423'!$P$29:$P$38</definedName>
    <definedName name="OSRRefP22_1x_0" localSheetId="85">'424'!$P$22</definedName>
    <definedName name="OSRRefP22_1x_0" localSheetId="87">'425'!$P$27</definedName>
    <definedName name="OSRRefP22_1x_0" localSheetId="89">'430'!$P$30:$P$39</definedName>
    <definedName name="OSRRefP22_1x_0" localSheetId="90">'433'!$P$38:$P$47</definedName>
    <definedName name="OSRRefP22_1x_0" localSheetId="92">'444'!$P$38:$P$47</definedName>
    <definedName name="OSRRefP22_1x_0" localSheetId="93">'450'!$P$34:$P$43</definedName>
    <definedName name="OSRRefP22_1x_0" localSheetId="74">'491'!$P$40:$P$49</definedName>
    <definedName name="OSRRefP22_1x_0" localSheetId="88">'492'!$P$38:$P$47</definedName>
    <definedName name="OSRRefP22_1x_0" localSheetId="95">'501'!$P$33:$P$42</definedName>
    <definedName name="OSRRefP22_1x_0" localSheetId="39">'Div 2'!$P$33:$P$42</definedName>
    <definedName name="OSRRefP22_1x_0" localSheetId="47">'Div 3'!$P$149:$P$158</definedName>
    <definedName name="OSRRefP22_1x_0" localSheetId="72">'Div 4'!$P$43:$P$52</definedName>
    <definedName name="OSRRefP22_1x_0" localSheetId="94">'Div 5'!$P$33:$P$42</definedName>
    <definedName name="OSRRefP22_1x_0" localSheetId="62">'Div 6'!$P$65:$P$74</definedName>
    <definedName name="OSRRefP22_1x_0" localSheetId="2">Summary!$P$177:$P$186</definedName>
    <definedName name="OSRRefP22_20x_0" localSheetId="48">'300'!$P$210:$P$218</definedName>
    <definedName name="OSRRefP22_20x_0" localSheetId="49">'300 &amp; 317'!$P$232:$P$240</definedName>
    <definedName name="OSRRefP22_20x_0" localSheetId="50">'301'!$P$93</definedName>
    <definedName name="OSRRefP22_20x_0" localSheetId="65">'310'!$P$103</definedName>
    <definedName name="OSRRefP22_20x_0" localSheetId="73">'310 &amp; 491'!$P$116</definedName>
    <definedName name="OSRRefP22_20x_0" localSheetId="59">'326'!$P$126</definedName>
    <definedName name="OSRRefP22_20x_0" localSheetId="57">'331'!$P$162</definedName>
    <definedName name="OSRRefP22_20x_0" localSheetId="74">'491'!$P$109</definedName>
    <definedName name="OSRRefP22_20x_0" localSheetId="47">'Div 3'!$P$214:$P$215</definedName>
    <definedName name="OSRRefP22_20x_0" localSheetId="72">'Div 4'!$P$111:$P$112</definedName>
    <definedName name="OSRRefP22_20x_0" localSheetId="2">Summary!$P$239:$P$243</definedName>
    <definedName name="OSRRefP22_21x_0" localSheetId="48">'300'!$P$220:$P$221</definedName>
    <definedName name="OSRRefP22_21x_0" localSheetId="49">'300 &amp; 317'!$P$242:$P$243</definedName>
    <definedName name="OSRRefP22_21x_0" localSheetId="50">'301'!$P$95:$P$97</definedName>
    <definedName name="OSRRefP22_21x_0" localSheetId="65">'310'!$P$105</definedName>
    <definedName name="OSRRefP22_21x_0" localSheetId="73">'310 &amp; 491'!$P$118:$P$120</definedName>
    <definedName name="OSRRefP22_21x_0" localSheetId="57">'331'!$P$164:$P$165</definedName>
    <definedName name="OSRRefP22_21x_0" localSheetId="74">'491'!$P$111:$P$113</definedName>
    <definedName name="OSRRefP22_21x_0" localSheetId="47">'Div 3'!$P$217:$P$225</definedName>
    <definedName name="OSRRefP22_21x_0" localSheetId="72">'Div 4'!$P$114</definedName>
    <definedName name="OSRRefP22_21x_0" localSheetId="2">Summary!$P$245:$P$246</definedName>
    <definedName name="OSRRefP22_22x_0" localSheetId="48">'300'!$P$223</definedName>
    <definedName name="OSRRefP22_22x_0" localSheetId="49">'300 &amp; 317'!$P$245</definedName>
    <definedName name="OSRRefP22_22x_0" localSheetId="50">'301'!$P$99</definedName>
    <definedName name="OSRRefP22_22x_0" localSheetId="73">'310 &amp; 491'!$P$122</definedName>
    <definedName name="OSRRefP22_22x_0" localSheetId="57">'331'!$P$167</definedName>
    <definedName name="OSRRefP22_22x_0" localSheetId="74">'491'!$P$115</definedName>
    <definedName name="OSRRefP22_22x_0" localSheetId="47">'Div 3'!$P$227:$P$228</definedName>
    <definedName name="OSRRefP22_22x_0" localSheetId="72">'Div 4'!$P$116:$P$118</definedName>
    <definedName name="OSRRefP22_22x_0" localSheetId="2">Summary!$P$248:$P$258</definedName>
    <definedName name="OSRRefP22_23x_0" localSheetId="48">'300'!$P$225:$P$227</definedName>
    <definedName name="OSRRefP22_23x_0" localSheetId="49">'300 &amp; 317'!$P$247:$P$249</definedName>
    <definedName name="OSRRefP22_23x_0" localSheetId="47">'Div 3'!$P$230</definedName>
    <definedName name="OSRRefP22_23x_0" localSheetId="72">'Div 4'!$P$120</definedName>
    <definedName name="OSRRefP22_23x_0" localSheetId="2">Summary!$P$260:$P$261</definedName>
    <definedName name="OSRRefP22_24x_0" localSheetId="48">'300'!$P$229</definedName>
    <definedName name="OSRRefP22_24x_0" localSheetId="49">'300 &amp; 317'!$P$251</definedName>
    <definedName name="OSRRefP22_24x_0" localSheetId="47">'Div 3'!$P$232:$P$234</definedName>
    <definedName name="OSRRefP22_24x_0" localSheetId="2">Summary!$P$263</definedName>
    <definedName name="OSRRefP22_25x_0" localSheetId="47">'Div 3'!$P$236</definedName>
    <definedName name="OSRRefP22_25x_0" localSheetId="2">Summary!$P$265:$P$267</definedName>
    <definedName name="OSRRefP22_26x_0" localSheetId="2">Summary!$P$269</definedName>
    <definedName name="OSRRefP22_2x_0" localSheetId="40">'200'!$P$25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'300'!$P$156</definedName>
    <definedName name="OSRRefP22_2x_0" localSheetId="49">'300 &amp; 317'!$P$178</definedName>
    <definedName name="OSRRefP22_2x_0" localSheetId="50">'301'!$P$43</definedName>
    <definedName name="OSRRefP22_2x_0" localSheetId="51">'306'!$P$41</definedName>
    <definedName name="OSRRefP22_2x_0" localSheetId="53">'307'!$P$71</definedName>
    <definedName name="OSRRefP22_2x_0" localSheetId="54">'308'!$P$81</definedName>
    <definedName name="OSRRefP22_2x_0" localSheetId="66">'309'!$P$43</definedName>
    <definedName name="OSRRefP22_2x_0" localSheetId="65">'310'!$P$52</definedName>
    <definedName name="OSRRefP22_2x_0" localSheetId="73">'310 &amp; 491'!$P$57</definedName>
    <definedName name="OSRRefP22_2x_0" localSheetId="55">'311'!$P$80</definedName>
    <definedName name="OSRRefP22_2x_0" localSheetId="67">'313'!$P$48</definedName>
    <definedName name="OSRRefP22_2x_0" localSheetId="58">'315'!$P$105</definedName>
    <definedName name="OSRRefP22_2x_0" localSheetId="61">'316'!$P$53</definedName>
    <definedName name="OSRRefP22_2x_0" localSheetId="63">'317'!$P$76</definedName>
    <definedName name="OSRRefP22_2x_0" localSheetId="64">'320'!$P$27</definedName>
    <definedName name="OSRRefP22_2x_0" localSheetId="68">'321'!$P$47</definedName>
    <definedName name="OSRRefP22_2x_0" localSheetId="69">'322'!$P$43</definedName>
    <definedName name="OSRRefP22_2x_0" localSheetId="70">'325'!$P$45</definedName>
    <definedName name="OSRRefP22_2x_0" localSheetId="59">'326'!$P$77</definedName>
    <definedName name="OSRRefP22_2x_0" localSheetId="52">'330'!$P$75</definedName>
    <definedName name="OSRRefP22_2x_0" localSheetId="57">'331'!$P$107</definedName>
    <definedName name="OSRRefP22_2x_0" localSheetId="60">'332'!$P$55</definedName>
    <definedName name="OSRRefP22_2x_0" localSheetId="75">'405'!$P$44</definedName>
    <definedName name="OSRRefP22_2x_0" localSheetId="76">'406'!$P$24</definedName>
    <definedName name="OSRRefP22_2x_0" localSheetId="77">'411'!$P$41</definedName>
    <definedName name="OSRRefP22_2x_0" localSheetId="78">'412'!$P$42</definedName>
    <definedName name="OSRRefP22_2x_0" localSheetId="79">'413'!$P$44</definedName>
    <definedName name="OSRRefP22_2x_0" localSheetId="80">'414'!$P$46</definedName>
    <definedName name="OSRRefP22_2x_0" localSheetId="81">'415'!$P$48</definedName>
    <definedName name="OSRRefP22_2x_0" localSheetId="82">'418'!$P$44</definedName>
    <definedName name="OSRRefP22_2x_0" localSheetId="84">'423'!$P$40</definedName>
    <definedName name="OSRRefP22_2x_0" localSheetId="85">'424'!$P$24</definedName>
    <definedName name="OSRRefP22_2x_0" localSheetId="87">'425'!$P$29</definedName>
    <definedName name="OSRRefP22_2x_0" localSheetId="89">'430'!$P$41</definedName>
    <definedName name="OSRRefP22_2x_0" localSheetId="90">'433'!$P$49</definedName>
    <definedName name="OSRRefP22_2x_0" localSheetId="92">'444'!$P$49</definedName>
    <definedName name="OSRRefP22_2x_0" localSheetId="93">'450'!$P$45</definedName>
    <definedName name="OSRRefP22_2x_0" localSheetId="74">'491'!$P$51</definedName>
    <definedName name="OSRRefP22_2x_0" localSheetId="88">'492'!$P$49</definedName>
    <definedName name="OSRRefP22_2x_0" localSheetId="95">'501'!$P$44</definedName>
    <definedName name="OSRRefP22_2x_0" localSheetId="39">'Div 2'!$P$44</definedName>
    <definedName name="OSRRefP22_2x_0" localSheetId="47">'Div 3'!$P$160</definedName>
    <definedName name="OSRRefP22_2x_0" localSheetId="72">'Div 4'!$P$54</definedName>
    <definedName name="OSRRefP22_2x_0" localSheetId="94">'Div 5'!$P$44</definedName>
    <definedName name="OSRRefP22_2x_0" localSheetId="62">'Div 6'!$P$76</definedName>
    <definedName name="OSRRefP22_2x_0" localSheetId="2">Summary!$P$188</definedName>
    <definedName name="OSRRefP22_3x_0" localSheetId="40">'200'!$P$27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'300'!$P$158:$P$159</definedName>
    <definedName name="OSRRefP22_3x_0" localSheetId="49">'300 &amp; 317'!$P$180:$P$181</definedName>
    <definedName name="OSRRefP22_3x_0" localSheetId="50">'301'!$P$45:$P$46</definedName>
    <definedName name="OSRRefP22_3x_0" localSheetId="51">'306'!$P$43</definedName>
    <definedName name="OSRRefP22_3x_0" localSheetId="53">'307'!$P$73</definedName>
    <definedName name="OSRRefP22_3x_0" localSheetId="54">'308'!$P$83:$P$84</definedName>
    <definedName name="OSRRefP22_3x_0" localSheetId="66">'309'!$P$45</definedName>
    <definedName name="OSRRefP22_3x_0" localSheetId="65">'310'!$P$54</definedName>
    <definedName name="OSRRefP22_3x_0" localSheetId="73">'310 &amp; 491'!$P$59</definedName>
    <definedName name="OSRRefP22_3x_0" localSheetId="55">'311'!$P$82:$P$83</definedName>
    <definedName name="OSRRefP22_3x_0" localSheetId="67">'313'!$P$50</definedName>
    <definedName name="OSRRefP22_3x_0" localSheetId="58">'315'!$P$107</definedName>
    <definedName name="OSRRefP22_3x_0" localSheetId="61">'316'!$P$55</definedName>
    <definedName name="OSRRefP22_3x_0" localSheetId="63">'317'!$P$78</definedName>
    <definedName name="OSRRefP22_3x_0" localSheetId="68">'321'!$P$49</definedName>
    <definedName name="OSRRefP22_3x_0" localSheetId="69">'322'!$P$45</definedName>
    <definedName name="OSRRefP22_3x_0" localSheetId="70">'325'!$P$47</definedName>
    <definedName name="OSRRefP22_3x_0" localSheetId="59">'326'!$P$79</definedName>
    <definedName name="OSRRefP22_3x_0" localSheetId="52">'330'!$P$77</definedName>
    <definedName name="OSRRefP22_3x_0" localSheetId="57">'331'!$P$109</definedName>
    <definedName name="OSRRefP22_3x_0" localSheetId="60">'332'!$P$57</definedName>
    <definedName name="OSRRefP22_3x_0" localSheetId="75">'405'!$P$46</definedName>
    <definedName name="OSRRefP22_3x_0" localSheetId="76">'406'!$P$26</definedName>
    <definedName name="OSRRefP22_3x_0" localSheetId="77">'411'!$P$43</definedName>
    <definedName name="OSRRefP22_3x_0" localSheetId="78">'412'!$P$44</definedName>
    <definedName name="OSRRefP22_3x_0" localSheetId="79">'413'!$P$46</definedName>
    <definedName name="OSRRefP22_3x_0" localSheetId="80">'414'!$P$48</definedName>
    <definedName name="OSRRefP22_3x_0" localSheetId="81">'415'!$P$50</definedName>
    <definedName name="OSRRefP22_3x_0" localSheetId="82">'418'!$P$46</definedName>
    <definedName name="OSRRefP22_3x_0" localSheetId="84">'423'!$P$42</definedName>
    <definedName name="OSRRefP22_3x_0" localSheetId="85">'424'!$P$26</definedName>
    <definedName name="OSRRefP22_3x_0" localSheetId="87">'425'!$P$31</definedName>
    <definedName name="OSRRefP22_3x_0" localSheetId="89">'430'!$P$43</definedName>
    <definedName name="OSRRefP22_3x_0" localSheetId="90">'433'!$P$51</definedName>
    <definedName name="OSRRefP22_3x_0" localSheetId="92">'444'!$P$51</definedName>
    <definedName name="OSRRefP22_3x_0" localSheetId="93">'450'!$P$47</definedName>
    <definedName name="OSRRefP22_3x_0" localSheetId="74">'491'!$P$53</definedName>
    <definedName name="OSRRefP22_3x_0" localSheetId="88">'492'!$P$51</definedName>
    <definedName name="OSRRefP22_3x_0" localSheetId="95">'501'!$P$46</definedName>
    <definedName name="OSRRefP22_3x_0" localSheetId="39">'Div 2'!$P$46</definedName>
    <definedName name="OSRRefP22_3x_0" localSheetId="47">'Div 3'!$P$162:$P$163</definedName>
    <definedName name="OSRRefP22_3x_0" localSheetId="72">'Div 4'!$P$56</definedName>
    <definedName name="OSRRefP22_3x_0" localSheetId="94">'Div 5'!$P$46</definedName>
    <definedName name="OSRRefP22_3x_0" localSheetId="62">'Div 6'!$P$78</definedName>
    <definedName name="OSRRefP22_3x_0" localSheetId="2">Summary!$P$190:$P$191</definedName>
    <definedName name="OSRRefP22_4x_0" localSheetId="40">'200'!$P$29:$P$30</definedName>
    <definedName name="OSRRefP22_4x_0" localSheetId="41">'201'!$P$46:$P$47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'205'!$P$45:$P$47</definedName>
    <definedName name="OSRRefP22_4x_0" localSheetId="46">'206'!$P$45</definedName>
    <definedName name="OSRRefP22_4x_0" localSheetId="48">'300'!$P$161</definedName>
    <definedName name="OSRRefP22_4x_0" localSheetId="49">'300 &amp; 317'!$P$183</definedName>
    <definedName name="OSRRefP22_4x_0" localSheetId="50">'301'!$P$48</definedName>
    <definedName name="OSRRefP22_4x_0" localSheetId="51">'306'!$P$45</definedName>
    <definedName name="OSRRefP22_4x_0" localSheetId="53">'307'!$P$75</definedName>
    <definedName name="OSRRefP22_4x_0" localSheetId="54">'308'!$P$86</definedName>
    <definedName name="OSRRefP22_4x_0" localSheetId="66">'309'!$P$47</definedName>
    <definedName name="OSRRefP22_4x_0" localSheetId="65">'310'!$P$56</definedName>
    <definedName name="OSRRefP22_4x_0" localSheetId="73">'310 &amp; 491'!$P$61</definedName>
    <definedName name="OSRRefP22_4x_0" localSheetId="55">'311'!$P$85</definedName>
    <definedName name="OSRRefP22_4x_0" localSheetId="67">'313'!$P$52</definedName>
    <definedName name="OSRRefP22_4x_0" localSheetId="58">'315'!$P$109</definedName>
    <definedName name="OSRRefP22_4x_0" localSheetId="61">'316'!$P$57</definedName>
    <definedName name="OSRRefP22_4x_0" localSheetId="63">'317'!$P$80</definedName>
    <definedName name="OSRRefP22_4x_0" localSheetId="68">'321'!$P$51</definedName>
    <definedName name="OSRRefP22_4x_0" localSheetId="69">'322'!$P$47</definedName>
    <definedName name="OSRRefP22_4x_0" localSheetId="70">'325'!$P$49</definedName>
    <definedName name="OSRRefP22_4x_0" localSheetId="59">'326'!$P$81</definedName>
    <definedName name="OSRRefP22_4x_0" localSheetId="52">'330'!$P$79</definedName>
    <definedName name="OSRRefP22_4x_0" localSheetId="57">'331'!$P$111</definedName>
    <definedName name="OSRRefP22_4x_0" localSheetId="60">'332'!$P$59</definedName>
    <definedName name="OSRRefP22_4x_0" localSheetId="75">'405'!$P$48:$P$49</definedName>
    <definedName name="OSRRefP22_4x_0" localSheetId="76">'406'!$P$28</definedName>
    <definedName name="OSRRefP22_4x_0" localSheetId="77">'411'!$P$45:$P$46</definedName>
    <definedName name="OSRRefP22_4x_0" localSheetId="78">'412'!$P$46:$P$47</definedName>
    <definedName name="OSRRefP22_4x_0" localSheetId="79">'413'!$P$48</definedName>
    <definedName name="OSRRefP22_4x_0" localSheetId="80">'414'!$P$50</definedName>
    <definedName name="OSRRefP22_4x_0" localSheetId="81">'415'!$P$52</definedName>
    <definedName name="OSRRefP22_4x_0" localSheetId="82">'418'!$P$48:$P$49</definedName>
    <definedName name="OSRRefP22_4x_0" localSheetId="84">'423'!$P$44:$P$45</definedName>
    <definedName name="OSRRefP22_4x_0" localSheetId="87">'425'!$P$33:$P$34</definedName>
    <definedName name="OSRRefP22_4x_0" localSheetId="89">'430'!$P$45:$P$47</definedName>
    <definedName name="OSRRefP22_4x_0" localSheetId="90">'433'!$P$53</definedName>
    <definedName name="OSRRefP22_4x_0" localSheetId="92">'444'!$P$53</definedName>
    <definedName name="OSRRefP22_4x_0" localSheetId="93">'450'!$P$49</definedName>
    <definedName name="OSRRefP22_4x_0" localSheetId="74">'491'!$P$55</definedName>
    <definedName name="OSRRefP22_4x_0" localSheetId="88">'492'!$P$53</definedName>
    <definedName name="OSRRefP22_4x_0" localSheetId="95">'501'!$P$48</definedName>
    <definedName name="OSRRefP22_4x_0" localSheetId="39">'Div 2'!$P$48</definedName>
    <definedName name="OSRRefP22_4x_0" localSheetId="47">'Div 3'!$P$165</definedName>
    <definedName name="OSRRefP22_4x_0" localSheetId="72">'Div 4'!$P$58</definedName>
    <definedName name="OSRRefP22_4x_0" localSheetId="94">'Div 5'!$P$48</definedName>
    <definedName name="OSRRefP22_4x_0" localSheetId="62">'Div 6'!$P$80</definedName>
    <definedName name="OSRRefP22_4x_0" localSheetId="2">Summary!$P$193</definedName>
    <definedName name="OSRRefP22_5x_0" localSheetId="41">'201'!$P$49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'205'!$P$49</definedName>
    <definedName name="OSRRefP22_5x_0" localSheetId="46">'206'!$P$47</definedName>
    <definedName name="OSRRefP22_5x_0" localSheetId="48">'300'!$P$163:$P$164</definedName>
    <definedName name="OSRRefP22_5x_0" localSheetId="49">'300 &amp; 317'!$P$185:$P$186</definedName>
    <definedName name="OSRRefP22_5x_0" localSheetId="50">'301'!$P$50:$P$51</definedName>
    <definedName name="OSRRefP22_5x_0" localSheetId="51">'306'!$P$47</definedName>
    <definedName name="OSRRefP22_5x_0" localSheetId="53">'307'!$P$77:$P$78</definedName>
    <definedName name="OSRRefP22_5x_0" localSheetId="54">'308'!$P$88</definedName>
    <definedName name="OSRRefP22_5x_0" localSheetId="66">'309'!$P$49</definedName>
    <definedName name="OSRRefP22_5x_0" localSheetId="65">'310'!$P$58:$P$59</definedName>
    <definedName name="OSRRefP22_5x_0" localSheetId="73">'310 &amp; 491'!$P$63:$P$65</definedName>
    <definedName name="OSRRefP22_5x_0" localSheetId="55">'311'!$P$87</definedName>
    <definedName name="OSRRefP22_5x_0" localSheetId="67">'313'!$P$54</definedName>
    <definedName name="OSRRefP22_5x_0" localSheetId="58">'315'!$P$111:$P$112</definedName>
    <definedName name="OSRRefP22_5x_0" localSheetId="61">'316'!$P$59</definedName>
    <definedName name="OSRRefP22_5x_0" localSheetId="63">'317'!$P$82</definedName>
    <definedName name="OSRRefP22_5x_0" localSheetId="68">'321'!$P$53</definedName>
    <definedName name="OSRRefP22_5x_0" localSheetId="69">'322'!$P$49</definedName>
    <definedName name="OSRRefP22_5x_0" localSheetId="70">'325'!$P$51:$P$52</definedName>
    <definedName name="OSRRefP22_5x_0" localSheetId="59">'326'!$P$83</definedName>
    <definedName name="OSRRefP22_5x_0" localSheetId="52">'330'!$P$81:$P$82</definedName>
    <definedName name="OSRRefP22_5x_0" localSheetId="57">'331'!$P$113:$P$114</definedName>
    <definedName name="OSRRefP22_5x_0" localSheetId="60">'332'!$P$61</definedName>
    <definedName name="OSRRefP22_5x_0" localSheetId="75">'405'!$P$51</definedName>
    <definedName name="OSRRefP22_5x_0" localSheetId="77">'411'!$P$48</definedName>
    <definedName name="OSRRefP22_5x_0" localSheetId="78">'412'!$P$49</definedName>
    <definedName name="OSRRefP22_5x_0" localSheetId="79">'413'!$P$50</definedName>
    <definedName name="OSRRefP22_5x_0" localSheetId="80">'414'!$P$52</definedName>
    <definedName name="OSRRefP22_5x_0" localSheetId="81">'415'!$P$54:$P$55</definedName>
    <definedName name="OSRRefP22_5x_0" localSheetId="82">'418'!$P$51</definedName>
    <definedName name="OSRRefP22_5x_0" localSheetId="84">'423'!$P$47</definedName>
    <definedName name="OSRRefP22_5x_0" localSheetId="87">'425'!$P$36</definedName>
    <definedName name="OSRRefP22_5x_0" localSheetId="89">'430'!$P$49:$P$50</definedName>
    <definedName name="OSRRefP22_5x_0" localSheetId="90">'433'!$P$55</definedName>
    <definedName name="OSRRefP22_5x_0" localSheetId="92">'444'!$P$55</definedName>
    <definedName name="OSRRefP22_5x_0" localSheetId="93">'450'!$P$51</definedName>
    <definedName name="OSRRefP22_5x_0" localSheetId="74">'491'!$P$57:$P$59</definedName>
    <definedName name="OSRRefP22_5x_0" localSheetId="88">'492'!$P$55</definedName>
    <definedName name="OSRRefP22_5x_0" localSheetId="95">'501'!$P$50:$P$51</definedName>
    <definedName name="OSRRefP22_5x_0" localSheetId="39">'Div 2'!$P$50:$P$51</definedName>
    <definedName name="OSRRefP22_5x_0" localSheetId="47">'Div 3'!$P$167:$P$168</definedName>
    <definedName name="OSRRefP22_5x_0" localSheetId="72">'Div 4'!$P$60:$P$62</definedName>
    <definedName name="OSRRefP22_5x_0" localSheetId="94">'Div 5'!$P$50:$P$51</definedName>
    <definedName name="OSRRefP22_5x_0" localSheetId="62">'Div 6'!$P$82</definedName>
    <definedName name="OSRRefP22_5x_0" localSheetId="2">Summary!$P$195:$P$197</definedName>
    <definedName name="OSRRefP22_6x_0" localSheetId="41">'201'!$P$51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'205'!$P$51:$P$53</definedName>
    <definedName name="OSRRefP22_6x_0" localSheetId="46">'206'!$P$49</definedName>
    <definedName name="OSRRefP22_6x_0" localSheetId="48">'300'!$P$166:$P$167</definedName>
    <definedName name="OSRRefP22_6x_0" localSheetId="49">'300 &amp; 317'!$P$188:$P$189</definedName>
    <definedName name="OSRRefP22_6x_0" localSheetId="50">'301'!$P$53</definedName>
    <definedName name="OSRRefP22_6x_0" localSheetId="51">'306'!$P$49:$P$50</definedName>
    <definedName name="OSRRefP22_6x_0" localSheetId="53">'307'!$P$80</definedName>
    <definedName name="OSRRefP22_6x_0" localSheetId="54">'308'!$P$90:$P$91</definedName>
    <definedName name="OSRRefP22_6x_0" localSheetId="66">'309'!$P$51</definedName>
    <definedName name="OSRRefP22_6x_0" localSheetId="65">'310'!$P$61</definedName>
    <definedName name="OSRRefP22_6x_0" localSheetId="73">'310 &amp; 491'!$P$67</definedName>
    <definedName name="OSRRefP22_6x_0" localSheetId="55">'311'!$P$89:$P$90</definedName>
    <definedName name="OSRRefP22_6x_0" localSheetId="67">'313'!$P$56:$P$57</definedName>
    <definedName name="OSRRefP22_6x_0" localSheetId="58">'315'!$P$114</definedName>
    <definedName name="OSRRefP22_6x_0" localSheetId="61">'316'!$P$61:$P$62</definedName>
    <definedName name="OSRRefP22_6x_0" localSheetId="63">'317'!$P$84:$P$85</definedName>
    <definedName name="OSRRefP22_6x_0" localSheetId="68">'321'!$P$55</definedName>
    <definedName name="OSRRefP22_6x_0" localSheetId="69">'322'!$P$51</definedName>
    <definedName name="OSRRefP22_6x_0" localSheetId="70">'325'!$P$54</definedName>
    <definedName name="OSRRefP22_6x_0" localSheetId="59">'326'!$P$85</definedName>
    <definedName name="OSRRefP22_6x_0" localSheetId="52">'330'!$P$84</definedName>
    <definedName name="OSRRefP22_6x_0" localSheetId="57">'331'!$P$116</definedName>
    <definedName name="OSRRefP22_6x_0" localSheetId="60">'332'!$P$63:$P$64</definedName>
    <definedName name="OSRRefP22_6x_0" localSheetId="75">'405'!$P$53</definedName>
    <definedName name="OSRRefP22_6x_0" localSheetId="77">'411'!$P$50</definedName>
    <definedName name="OSRRefP22_6x_0" localSheetId="78">'412'!$P$51</definedName>
    <definedName name="OSRRefP22_6x_0" localSheetId="79">'413'!$P$52</definedName>
    <definedName name="OSRRefP22_6x_0" localSheetId="80">'414'!$P$54</definedName>
    <definedName name="OSRRefP22_6x_0" localSheetId="81">'415'!$P$57</definedName>
    <definedName name="OSRRefP22_6x_0" localSheetId="82">'418'!$P$53</definedName>
    <definedName name="OSRRefP22_6x_0" localSheetId="84">'423'!$P$49</definedName>
    <definedName name="OSRRefP22_6x_0" localSheetId="89">'430'!$P$52</definedName>
    <definedName name="OSRRefP22_6x_0" localSheetId="90">'433'!$P$57</definedName>
    <definedName name="OSRRefP22_6x_0" localSheetId="92">'444'!$P$57</definedName>
    <definedName name="OSRRefP22_6x_0" localSheetId="93">'450'!$P$53</definedName>
    <definedName name="OSRRefP22_6x_0" localSheetId="74">'491'!$P$61</definedName>
    <definedName name="OSRRefP22_6x_0" localSheetId="88">'492'!$P$57</definedName>
    <definedName name="OSRRefP22_6x_0" localSheetId="95">'501'!$P$53</definedName>
    <definedName name="OSRRefP22_6x_0" localSheetId="39">'Div 2'!$P$53:$P$54</definedName>
    <definedName name="OSRRefP22_6x_0" localSheetId="47">'Div 3'!$P$170:$P$171</definedName>
    <definedName name="OSRRefP22_6x_0" localSheetId="72">'Div 4'!$P$64</definedName>
    <definedName name="OSRRefP22_6x_0" localSheetId="94">'Div 5'!$P$53</definedName>
    <definedName name="OSRRefP22_6x_0" localSheetId="62">'Div 6'!$P$84:$P$85</definedName>
    <definedName name="OSRRefP22_6x_0" localSheetId="2">Summary!$P$199:$P$200</definedName>
    <definedName name="OSRRefP22_7x_0" localSheetId="41">'201'!$P$53</definedName>
    <definedName name="OSRRefP22_7x_0" localSheetId="42">'202'!$P$53:$P$55</definedName>
    <definedName name="OSRRefP22_7x_0" localSheetId="43">'203'!$P$52:$P$53</definedName>
    <definedName name="OSRRefP22_7x_0" localSheetId="44">'204'!$P$53:$P$55</definedName>
    <definedName name="OSRRefP22_7x_0" localSheetId="45">'205'!$P$55</definedName>
    <definedName name="OSRRefP22_7x_0" localSheetId="46">'206'!$P$51</definedName>
    <definedName name="OSRRefP22_7x_0" localSheetId="48">'300'!$P$169:$P$170</definedName>
    <definedName name="OSRRefP22_7x_0" localSheetId="49">'300 &amp; 317'!$P$191:$P$192</definedName>
    <definedName name="OSRRefP22_7x_0" localSheetId="50">'301'!$P$55</definedName>
    <definedName name="OSRRefP22_7x_0" localSheetId="51">'306'!$P$52:$P$53</definedName>
    <definedName name="OSRRefP22_7x_0" localSheetId="53">'307'!$P$82</definedName>
    <definedName name="OSRRefP22_7x_0" localSheetId="54">'308'!$P$93:$P$94</definedName>
    <definedName name="OSRRefP22_7x_0" localSheetId="66">'309'!$P$53:$P$54</definedName>
    <definedName name="OSRRefP22_7x_0" localSheetId="65">'310'!$P$63</definedName>
    <definedName name="OSRRefP22_7x_0" localSheetId="73">'310 &amp; 491'!$P$69</definedName>
    <definedName name="OSRRefP22_7x_0" localSheetId="55">'311'!$P$92:$P$93</definedName>
    <definedName name="OSRRefP22_7x_0" localSheetId="67">'313'!$P$59</definedName>
    <definedName name="OSRRefP22_7x_0" localSheetId="58">'315'!$P$116:$P$117</definedName>
    <definedName name="OSRRefP22_7x_0" localSheetId="61">'316'!$P$64:$P$66</definedName>
    <definedName name="OSRRefP22_7x_0" localSheetId="63">'317'!$P$87</definedName>
    <definedName name="OSRRefP22_7x_0" localSheetId="68">'321'!$P$57:$P$58</definedName>
    <definedName name="OSRRefP22_7x_0" localSheetId="69">'322'!$P$53:$P$54</definedName>
    <definedName name="OSRRefP22_7x_0" localSheetId="70">'325'!$P$56</definedName>
    <definedName name="OSRRefP22_7x_0" localSheetId="59">'326'!$P$87</definedName>
    <definedName name="OSRRefP22_7x_0" localSheetId="52">'330'!$P$86</definedName>
    <definedName name="OSRRefP22_7x_0" localSheetId="57">'331'!$P$118</definedName>
    <definedName name="OSRRefP22_7x_0" localSheetId="60">'332'!$P$66:$P$68</definedName>
    <definedName name="OSRRefP22_7x_0" localSheetId="75">'405'!$P$55</definedName>
    <definedName name="OSRRefP22_7x_0" localSheetId="77">'411'!$P$52</definedName>
    <definedName name="OSRRefP22_7x_0" localSheetId="78">'412'!$P$53</definedName>
    <definedName name="OSRRefP22_7x_0" localSheetId="79">'413'!$P$54</definedName>
    <definedName name="OSRRefP22_7x_0" localSheetId="80">'414'!$P$56</definedName>
    <definedName name="OSRRefP22_7x_0" localSheetId="81">'415'!$P$59</definedName>
    <definedName name="OSRRefP22_7x_0" localSheetId="82">'418'!$P$55</definedName>
    <definedName name="OSRRefP22_7x_0" localSheetId="84">'423'!$P$51</definedName>
    <definedName name="OSRRefP22_7x_0" localSheetId="89">'430'!$P$54</definedName>
    <definedName name="OSRRefP22_7x_0" localSheetId="90">'433'!$P$59</definedName>
    <definedName name="OSRRefP22_7x_0" localSheetId="92">'444'!$P$59</definedName>
    <definedName name="OSRRefP22_7x_0" localSheetId="93">'450'!$P$55</definedName>
    <definedName name="OSRRefP22_7x_0" localSheetId="74">'491'!$P$63</definedName>
    <definedName name="OSRRefP22_7x_0" localSheetId="88">'492'!$P$59</definedName>
    <definedName name="OSRRefP22_7x_0" localSheetId="95">'501'!$P$55</definedName>
    <definedName name="OSRRefP22_7x_0" localSheetId="39">'Div 2'!$P$56</definedName>
    <definedName name="OSRRefP22_7x_0" localSheetId="47">'Div 3'!$P$173:$P$174</definedName>
    <definedName name="OSRRefP22_7x_0" localSheetId="72">'Div 4'!$P$66</definedName>
    <definedName name="OSRRefP22_7x_0" localSheetId="94">'Div 5'!$P$55</definedName>
    <definedName name="OSRRefP22_7x_0" localSheetId="62">'Div 6'!$P$87</definedName>
    <definedName name="OSRRefP22_7x_0" localSheetId="2">Summary!$P$202:$P$203</definedName>
    <definedName name="OSRRefP22_8x_0" localSheetId="41">'201'!$P$55</definedName>
    <definedName name="OSRRefP22_8x_0" localSheetId="42">'202'!$P$57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'300'!$P$172</definedName>
    <definedName name="OSRRefP22_8x_0" localSheetId="49">'300 &amp; 317'!$P$194</definedName>
    <definedName name="OSRRefP22_8x_0" localSheetId="50">'301'!$P$57</definedName>
    <definedName name="OSRRefP22_8x_0" localSheetId="51">'306'!$P$55</definedName>
    <definedName name="OSRRefP22_8x_0" localSheetId="53">'307'!$P$84</definedName>
    <definedName name="OSRRefP22_8x_0" localSheetId="54">'308'!$P$96</definedName>
    <definedName name="OSRRefP22_8x_0" localSheetId="66">'309'!$P$56:$P$57</definedName>
    <definedName name="OSRRefP22_8x_0" localSheetId="65">'310'!$P$65</definedName>
    <definedName name="OSRRefP22_8x_0" localSheetId="73">'310 &amp; 491'!$P$71:$P$72</definedName>
    <definedName name="OSRRefP22_8x_0" localSheetId="55">'311'!$P$95</definedName>
    <definedName name="OSRRefP22_8x_0" localSheetId="67">'313'!$P$61:$P$63</definedName>
    <definedName name="OSRRefP22_8x_0" localSheetId="58">'315'!$P$119</definedName>
    <definedName name="OSRRefP22_8x_0" localSheetId="61">'316'!$P$68</definedName>
    <definedName name="OSRRefP22_8x_0" localSheetId="63">'317'!$P$89</definedName>
    <definedName name="OSRRefP22_8x_0" localSheetId="68">'321'!$P$60:$P$61</definedName>
    <definedName name="OSRRefP22_8x_0" localSheetId="69">'322'!$P$56:$P$57</definedName>
    <definedName name="OSRRefP22_8x_0" localSheetId="70">'325'!$P$58</definedName>
    <definedName name="OSRRefP22_8x_0" localSheetId="59">'326'!$P$89:$P$90</definedName>
    <definedName name="OSRRefP22_8x_0" localSheetId="52">'330'!$P$88</definedName>
    <definedName name="OSRRefP22_8x_0" localSheetId="57">'331'!$P$120:$P$121</definedName>
    <definedName name="OSRRefP22_8x_0" localSheetId="60">'332'!$P$70</definedName>
    <definedName name="OSRRefP22_8x_0" localSheetId="75">'405'!$P$57</definedName>
    <definedName name="OSRRefP22_8x_0" localSheetId="77">'411'!$P$54</definedName>
    <definedName name="OSRRefP22_8x_0" localSheetId="78">'412'!$P$55:$P$56</definedName>
    <definedName name="OSRRefP22_8x_0" localSheetId="79">'413'!$P$56:$P$59</definedName>
    <definedName name="OSRRefP22_8x_0" localSheetId="80">'414'!$P$58:$P$59</definedName>
    <definedName name="OSRRefP22_8x_0" localSheetId="81">'415'!$P$61</definedName>
    <definedName name="OSRRefP22_8x_0" localSheetId="82">'418'!$P$57:$P$59</definedName>
    <definedName name="OSRRefP22_8x_0" localSheetId="90">'433'!$P$61</definedName>
    <definedName name="OSRRefP22_8x_0" localSheetId="92">'444'!$P$61</definedName>
    <definedName name="OSRRefP22_8x_0" localSheetId="93">'450'!$P$57</definedName>
    <definedName name="OSRRefP22_8x_0" localSheetId="74">'491'!$P$65</definedName>
    <definedName name="OSRRefP22_8x_0" localSheetId="88">'492'!$P$61</definedName>
    <definedName name="OSRRefP22_8x_0" localSheetId="95">'501'!$P$57</definedName>
    <definedName name="OSRRefP22_8x_0" localSheetId="39">'Div 2'!$P$58</definedName>
    <definedName name="OSRRefP22_8x_0" localSheetId="47">'Div 3'!$P$176</definedName>
    <definedName name="OSRRefP22_8x_0" localSheetId="72">'Div 4'!$P$68</definedName>
    <definedName name="OSRRefP22_8x_0" localSheetId="94">'Div 5'!$P$57</definedName>
    <definedName name="OSRRefP22_8x_0" localSheetId="62">'Div 6'!$P$89</definedName>
    <definedName name="OSRRefP22_8x_0" localSheetId="2">Summary!$P$205</definedName>
    <definedName name="OSRRefP22_9x_0" localSheetId="41">'201'!$P$57</definedName>
    <definedName name="OSRRefP22_9x_0" localSheetId="42">'202'!$P$59:$P$61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'300'!$P$174</definedName>
    <definedName name="OSRRefP22_9x_0" localSheetId="49">'300 &amp; 317'!$P$196</definedName>
    <definedName name="OSRRefP22_9x_0" localSheetId="50">'301'!$P$59</definedName>
    <definedName name="OSRRefP22_9x_0" localSheetId="51">'306'!$P$57</definedName>
    <definedName name="OSRRefP22_9x_0" localSheetId="53">'307'!$P$86:$P$87</definedName>
    <definedName name="OSRRefP22_9x_0" localSheetId="54">'308'!$P$98:$P$100</definedName>
    <definedName name="OSRRefP22_9x_0" localSheetId="66">'309'!$P$59:$P$61</definedName>
    <definedName name="OSRRefP22_9x_0" localSheetId="65">'310'!$P$67</definedName>
    <definedName name="OSRRefP22_9x_0" localSheetId="73">'310 &amp; 491'!$P$74</definedName>
    <definedName name="OSRRefP22_9x_0" localSheetId="55">'311'!$P$97:$P$99</definedName>
    <definedName name="OSRRefP22_9x_0" localSheetId="67">'313'!$P$65:$P$66</definedName>
    <definedName name="OSRRefP22_9x_0" localSheetId="58">'315'!$P$121:$P$122</definedName>
    <definedName name="OSRRefP22_9x_0" localSheetId="61">'316'!$P$70</definedName>
    <definedName name="OSRRefP22_9x_0" localSheetId="63">'317'!$P$91:$P$92</definedName>
    <definedName name="OSRRefP22_9x_0" localSheetId="68">'321'!$P$63:$P$64</definedName>
    <definedName name="OSRRefP22_9x_0" localSheetId="69">'322'!$P$59:$P$62</definedName>
    <definedName name="OSRRefP22_9x_0" localSheetId="70">'325'!$P$60</definedName>
    <definedName name="OSRRefP22_9x_0" localSheetId="59">'326'!$P$92</definedName>
    <definedName name="OSRRefP22_9x_0" localSheetId="52">'330'!$P$90:$P$91</definedName>
    <definedName name="OSRRefP22_9x_0" localSheetId="57">'331'!$P$123:$P$124</definedName>
    <definedName name="OSRRefP22_9x_0" localSheetId="60">'332'!$P$72</definedName>
    <definedName name="OSRRefP22_9x_0" localSheetId="75">'405'!$P$59:$P$60</definedName>
    <definedName name="OSRRefP22_9x_0" localSheetId="77">'411'!$P$56:$P$59</definedName>
    <definedName name="OSRRefP22_9x_0" localSheetId="78">'412'!$P$58</definedName>
    <definedName name="OSRRefP22_9x_0" localSheetId="79">'413'!$P$61:$P$62</definedName>
    <definedName name="OSRRefP22_9x_0" localSheetId="80">'414'!$P$61</definedName>
    <definedName name="OSRRefP22_9x_0" localSheetId="81">'415'!$P$63</definedName>
    <definedName name="OSRRefP22_9x_0" localSheetId="82">'418'!$P$61:$P$62</definedName>
    <definedName name="OSRRefP22_9x_0" localSheetId="90">'433'!$P$63</definedName>
    <definedName name="OSRRefP22_9x_0" localSheetId="92">'444'!$P$63</definedName>
    <definedName name="OSRRefP22_9x_0" localSheetId="93">'450'!$P$59</definedName>
    <definedName name="OSRRefP22_9x_0" localSheetId="74">'491'!$P$67</definedName>
    <definedName name="OSRRefP22_9x_0" localSheetId="88">'492'!$P$63</definedName>
    <definedName name="OSRRefP22_9x_0" localSheetId="95">'501'!$P$59:$P$62</definedName>
    <definedName name="OSRRefP22_9x_0" localSheetId="39">'Div 2'!$P$60:$P$61</definedName>
    <definedName name="OSRRefP22_9x_0" localSheetId="47">'Div 3'!$P$178</definedName>
    <definedName name="OSRRefP22_9x_0" localSheetId="72">'Div 4'!$P$70</definedName>
    <definedName name="OSRRefP22_9x_0" localSheetId="94">'Div 5'!$P$59:$P$62</definedName>
    <definedName name="OSRRefP22_9x_0" localSheetId="62">'Div 6'!$P$91:$P$92</definedName>
    <definedName name="OSRRefP22_9x_0" localSheetId="2">Summary!$P$207</definedName>
    <definedName name="OSRRefP22x_0" localSheetId="40">'200'!$P$20:$P$21,'200'!$P$23,'200'!$P$25,'200'!$P$27,'200'!$P$29:$P$30</definedName>
    <definedName name="OSRRefP22x_0" localSheetId="41">'201'!$P$21:$P$29,'201'!$P$31:$P$40,'201'!$P$42,'201'!$P$44,'201'!$P$46:$P$47,'201'!$P$49,'201'!$P$51,'201'!$P$53,'201'!$P$55,'201'!$P$57,'201'!$P$59:$P$61,'201'!$P$63:$P$64,'201'!$P$66,'201'!$P$68:$P$70,'201'!$P$72,'201'!$P$74,'201'!$P$76</definedName>
    <definedName name="OSRRefP22x_0" localSheetId="42">'202'!$P$21:$P$29,'202'!$P$31:$P$40,'202'!$P$42,'202'!$P$44,'202'!$P$46:$P$47,'202'!$P$49,'202'!$P$51,'202'!$P$53:$P$55,'202'!$P$57,'202'!$P$59:$P$61,'202'!$P$63,'202'!$P$65,'202'!$P$67</definedName>
    <definedName name="OSRRefP22x_0" localSheetId="43">'203'!$P$20:$P$29,'203'!$P$31:$P$40,'203'!$P$42,'203'!$P$44,'203'!$P$46,'203'!$P$48,'203'!$P$50,'203'!$P$52:$P$53,'203'!$P$55:$P$57,'203'!$P$59:$P$60,'203'!$P$62,'203'!$P$64:$P$67,'203'!$P$69,'203'!$P$71,'203'!$P$73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'205'!$P$20:$P$28,'205'!$P$30:$P$39,'205'!$P$41,'205'!$P$43,'205'!$P$45:$P$47,'205'!$P$49,'205'!$P$51:$P$53,'205'!$P$55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$134:$P$143,'300'!$P$145:$P$154,'300'!$P$156,'300'!$P$158:$P$159,'300'!$P$161,'300'!$P$163:$P$164,'300'!$P$166:$P$167,'300'!$P$169:$P$170,'300'!$P$172,'300'!$P$174,'300'!$P$176:$P$177,'300'!$P$179:$P$181,'300'!$P$183,'300'!$P$185:$P$186,'300'!$P$188,'300'!$P$190,'300'!$P$192:$P$195,'300'!$P$197:$P$200,'300'!$P$202:$P$205,'300'!$P$207:$P$208,'300'!$P$210:$P$218,'300'!$P$220:$P$221,'300'!$P$223,'300'!$P$225:$P$227,'300'!$P$229</definedName>
    <definedName name="OSRRefP22x_0" localSheetId="49">'300 &amp; 317'!$P$156:$P$165,'300 &amp; 317'!$P$167:$P$176,'300 &amp; 317'!$P$178,'300 &amp; 317'!$P$180:$P$181,'300 &amp; 317'!$P$183,'300 &amp; 317'!$P$185:$P$186,'300 &amp; 317'!$P$188:$P$189,'300 &amp; 317'!$P$191:$P$192,'300 &amp; 317'!$P$194,'300 &amp; 317'!$P$196,'300 &amp; 317'!$P$198:$P$199,'300 &amp; 317'!$P$201:$P$203,'300 &amp; 317'!$P$205,'300 &amp; 317'!$P$207:$P$208,'300 &amp; 317'!$P$210,'300 &amp; 317'!$P$212,'300 &amp; 317'!$P$214:$P$217,'300 &amp; 317'!$P$219:$P$222,'300 &amp; 317'!$P$224:$P$227,'300 &amp; 317'!$P$229:$P$230,'300 &amp; 317'!$P$232:$P$240,'300 &amp; 317'!$P$242:$P$243,'300 &amp; 317'!$P$245,'300 &amp; 317'!$P$247:$P$249,'300 &amp; 317'!$P$251</definedName>
    <definedName name="OSRRefP22x_0" localSheetId="50">'301'!$P$21:$P$30,'301'!$P$32:$P$41,'301'!$P$43,'301'!$P$45:$P$46,'301'!$P$48,'301'!$P$50:$P$51,'301'!$P$53,'301'!$P$55,'301'!$P$57,'301'!$P$59,'301'!$P$61,'301'!$P$63,'301'!$P$65,'301'!$P$67,'301'!$P$69,'301'!$P$71:$P$74,'301'!$P$76:$P$78,'301'!$P$80:$P$81,'301'!$P$83:$P$89,'301'!$P$91,'301'!$P$93,'301'!$P$95:$P$97,'301'!$P$99</definedName>
    <definedName name="OSRRefP22x_0" localSheetId="51">'306'!$P$20:$P$28,'306'!$P$30:$P$39,'306'!$P$41,'306'!$P$43,'306'!$P$45,'306'!$P$47,'306'!$P$49:$P$50,'306'!$P$52:$P$53,'306'!$P$55,'306'!$P$57,'306'!$P$59</definedName>
    <definedName name="OSRRefP22x_0" localSheetId="53">'307'!$P$51:$P$58,'307'!$P$60:$P$69,'307'!$P$71,'307'!$P$73,'307'!$P$75,'307'!$P$77:$P$78,'307'!$P$80,'307'!$P$82,'307'!$P$84,'307'!$P$86:$P$87,'307'!$P$89:$P$90,'307'!$P$92:$P$95,'307'!$P$97:$P$98,'307'!$P$100</definedName>
    <definedName name="OSRRefP22x_0" localSheetId="54">'308'!$P$59:$P$68,'308'!$P$70:$P$79,'308'!$P$81,'308'!$P$83:$P$84,'308'!$P$86,'308'!$P$88,'308'!$P$90:$P$91,'308'!$P$93:$P$94,'308'!$P$96,'308'!$P$98:$P$100,'308'!$P$102:$P$103,'308'!$P$105:$P$107,'308'!$P$109:$P$110,'308'!$P$112,'308'!$P$114</definedName>
    <definedName name="OSRRefP22x_0" localSheetId="66">'309'!$P$23:$P$30,'309'!$P$32:$P$41,'309'!$P$43,'309'!$P$45,'309'!$P$47,'309'!$P$49,'309'!$P$51,'309'!$P$53:$P$54,'309'!$P$56:$P$57,'309'!$P$59:$P$61,'309'!$P$63</definedName>
    <definedName name="OSRRefP22x_0" localSheetId="65">'310'!$P$31:$P$39,'310'!$P$41:$P$50,'310'!$P$52,'310'!$P$54,'310'!$P$56,'310'!$P$58:$P$59,'310'!$P$61,'310'!$P$63,'310'!$P$65,'310'!$P$67,'310'!$P$69,'310'!$P$71,'310'!$P$73,'310'!$P$75:$P$78,'310'!$P$80:$P$81,'310'!$P$83:$P$86,'310'!$P$88,'310'!$P$90:$P$96,'310'!$P$98:$P$99,'310'!$P$101,'310'!$P$103,'310'!$P$105</definedName>
    <definedName name="OSRRefP22x_0" localSheetId="73">'310 &amp; 491'!$P$36:$P$44,'310 &amp; 491'!$P$46:$P$55,'310 &amp; 491'!$P$57,'310 &amp; 491'!$P$59,'310 &amp; 491'!$P$61,'310 &amp; 491'!$P$63:$P$65,'310 &amp; 491'!$P$67,'310 &amp; 491'!$P$69,'310 &amp; 491'!$P$71:$P$72,'310 &amp; 491'!$P$74,'310 &amp; 491'!$P$76,'310 &amp; 491'!$P$78,'310 &amp; 491'!$P$80,'310 &amp; 491'!$P$82,'310 &amp; 491'!$P$84:$P$87,'310 &amp; 491'!$P$89:$P$90,'310 &amp; 491'!$P$92:$P$96,'310 &amp; 491'!$P$98:$P$99,'310 &amp; 491'!$P$101:$P$111,'310 &amp; 491'!$P$113:$P$114,'310 &amp; 491'!$P$116,'310 &amp; 491'!$P$118:$P$120,'310 &amp; 491'!$P$122</definedName>
    <definedName name="OSRRefP22x_0" localSheetId="55">'311'!$P$58:$P$67,'311'!$P$69:$P$78,'311'!$P$80,'311'!$P$82:$P$83,'311'!$P$85,'311'!$P$87,'311'!$P$89:$P$90,'311'!$P$92:$P$93,'311'!$P$95,'311'!$P$97:$P$99,'311'!$P$101:$P$102,'311'!$P$104:$P$106,'311'!$P$108:$P$109,'311'!$P$111,'311'!$P$113</definedName>
    <definedName name="OSRRefP22x_0" localSheetId="67">'313'!$P$27:$P$35,'313'!$P$37:$P$46,'313'!$P$48,'313'!$P$50,'313'!$P$52,'313'!$P$54,'313'!$P$56:$P$57,'313'!$P$59,'313'!$P$61:$P$63,'313'!$P$65:$P$66,'313'!$P$68,'313'!$P$70</definedName>
    <definedName name="OSRRefP22x_0" localSheetId="58">'315'!$P$84:$P$92,'315'!$P$94:$P$103,'315'!$P$105,'315'!$P$107,'315'!$P$109,'315'!$P$111:$P$112,'315'!$P$114,'315'!$P$116:$P$117,'315'!$P$119,'315'!$P$121:$P$122,'315'!$P$124,'315'!$P$126,'315'!$P$128:$P$130,'315'!$P$132:$P$133,'315'!$P$135:$P$141,'315'!$P$143,'315'!$P$145,'315'!$P$147:$P$148</definedName>
    <definedName name="OSRRefP22x_0" localSheetId="61">'316'!$P$32:$P$40,'316'!$P$42:$P$51,'316'!$P$53,'316'!$P$55,'316'!$P$57,'316'!$P$59,'316'!$P$61:$P$62,'316'!$P$64:$P$66,'316'!$P$68,'316'!$P$70,'316'!$P$72:$P$76,'316'!$P$78,'316'!$P$80</definedName>
    <definedName name="OSRRefP22x_0" localSheetId="63">'317'!$P$54:$P$63,'317'!$P$65:$P$74,'317'!$P$76,'317'!$P$78,'317'!$P$80,'317'!$P$82,'317'!$P$84:$P$85,'317'!$P$87,'317'!$P$89,'317'!$P$91:$P$92,'317'!$P$94,'317'!$P$96:$P$99,'317'!$P$101,'317'!$P$103</definedName>
    <definedName name="OSRRefP22x_0" localSheetId="64">'320'!$P$22:$P$23,'320'!$P$25,'320'!$P$27</definedName>
    <definedName name="OSRRefP22x_0" localSheetId="68">'321'!$P$26:$P$34,'321'!$P$36:$P$45,'321'!$P$47,'321'!$P$49,'321'!$P$51,'321'!$P$53,'321'!$P$55,'321'!$P$57:$P$58,'321'!$P$60:$P$61,'321'!$P$63:$P$64,'321'!$P$66:$P$68,'321'!$P$70:$P$71,'321'!$P$73,'321'!$P$75</definedName>
    <definedName name="OSRRefP22x_0" localSheetId="69">'322'!$P$23:$P$30,'322'!$P$32:$P$41,'322'!$P$43,'322'!$P$45,'322'!$P$47,'322'!$P$49,'322'!$P$51,'322'!$P$53:$P$54,'322'!$P$56:$P$57,'322'!$P$59:$P$62,'322'!$P$64,'322'!$P$66</definedName>
    <definedName name="OSRRefP22x_0" localSheetId="56">'324'!$P$27:$P$34,'324'!$P$36:$P$45</definedName>
    <definedName name="OSRRefP22x_0" localSheetId="70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9">'326'!$P$56:$P$64,'326'!$P$66:$P$75,'326'!$P$77,'326'!$P$79,'326'!$P$81,'326'!$P$83,'326'!$P$85,'326'!$P$87,'326'!$P$89:$P$90,'326'!$P$92,'326'!$P$94,'326'!$P$96,'326'!$P$98,'326'!$P$100:$P$102,'326'!$P$104:$P$106,'326'!$P$108:$P$109,'326'!$P$111:$P$116,'326'!$P$118:$P$119,'326'!$P$121,'326'!$P$123:$P$124,'326'!$P$126</definedName>
    <definedName name="OSRRefP22x_0" localSheetId="71">'327'!$P$25,'327'!$P$27</definedName>
    <definedName name="OSRRefP22x_0" localSheetId="52">'330'!$P$54:$P$62,'330'!$P$64:$P$73,'330'!$P$75,'330'!$P$77,'330'!$P$79,'330'!$P$81:$P$82,'330'!$P$84,'330'!$P$86,'330'!$P$88,'330'!$P$90:$P$91,'330'!$P$93:$P$94,'330'!$P$96:$P$99,'330'!$P$101:$P$102,'330'!$P$104</definedName>
    <definedName name="OSRRefP22x_0" localSheetId="57">'331'!$P$86:$P$94,'331'!$P$96:$P$105,'331'!$P$107,'331'!$P$109,'331'!$P$111,'331'!$P$113:$P$114,'331'!$P$116,'331'!$P$118,'331'!$P$120:$P$121,'331'!$P$123:$P$124,'331'!$P$126,'331'!$P$128:$P$129,'331'!$P$131,'331'!$P$133,'331'!$P$135:$P$137,'331'!$P$139:$P$141,'331'!$P$143:$P$145,'331'!$P$147:$P$148,'331'!$P$150:$P$157,'331'!$P$159:$P$160,'331'!$P$162,'331'!$P$164:$P$165,'331'!$P$167</definedName>
    <definedName name="OSRRefP22x_0" localSheetId="60">'332'!$P$34:$P$42,'332'!$P$44:$P$53,'332'!$P$55,'332'!$P$57,'332'!$P$59,'332'!$P$61,'332'!$P$63:$P$64,'332'!$P$66:$P$68,'332'!$P$70,'332'!$P$72,'332'!$P$74:$P$78,'332'!$P$80,'332'!$P$82</definedName>
    <definedName name="OSRRefP22x_0" localSheetId="75">'405'!$P$24:$P$31,'405'!$P$33:$P$42,'405'!$P$44,'405'!$P$46,'405'!$P$48:$P$49,'405'!$P$51,'405'!$P$53,'405'!$P$55,'405'!$P$57,'405'!$P$59:$P$60,'405'!$P$62,'405'!$P$64:$P$67,'405'!$P$69,'405'!$P$71:$P$79,'405'!$P$81,'405'!$P$83,'405'!$P$85,'405'!$P$87</definedName>
    <definedName name="OSRRefP22x_0" localSheetId="76">'406'!$P$20,'406'!$P$22,'406'!$P$24,'406'!$P$26,'406'!$P$28</definedName>
    <definedName name="OSRRefP22x_0" localSheetId="77">'411'!$P$20:$P$28,'411'!$P$30:$P$39,'411'!$P$41,'411'!$P$43,'411'!$P$45:$P$46,'411'!$P$48,'411'!$P$50,'411'!$P$52,'411'!$P$54,'411'!$P$56:$P$59,'411'!$P$61:$P$64,'411'!$P$66:$P$67,'411'!$P$69:$P$75,'411'!$P$77,'411'!$P$79,'411'!$P$81,'411'!$P$83</definedName>
    <definedName name="OSRRefP22x_0" localSheetId="78">'412'!$P$22:$P$29,'412'!$P$31:$P$40,'412'!$P$42,'412'!$P$44,'412'!$P$46:$P$47,'412'!$P$49,'412'!$P$51,'412'!$P$53,'412'!$P$55:$P$56,'412'!$P$58,'412'!$P$60:$P$63,'412'!$P$65:$P$70,'412'!$P$72:$P$73,'412'!$P$75</definedName>
    <definedName name="OSRRefP22x_0" localSheetId="79">'413'!$P$23:$P$31,'413'!$P$33:$P$42,'413'!$P$44,'413'!$P$46,'413'!$P$48,'413'!$P$50,'413'!$P$52,'413'!$P$54,'413'!$P$56:$P$59,'413'!$P$61:$P$62,'413'!$P$64:$P$71,'413'!$P$73:$P$74,'413'!$P$76</definedName>
    <definedName name="OSRRefP22x_0" localSheetId="80">'414'!$P$25:$P$33,'414'!$P$35:$P$44,'414'!$P$46,'414'!$P$48,'414'!$P$50,'414'!$P$52,'414'!$P$54,'414'!$P$56,'414'!$P$58:$P$59,'414'!$P$61,'414'!$P$63,'414'!$P$65,'414'!$P$67:$P$69,'414'!$P$71,'414'!$P$73,'414'!$P$75</definedName>
    <definedName name="OSRRefP22x_0" localSheetId="81">'415'!$P$27:$P$35,'415'!$P$37:$P$46,'415'!$P$48,'415'!$P$50,'415'!$P$52,'415'!$P$54:$P$55,'415'!$P$57,'415'!$P$59,'415'!$P$61,'415'!$P$63,'415'!$P$65,'415'!$P$67:$P$69,'415'!$P$71:$P$75,'415'!$P$77,'415'!$P$79:$P$86,'415'!$P$88:$P$89,'415'!$P$91,'415'!$P$93:$P$94,'415'!$P$96</definedName>
    <definedName name="OSRRefP22x_0" localSheetId="82">'418'!$P$24:$P$31,'418'!$P$33:$P$42,'418'!$P$44,'418'!$P$46,'418'!$P$48:$P$49,'418'!$P$51,'418'!$P$53,'418'!$P$55,'418'!$P$57:$P$59,'418'!$P$61:$P$62,'418'!$P$64:$P$65,'418'!$P$67:$P$76,'418'!$P$78:$P$79,'418'!$P$81</definedName>
    <definedName name="OSRRefP22x_0" localSheetId="83">'420'!$P$22,'420'!$P$24</definedName>
    <definedName name="OSRRefP22x_0" localSheetId="84">'423'!$P$20:$P$27,'423'!$P$29:$P$38,'423'!$P$40,'423'!$P$42,'423'!$P$44:$P$45,'423'!$P$47,'423'!$P$49,'423'!$P$51</definedName>
    <definedName name="OSRRefP22x_0" localSheetId="85">'424'!$P$20,'424'!$P$22,'424'!$P$24,'424'!$P$26</definedName>
    <definedName name="OSRRefP22x_0" localSheetId="87">'425'!$P$21:$P$25,'425'!$P$27,'425'!$P$29,'425'!$P$31,'425'!$P$33:$P$34,'425'!$P$36</definedName>
    <definedName name="OSRRefP22x_0" localSheetId="89">'430'!$P$20:$P$28,'430'!$P$30:$P$39,'430'!$P$41,'430'!$P$43,'430'!$P$45:$P$47,'430'!$P$49:$P$50,'430'!$P$52,'430'!$P$54</definedName>
    <definedName name="OSRRefP22x_0" localSheetId="90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91">'435'!$P$20</definedName>
    <definedName name="OSRRefP22x_0" localSheetId="92">'444'!$P$27:$P$36,'444'!$P$38:$P$47,'444'!$P$49,'444'!$P$51,'444'!$P$53,'444'!$P$55,'444'!$P$57,'444'!$P$59,'444'!$P$61,'444'!$P$63,'444'!$P$65,'444'!$P$67:$P$70,'444'!$P$72:$P$75,'444'!$P$77,'444'!$P$79:$P$87,'444'!$P$89:$P$90,'444'!$P$92,'444'!$P$94</definedName>
    <definedName name="OSRRefP22x_0" localSheetId="93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4">'491'!$P$30:$P$38,'491'!$P$40:$P$49,'491'!$P$51,'491'!$P$53,'491'!$P$55,'491'!$P$57:$P$59,'491'!$P$61,'491'!$P$63,'491'!$P$65,'491'!$P$67,'491'!$P$69,'491'!$P$71,'491'!$P$73,'491'!$P$75,'491'!$P$77:$P$80,'491'!$P$82:$P$83,'491'!$P$85:$P$89,'491'!$P$91:$P$92,'491'!$P$94:$P$104,'491'!$P$106:$P$107,'491'!$P$109,'491'!$P$111:$P$113,'491'!$P$115</definedName>
    <definedName name="OSRRefP22x_0" localSheetId="88">'492'!$P$27:$P$36,'492'!$P$38:$P$47,'492'!$P$49,'492'!$P$51,'492'!$P$53,'492'!$P$55,'492'!$P$57,'492'!$P$59,'492'!$P$61,'492'!$P$63,'492'!$P$65,'492'!$P$67,'492'!$P$69:$P$72,'492'!$P$74:$P$77,'492'!$P$79,'492'!$P$81:$P$90,'492'!$P$92:$P$93,'492'!$P$95,'492'!$P$97:$P$98</definedName>
    <definedName name="OSRRefP22x_0" localSheetId="95">'501'!$P$22:$P$31,'501'!$P$33:$P$42,'501'!$P$44,'501'!$P$46,'501'!$P$48,'501'!$P$50:$P$51,'501'!$P$53,'501'!$P$55,'501'!$P$57,'501'!$P$59:$P$62,'501'!$P$64,'501'!$P$66:$P$67,'501'!$P$69,'501'!$P$71</definedName>
    <definedName name="OSRRefP22x_0" localSheetId="39">'Div 2'!$P$21:$P$31,'Div 2'!$P$33:$P$42,'Div 2'!$P$44,'Div 2'!$P$46,'Div 2'!$P$48,'Div 2'!$P$50:$P$51,'Div 2'!$P$53:$P$54,'Div 2'!$P$56,'Div 2'!$P$58,'Div 2'!$P$60:$P$61,'Div 2'!$P$63,'Div 2'!$P$65:$P$66,'Div 2'!$P$68:$P$71,'Div 2'!$P$73:$P$76,'Div 2'!$P$78:$P$79,'Div 2'!$P$81:$P$82,'Div 2'!$P$84:$P$89,'Div 2'!$P$91:$P$92,'Div 2'!$P$94,'Div 2'!$P$96:$P$97</definedName>
    <definedName name="OSRRefP22x_0" localSheetId="47">'Div 3'!$P$138:$P$147,'Div 3'!$P$149:$P$158,'Div 3'!$P$160,'Div 3'!$P$162:$P$163,'Div 3'!$P$165,'Div 3'!$P$167:$P$168,'Div 3'!$P$170:$P$171,'Div 3'!$P$173:$P$174,'Div 3'!$P$176,'Div 3'!$P$178,'Div 3'!$P$180:$P$181,'Div 3'!$P$183:$P$185,'Div 3'!$P$187,'Div 3'!$P$189,'Div 3'!$P$191:$P$192,'Div 3'!$P$194,'Div 3'!$P$196,'Div 3'!$P$198:$P$201,'Div 3'!$P$203:$P$206,'Div 3'!$P$208:$P$212,'Div 3'!$P$214:$P$215,'Div 3'!$P$217:$P$225,'Div 3'!$P$227:$P$228,'Div 3'!$P$230,'Div 3'!$P$232:$P$234,'Div 3'!$P$236</definedName>
    <definedName name="OSRRefP22x_0" localSheetId="72">'Div 4'!$P$32:$P$41,'Div 4'!$P$43:$P$52,'Div 4'!$P$54,'Div 4'!$P$56,'Div 4'!$P$58,'Div 4'!$P$60:$P$62,'Div 4'!$P$64,'Div 4'!$P$66,'Div 4'!$P$68,'Div 4'!$P$70,'Div 4'!$P$72,'Div 4'!$P$74,'Div 4'!$P$76,'Div 4'!$P$78,'Div 4'!$P$80,'Div 4'!$P$82:$P$85,'Div 4'!$P$87:$P$88,'Div 4'!$P$90:$P$94,'Div 4'!$P$96:$P$97,'Div 4'!$P$99:$P$109,'Div 4'!$P$111:$P$112,'Div 4'!$P$114,'Div 4'!$P$116:$P$118,'Div 4'!$P$120</definedName>
    <definedName name="OSRRefP22x_0" localSheetId="94">'Div 5'!$P$22:$P$31,'Div 5'!$P$33:$P$42,'Div 5'!$P$44,'Div 5'!$P$46,'Div 5'!$P$48,'Div 5'!$P$50:$P$51,'Div 5'!$P$53,'Div 5'!$P$55,'Div 5'!$P$57,'Div 5'!$P$59:$P$62,'Div 5'!$P$64,'Div 5'!$P$66:$P$67,'Div 5'!$P$69,'Div 5'!$P$71</definedName>
    <definedName name="OSRRefP22x_0" localSheetId="62">'Div 6'!$P$54:$P$63,'Div 6'!$P$65:$P$74,'Div 6'!$P$76,'Div 6'!$P$78,'Div 6'!$P$80,'Div 6'!$P$82,'Div 6'!$P$84:$P$85,'Div 6'!$P$87,'Div 6'!$P$89,'Div 6'!$P$91:$P$92,'Div 6'!$P$94,'Div 6'!$P$96:$P$99,'Div 6'!$P$101,'Div 6'!$P$103</definedName>
    <definedName name="OSRRefP22x_0" localSheetId="2">Summary!$P$166:$P$175,Summary!$P$177:$P$186,Summary!$P$188,Summary!$P$190:$P$191,Summary!$P$193,Summary!$P$195:$P$197,Summary!$P$199:$P$200,Summary!$P$202:$P$203,Summary!$P$205,Summary!$P$207,Summary!$P$209:$P$210,Summary!$P$212:$P$214,Summary!$P$216,Summary!$P$218,Summary!$P$220:$P$221,Summary!$P$223,Summary!$P$225,Summary!$P$227,Summary!$P$229:$P$232,Summary!$P$234:$P$237,Summary!$P$239:$P$243,Summary!$P$245:$P$246,Summary!$P$248:$P$258,Summary!$P$260:$P$261,Summary!$P$263,Summary!$P$265:$P$267,Summary!$P$269</definedName>
    <definedName name="OSRRefP25x_0" localSheetId="42">'202'!$P$70:$P$72</definedName>
    <definedName name="OSRRefP25x_0" localSheetId="48">'300'!$P$232:$P$236</definedName>
    <definedName name="OSRRefP25x_0" localSheetId="49">'300 &amp; 317'!$P$254:$P$259</definedName>
    <definedName name="OSRRefP25x_0" localSheetId="50">'301'!$P$102:$P$103</definedName>
    <definedName name="OSRRefP25x_0" localSheetId="54">'308'!$P$117:$P$119</definedName>
    <definedName name="OSRRefP25x_0" localSheetId="73">'310 &amp; 491'!$P$125:$P$128</definedName>
    <definedName name="OSRRefP25x_0" localSheetId="55">'311'!$P$116:$P$118</definedName>
    <definedName name="OSRRefP25x_0" localSheetId="58">'315'!$P$151:$P$154</definedName>
    <definedName name="OSRRefP25x_0" localSheetId="61">'316'!$P$83</definedName>
    <definedName name="OSRRefP25x_0" localSheetId="63">'317'!$P$106:$P$107</definedName>
    <definedName name="OSRRefP25x_0" localSheetId="64">'320'!$P$30</definedName>
    <definedName name="OSRRefP25x_0" localSheetId="57">'331'!$P$170:$P$173</definedName>
    <definedName name="OSRRefP25x_0" localSheetId="60">'332'!$P$85:$P$86</definedName>
    <definedName name="OSRRefP25x_0" localSheetId="77">'411'!$P$86:$P$87</definedName>
    <definedName name="OSRRefP25x_0" localSheetId="82">'418'!$P$84</definedName>
    <definedName name="OSRRefP25x_0" localSheetId="84">'423'!$P$54:$P$56</definedName>
    <definedName name="OSRRefP25x_0" localSheetId="86">'455'!$P$21:$P$22</definedName>
    <definedName name="OSRRefP25x_0" localSheetId="74">'491'!$P$118:$P$121</definedName>
    <definedName name="OSRRefP25x_0" localSheetId="95">'501'!$P$74</definedName>
    <definedName name="OSRRefP25x_0" localSheetId="39">'Div 2'!$P$100:$P$102</definedName>
    <definedName name="OSRRefP25x_0" localSheetId="47">'Div 3'!$P$239:$P$243</definedName>
    <definedName name="OSRRefP25x_0" localSheetId="72">'Div 4'!$P$123:$P$126</definedName>
    <definedName name="OSRRefP25x_0" localSheetId="94">'Div 5'!$P$74</definedName>
    <definedName name="OSRRefP25x_0" localSheetId="62">'Div 6'!$P$106:$P$107</definedName>
    <definedName name="OSRRefP25x_0" localSheetId="2">Summary!$P$272:$P$279</definedName>
    <definedName name="OSRRefT13x_0" localSheetId="41">'201'!$T$13</definedName>
    <definedName name="OSRRefT13x_0" localSheetId="42">'202'!$T$13</definedName>
    <definedName name="OSRRefT13x_0" localSheetId="48">'300'!$T$13:$T$78</definedName>
    <definedName name="OSRRefT13x_0" localSheetId="49">'300 &amp; 317'!$T$13:$T$93</definedName>
    <definedName name="OSRRefT13x_0" localSheetId="53">'307'!$T$13:$T$23</definedName>
    <definedName name="OSRRefT13x_0" localSheetId="54">'308'!$T$13:$T$35</definedName>
    <definedName name="OSRRefT13x_0" localSheetId="66">'309'!$T$13</definedName>
    <definedName name="OSRRefT13x_0" localSheetId="65">'310'!$T$13:$T$20</definedName>
    <definedName name="OSRRefT13x_0" localSheetId="73">'310 &amp; 491'!$T$13:$T$25</definedName>
    <definedName name="OSRRefT13x_0" localSheetId="55">'311'!$T$13:$T$34</definedName>
    <definedName name="OSRRefT13x_0" localSheetId="67">'313'!$T$13:$T$17</definedName>
    <definedName name="OSRRefT13x_0" localSheetId="58">'315'!$T$13:$T$51</definedName>
    <definedName name="OSRRefT13x_0" localSheetId="61">'316'!$T$13:$T$24</definedName>
    <definedName name="OSRRefT13x_0" localSheetId="63">'317'!$T$13:$T$31</definedName>
    <definedName name="OSRRefT13x_0" localSheetId="68">'321'!$T$13:$T$15</definedName>
    <definedName name="OSRRefT13x_0" localSheetId="69">'322'!$T$13</definedName>
    <definedName name="OSRRefT13x_0" localSheetId="56">'324'!$T$13:$T$16</definedName>
    <definedName name="OSRRefT13x_0" localSheetId="70">'325'!$T$13:$T$14</definedName>
    <definedName name="OSRRefT13x_0" localSheetId="59">'326'!$T$13:$T$33</definedName>
    <definedName name="OSRRefT13x_0" localSheetId="71">'327'!$T$13:$T$14</definedName>
    <definedName name="OSRRefT13x_0" localSheetId="52">'330'!$T$13:$T$26</definedName>
    <definedName name="OSRRefT13x_0" localSheetId="57">'331'!$T$13:$T$51</definedName>
    <definedName name="OSRRefT13x_0" localSheetId="60">'332'!$T$13:$T$24</definedName>
    <definedName name="OSRRefT13x_0" localSheetId="75">'405'!$T$13:$T$14</definedName>
    <definedName name="OSRRefT13x_0" localSheetId="78">'412'!$T$13</definedName>
    <definedName name="OSRRefT13x_0" localSheetId="79">'413'!$T$13:$T$14</definedName>
    <definedName name="OSRRefT13x_0" localSheetId="80">'414'!$T$13:$T$15</definedName>
    <definedName name="OSRRefT13x_0" localSheetId="81">'415'!$T$13:$T$16</definedName>
    <definedName name="OSRRefT13x_0" localSheetId="82">'418'!$T$13:$T$14</definedName>
    <definedName name="OSRRefT13x_0" localSheetId="83">'420'!$T$13:$T$14</definedName>
    <definedName name="OSRRefT13x_0" localSheetId="90">'433'!$T$13:$T$16</definedName>
    <definedName name="OSRRefT13x_0" localSheetId="92">'444'!$T$13:$T$16</definedName>
    <definedName name="OSRRefT13x_0" localSheetId="93">'450'!$T$13:$T$14</definedName>
    <definedName name="OSRRefT13x_0" localSheetId="74">'491'!$T$13:$T$19</definedName>
    <definedName name="OSRRefT13x_0" localSheetId="88">'492'!$T$13:$T$16</definedName>
    <definedName name="OSRRefT13x_0" localSheetId="95">'501'!$T$13:$T$14</definedName>
    <definedName name="OSRRefT13x_0" localSheetId="39">'Div 2'!$T$13</definedName>
    <definedName name="OSRRefT13x_0" localSheetId="47">'Div 3'!$T$13:$T$80</definedName>
    <definedName name="OSRRefT13x_0" localSheetId="72">'Div 4'!$T$13:$T$21</definedName>
    <definedName name="OSRRefT13x_0" localSheetId="94">'Div 5'!$T$13:$T$14</definedName>
    <definedName name="OSRRefT13x_0" localSheetId="62">'Div 6'!$T$13:$T$31</definedName>
    <definedName name="OSRRefT13x_0" localSheetId="2">Summary!$T$13:$T$101</definedName>
    <definedName name="OSRRefT16x_0" localSheetId="48">'300'!$T$81:$T$128</definedName>
    <definedName name="OSRRefT16x_0" localSheetId="49">'300 &amp; 317'!$T$96:$T$150</definedName>
    <definedName name="OSRRefT16x_0" localSheetId="50">'301'!$T$15</definedName>
    <definedName name="OSRRefT16x_0" localSheetId="53">'307'!$T$26:$T$45</definedName>
    <definedName name="OSRRefT16x_0" localSheetId="54">'308'!$T$38:$T$53</definedName>
    <definedName name="OSRRefT16x_0" localSheetId="66">'309'!$T$16:$T$17</definedName>
    <definedName name="OSRRefT16x_0" localSheetId="65">'310'!$T$23:$T$25</definedName>
    <definedName name="OSRRefT16x_0" localSheetId="73">'310 &amp; 491'!$T$28:$T$30</definedName>
    <definedName name="OSRRefT16x_0" localSheetId="55">'311'!$T$37:$T$52</definedName>
    <definedName name="OSRRefT16x_0" localSheetId="67">'313'!$T$20:$T$21</definedName>
    <definedName name="OSRRefT16x_0" localSheetId="58">'315'!$T$54:$T$78</definedName>
    <definedName name="OSRRefT16x_0" localSheetId="63">'317'!$T$34:$T$48</definedName>
    <definedName name="OSRRefT16x_0" localSheetId="64">'320'!$T$15:$T$16</definedName>
    <definedName name="OSRRefT16x_0" localSheetId="68">'321'!$T$18:$T$20</definedName>
    <definedName name="OSRRefT16x_0" localSheetId="69">'322'!$T$16:$T$17</definedName>
    <definedName name="OSRRefT16x_0" localSheetId="56">'324'!$T$19:$T$21</definedName>
    <definedName name="OSRRefT16x_0" localSheetId="70">'325'!$T$17:$T$19</definedName>
    <definedName name="OSRRefT16x_0" localSheetId="59">'326'!$T$36:$T$50</definedName>
    <definedName name="OSRRefT16x_0" localSheetId="71">'327'!$T$17:$T$19</definedName>
    <definedName name="OSRRefT16x_0" localSheetId="52">'330'!$T$29:$T$48</definedName>
    <definedName name="OSRRefT16x_0" localSheetId="57">'331'!$T$54:$T$80</definedName>
    <definedName name="OSRRefT16x_0" localSheetId="60">'332'!$T$27:$T$28</definedName>
    <definedName name="OSRRefT16x_0" localSheetId="75">'405'!$T$17:$T$18</definedName>
    <definedName name="OSRRefT16x_0" localSheetId="78">'412'!$T$16</definedName>
    <definedName name="OSRRefT16x_0" localSheetId="79">'413'!$T$17</definedName>
    <definedName name="OSRRefT16x_0" localSheetId="80">'414'!$T$18:$T$19</definedName>
    <definedName name="OSRRefT16x_0" localSheetId="81">'415'!$T$19:$T$21</definedName>
    <definedName name="OSRRefT16x_0" localSheetId="82">'418'!$T$17:$T$18</definedName>
    <definedName name="OSRRefT16x_0" localSheetId="87">'425'!$T$15</definedName>
    <definedName name="OSRRefT16x_0" localSheetId="90">'433'!$T$19:$T$21</definedName>
    <definedName name="OSRRefT16x_0" localSheetId="92">'444'!$T$19:$T$21</definedName>
    <definedName name="OSRRefT16x_0" localSheetId="93">'450'!$T$17</definedName>
    <definedName name="OSRRefT16x_0" localSheetId="74">'491'!$T$22:$T$24</definedName>
    <definedName name="OSRRefT16x_0" localSheetId="88">'492'!$T$19:$T$21</definedName>
    <definedName name="OSRRefT16x_0" localSheetId="47">'Div 3'!$T$83:$T$132</definedName>
    <definedName name="OSRRefT16x_0" localSheetId="72">'Div 4'!$T$24:$T$26</definedName>
    <definedName name="OSRRefT16x_0" localSheetId="62">'Div 6'!$T$34:$T$48</definedName>
    <definedName name="OSRRefT16x_0" localSheetId="2">Summary!$T$104:$T$160</definedName>
    <definedName name="OSRRefT22_0x_0" localSheetId="40">'200'!$T$20:$T$21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'300'!$T$134:$T$143</definedName>
    <definedName name="OSRRefT22_0x_0" localSheetId="49">'300 &amp; 317'!$T$156:$T$165</definedName>
    <definedName name="OSRRefT22_0x_0" localSheetId="50">'301'!$T$21:$T$30</definedName>
    <definedName name="OSRRefT22_0x_0" localSheetId="51">'306'!$T$20:$T$28</definedName>
    <definedName name="OSRRefT22_0x_0" localSheetId="53">'307'!$T$51:$T$58</definedName>
    <definedName name="OSRRefT22_0x_0" localSheetId="54">'308'!$T$59:$T$68</definedName>
    <definedName name="OSRRefT22_0x_0" localSheetId="66">'309'!$T$23:$T$30</definedName>
    <definedName name="OSRRefT22_0x_0" localSheetId="65">'310'!$T$31:$T$39</definedName>
    <definedName name="OSRRefT22_0x_0" localSheetId="73">'310 &amp; 491'!$T$36:$T$44</definedName>
    <definedName name="OSRRefT22_0x_0" localSheetId="55">'311'!$T$58:$T$67</definedName>
    <definedName name="OSRRefT22_0x_0" localSheetId="67">'313'!$T$27:$T$35</definedName>
    <definedName name="OSRRefT22_0x_0" localSheetId="58">'315'!$T$84:$T$92</definedName>
    <definedName name="OSRRefT22_0x_0" localSheetId="61">'316'!$T$32:$T$40</definedName>
    <definedName name="OSRRefT22_0x_0" localSheetId="63">'317'!$T$54:$T$63</definedName>
    <definedName name="OSRRefT22_0x_0" localSheetId="64">'320'!$T$22:$T$23</definedName>
    <definedName name="OSRRefT22_0x_0" localSheetId="68">'321'!$T$26:$T$34</definedName>
    <definedName name="OSRRefT22_0x_0" localSheetId="69">'322'!$T$23:$T$30</definedName>
    <definedName name="OSRRefT22_0x_0" localSheetId="56">'324'!$T$27:$T$34</definedName>
    <definedName name="OSRRefT22_0x_0" localSheetId="70">'325'!$T$25:$T$32</definedName>
    <definedName name="OSRRefT22_0x_0" localSheetId="59">'326'!$T$56:$T$64</definedName>
    <definedName name="OSRRefT22_0x_0" localSheetId="71">'327'!$T$25</definedName>
    <definedName name="OSRRefT22_0x_0" localSheetId="52">'330'!$T$54:$T$62</definedName>
    <definedName name="OSRRefT22_0x_0" localSheetId="57">'331'!$T$86:$T$94</definedName>
    <definedName name="OSRRefT22_0x_0" localSheetId="60">'332'!$T$34:$T$42</definedName>
    <definedName name="OSRRefT22_0x_0" localSheetId="75">'405'!$T$24:$T$31</definedName>
    <definedName name="OSRRefT22_0x_0" localSheetId="76">'406'!$T$20</definedName>
    <definedName name="OSRRefT22_0x_0" localSheetId="77">'411'!$T$20:$T$28</definedName>
    <definedName name="OSRRefT22_0x_0" localSheetId="78">'412'!$T$22:$T$29</definedName>
    <definedName name="OSRRefT22_0x_0" localSheetId="79">'413'!$T$23:$T$31</definedName>
    <definedName name="OSRRefT22_0x_0" localSheetId="80">'414'!$T$25:$T$33</definedName>
    <definedName name="OSRRefT22_0x_0" localSheetId="81">'415'!$T$27:$T$35</definedName>
    <definedName name="OSRRefT22_0x_0" localSheetId="82">'418'!$T$24:$T$31</definedName>
    <definedName name="OSRRefT22_0x_0" localSheetId="83">'420'!$T$22</definedName>
    <definedName name="OSRRefT22_0x_0" localSheetId="84">'423'!$T$20:$T$27</definedName>
    <definedName name="OSRRefT22_0x_0" localSheetId="85">'424'!$T$20</definedName>
    <definedName name="OSRRefT22_0x_0" localSheetId="87">'425'!$T$21:$T$25</definedName>
    <definedName name="OSRRefT22_0x_0" localSheetId="89">'430'!$T$20:$T$28</definedName>
    <definedName name="OSRRefT22_0x_0" localSheetId="90">'433'!$T$27:$T$36</definedName>
    <definedName name="OSRRefT22_0x_0" localSheetId="91">'435'!$T$20</definedName>
    <definedName name="OSRRefT22_0x_0" localSheetId="92">'444'!$T$27:$T$36</definedName>
    <definedName name="OSRRefT22_0x_0" localSheetId="93">'450'!$T$23:$T$32</definedName>
    <definedName name="OSRRefT22_0x_0" localSheetId="74">'491'!$T$30:$T$38</definedName>
    <definedName name="OSRRefT22_0x_0" localSheetId="88">'492'!$T$27:$T$36</definedName>
    <definedName name="OSRRefT22_0x_0" localSheetId="95">'501'!$T$22:$T$31</definedName>
    <definedName name="OSRRefT22_0x_0" localSheetId="39">'Div 2'!$T$21:$T$31</definedName>
    <definedName name="OSRRefT22_0x_0" localSheetId="47">'Div 3'!$T$138:$T$147</definedName>
    <definedName name="OSRRefT22_0x_0" localSheetId="72">'Div 4'!$T$32:$T$41</definedName>
    <definedName name="OSRRefT22_0x_0" localSheetId="94">'Div 5'!$T$22:$T$31</definedName>
    <definedName name="OSRRefT22_0x_0" localSheetId="62">'Div 6'!$T$54:$T$63</definedName>
    <definedName name="OSRRefT22_0x_0" localSheetId="2">Summary!$T$166:$T$175</definedName>
    <definedName name="OSRRefT22_10x_0" localSheetId="41">'201'!$T$59:$T$61</definedName>
    <definedName name="OSRRefT22_10x_0" localSheetId="42">'202'!$T$63</definedName>
    <definedName name="OSRRefT22_10x_0" localSheetId="43">'203'!$T$62</definedName>
    <definedName name="OSRRefT22_10x_0" localSheetId="44">'204'!$T$62:$T$63</definedName>
    <definedName name="OSRRefT22_10x_0" localSheetId="48">'300'!$T$176:$T$177</definedName>
    <definedName name="OSRRefT22_10x_0" localSheetId="49">'300 &amp; 317'!$T$198:$T$199</definedName>
    <definedName name="OSRRefT22_10x_0" localSheetId="50">'301'!$T$61</definedName>
    <definedName name="OSRRefT22_10x_0" localSheetId="51">'306'!$T$59</definedName>
    <definedName name="OSRRefT22_10x_0" localSheetId="53">'307'!$T$89:$T$90</definedName>
    <definedName name="OSRRefT22_10x_0" localSheetId="54">'308'!$T$102:$T$103</definedName>
    <definedName name="OSRRefT22_10x_0" localSheetId="66">'309'!$T$63</definedName>
    <definedName name="OSRRefT22_10x_0" localSheetId="65">'310'!$T$69</definedName>
    <definedName name="OSRRefT22_10x_0" localSheetId="73">'310 &amp; 491'!$T$76</definedName>
    <definedName name="OSRRefT22_10x_0" localSheetId="55">'311'!$T$101:$T$102</definedName>
    <definedName name="OSRRefT22_10x_0" localSheetId="67">'313'!$T$68</definedName>
    <definedName name="OSRRefT22_10x_0" localSheetId="58">'315'!$T$124</definedName>
    <definedName name="OSRRefT22_10x_0" localSheetId="61">'316'!$T$72:$T$76</definedName>
    <definedName name="OSRRefT22_10x_0" localSheetId="63">'317'!$T$94</definedName>
    <definedName name="OSRRefT22_10x_0" localSheetId="68">'321'!$T$66:$T$68</definedName>
    <definedName name="OSRRefT22_10x_0" localSheetId="69">'322'!$T$64</definedName>
    <definedName name="OSRRefT22_10x_0" localSheetId="70">'325'!$T$62</definedName>
    <definedName name="OSRRefT22_10x_0" localSheetId="59">'326'!$T$94</definedName>
    <definedName name="OSRRefT22_10x_0" localSheetId="52">'330'!$T$93:$T$94</definedName>
    <definedName name="OSRRefT22_10x_0" localSheetId="57">'331'!$T$126</definedName>
    <definedName name="OSRRefT22_10x_0" localSheetId="60">'332'!$T$74:$T$78</definedName>
    <definedName name="OSRRefT22_10x_0" localSheetId="75">'405'!$T$62</definedName>
    <definedName name="OSRRefT22_10x_0" localSheetId="77">'411'!$T$61:$T$64</definedName>
    <definedName name="OSRRefT22_10x_0" localSheetId="78">'412'!$T$60:$T$63</definedName>
    <definedName name="OSRRefT22_10x_0" localSheetId="79">'413'!$T$64:$T$71</definedName>
    <definedName name="OSRRefT22_10x_0" localSheetId="80">'414'!$T$63</definedName>
    <definedName name="OSRRefT22_10x_0" localSheetId="81">'415'!$T$65</definedName>
    <definedName name="OSRRefT22_10x_0" localSheetId="82">'418'!$T$64:$T$65</definedName>
    <definedName name="OSRRefT22_10x_0" localSheetId="90">'433'!$T$65</definedName>
    <definedName name="OSRRefT22_10x_0" localSheetId="92">'444'!$T$65</definedName>
    <definedName name="OSRRefT22_10x_0" localSheetId="93">'450'!$T$61</definedName>
    <definedName name="OSRRefT22_10x_0" localSheetId="74">'491'!$T$69</definedName>
    <definedName name="OSRRefT22_10x_0" localSheetId="88">'492'!$T$65</definedName>
    <definedName name="OSRRefT22_10x_0" localSheetId="95">'501'!$T$64</definedName>
    <definedName name="OSRRefT22_10x_0" localSheetId="39">'Div 2'!$T$63</definedName>
    <definedName name="OSRRefT22_10x_0" localSheetId="47">'Div 3'!$T$180:$T$181</definedName>
    <definedName name="OSRRefT22_10x_0" localSheetId="72">'Div 4'!$T$72</definedName>
    <definedName name="OSRRefT22_10x_0" localSheetId="94">'Div 5'!$T$64</definedName>
    <definedName name="OSRRefT22_10x_0" localSheetId="62">'Div 6'!$T$94</definedName>
    <definedName name="OSRRefT22_10x_0" localSheetId="2">Summary!$T$209:$T$210</definedName>
    <definedName name="OSRRefT22_11x_0" localSheetId="41">'201'!$T$63:$T$64</definedName>
    <definedName name="OSRRefT22_11x_0" localSheetId="42">'202'!$T$65</definedName>
    <definedName name="OSRRefT22_11x_0" localSheetId="43">'203'!$T$64:$T$67</definedName>
    <definedName name="OSRRefT22_11x_0" localSheetId="44">'204'!$T$65</definedName>
    <definedName name="OSRRefT22_11x_0" localSheetId="48">'300'!$T$179:$T$181</definedName>
    <definedName name="OSRRefT22_11x_0" localSheetId="49">'300 &amp; 317'!$T$201:$T$203</definedName>
    <definedName name="OSRRefT22_11x_0" localSheetId="50">'301'!$T$63</definedName>
    <definedName name="OSRRefT22_11x_0" localSheetId="53">'307'!$T$92:$T$95</definedName>
    <definedName name="OSRRefT22_11x_0" localSheetId="54">'308'!$T$105:$T$107</definedName>
    <definedName name="OSRRefT22_11x_0" localSheetId="65">'310'!$T$71</definedName>
    <definedName name="OSRRefT22_11x_0" localSheetId="73">'310 &amp; 491'!$T$78</definedName>
    <definedName name="OSRRefT22_11x_0" localSheetId="55">'311'!$T$104:$T$106</definedName>
    <definedName name="OSRRefT22_11x_0" localSheetId="67">'313'!$T$70</definedName>
    <definedName name="OSRRefT22_11x_0" localSheetId="58">'315'!$T$126</definedName>
    <definedName name="OSRRefT22_11x_0" localSheetId="61">'316'!$T$78</definedName>
    <definedName name="OSRRefT22_11x_0" localSheetId="63">'317'!$T$96:$T$99</definedName>
    <definedName name="OSRRefT22_11x_0" localSheetId="68">'321'!$T$70:$T$71</definedName>
    <definedName name="OSRRefT22_11x_0" localSheetId="69">'322'!$T$66</definedName>
    <definedName name="OSRRefT22_11x_0" localSheetId="70">'325'!$T$64:$T$67</definedName>
    <definedName name="OSRRefT22_11x_0" localSheetId="59">'326'!$T$96</definedName>
    <definedName name="OSRRefT22_11x_0" localSheetId="52">'330'!$T$96:$T$99</definedName>
    <definedName name="OSRRefT22_11x_0" localSheetId="57">'331'!$T$128:$T$129</definedName>
    <definedName name="OSRRefT22_11x_0" localSheetId="60">'332'!$T$80</definedName>
    <definedName name="OSRRefT22_11x_0" localSheetId="75">'405'!$T$64:$T$67</definedName>
    <definedName name="OSRRefT22_11x_0" localSheetId="77">'411'!$T$66:$T$67</definedName>
    <definedName name="OSRRefT22_11x_0" localSheetId="78">'412'!$T$65:$T$70</definedName>
    <definedName name="OSRRefT22_11x_0" localSheetId="79">'413'!$T$73:$T$74</definedName>
    <definedName name="OSRRefT22_11x_0" localSheetId="80">'414'!$T$65</definedName>
    <definedName name="OSRRefT22_11x_0" localSheetId="81">'415'!$T$67:$T$69</definedName>
    <definedName name="OSRRefT22_11x_0" localSheetId="82">'418'!$T$67:$T$76</definedName>
    <definedName name="OSRRefT22_11x_0" localSheetId="90">'433'!$T$67:$T$69</definedName>
    <definedName name="OSRRefT22_11x_0" localSheetId="92">'444'!$T$67:$T$70</definedName>
    <definedName name="OSRRefT22_11x_0" localSheetId="93">'450'!$T$63</definedName>
    <definedName name="OSRRefT22_11x_0" localSheetId="74">'491'!$T$71</definedName>
    <definedName name="OSRRefT22_11x_0" localSheetId="88">'492'!$T$67</definedName>
    <definedName name="OSRRefT22_11x_0" localSheetId="95">'501'!$T$66:$T$67</definedName>
    <definedName name="OSRRefT22_11x_0" localSheetId="39">'Div 2'!$T$65:$T$66</definedName>
    <definedName name="OSRRefT22_11x_0" localSheetId="47">'Div 3'!$T$183:$T$185</definedName>
    <definedName name="OSRRefT22_11x_0" localSheetId="72">'Div 4'!$T$74</definedName>
    <definedName name="OSRRefT22_11x_0" localSheetId="94">'Div 5'!$T$66:$T$67</definedName>
    <definedName name="OSRRefT22_11x_0" localSheetId="62">'Div 6'!$T$96:$T$99</definedName>
    <definedName name="OSRRefT22_11x_0" localSheetId="2">Summary!$T$212:$T$214</definedName>
    <definedName name="OSRRefT22_12x_0" localSheetId="41">'201'!$T$66</definedName>
    <definedName name="OSRRefT22_12x_0" localSheetId="42">'202'!$T$67</definedName>
    <definedName name="OSRRefT22_12x_0" localSheetId="43">'203'!$T$69</definedName>
    <definedName name="OSRRefT22_12x_0" localSheetId="44">'204'!$T$67</definedName>
    <definedName name="OSRRefT22_12x_0" localSheetId="48">'300'!$T$183</definedName>
    <definedName name="OSRRefT22_12x_0" localSheetId="49">'300 &amp; 317'!$T$205</definedName>
    <definedName name="OSRRefT22_12x_0" localSheetId="50">'301'!$T$65</definedName>
    <definedName name="OSRRefT22_12x_0" localSheetId="53">'307'!$T$97:$T$98</definedName>
    <definedName name="OSRRefT22_12x_0" localSheetId="54">'308'!$T$109:$T$110</definedName>
    <definedName name="OSRRefT22_12x_0" localSheetId="65">'310'!$T$73</definedName>
    <definedName name="OSRRefT22_12x_0" localSheetId="73">'310 &amp; 491'!$T$80</definedName>
    <definedName name="OSRRefT22_12x_0" localSheetId="55">'311'!$T$108:$T$109</definedName>
    <definedName name="OSRRefT22_12x_0" localSheetId="58">'315'!$T$128:$T$130</definedName>
    <definedName name="OSRRefT22_12x_0" localSheetId="61">'316'!$T$80</definedName>
    <definedName name="OSRRefT22_12x_0" localSheetId="63">'317'!$T$101</definedName>
    <definedName name="OSRRefT22_12x_0" localSheetId="68">'321'!$T$73</definedName>
    <definedName name="OSRRefT22_12x_0" localSheetId="70">'325'!$T$69:$T$71</definedName>
    <definedName name="OSRRefT22_12x_0" localSheetId="59">'326'!$T$98</definedName>
    <definedName name="OSRRefT22_12x_0" localSheetId="52">'330'!$T$101:$T$102</definedName>
    <definedName name="OSRRefT22_12x_0" localSheetId="57">'331'!$T$131</definedName>
    <definedName name="OSRRefT22_12x_0" localSheetId="60">'332'!$T$82</definedName>
    <definedName name="OSRRefT22_12x_0" localSheetId="75">'405'!$T$69</definedName>
    <definedName name="OSRRefT22_12x_0" localSheetId="77">'411'!$T$69:$T$75</definedName>
    <definedName name="OSRRefT22_12x_0" localSheetId="78">'412'!$T$72:$T$73</definedName>
    <definedName name="OSRRefT22_12x_0" localSheetId="79">'413'!$T$76</definedName>
    <definedName name="OSRRefT22_12x_0" localSheetId="80">'414'!$T$67:$T$69</definedName>
    <definedName name="OSRRefT22_12x_0" localSheetId="81">'415'!$T$71:$T$75</definedName>
    <definedName name="OSRRefT22_12x_0" localSheetId="82">'418'!$T$78:$T$79</definedName>
    <definedName name="OSRRefT22_12x_0" localSheetId="90">'433'!$T$71:$T$74</definedName>
    <definedName name="OSRRefT22_12x_0" localSheetId="92">'444'!$T$72:$T$75</definedName>
    <definedName name="OSRRefT22_12x_0" localSheetId="93">'450'!$T$65</definedName>
    <definedName name="OSRRefT22_12x_0" localSheetId="74">'491'!$T$73</definedName>
    <definedName name="OSRRefT22_12x_0" localSheetId="88">'492'!$T$69:$T$72</definedName>
    <definedName name="OSRRefT22_12x_0" localSheetId="95">'501'!$T$69</definedName>
    <definedName name="OSRRefT22_12x_0" localSheetId="39">'Div 2'!$T$68:$T$71</definedName>
    <definedName name="OSRRefT22_12x_0" localSheetId="47">'Div 3'!$T$187</definedName>
    <definedName name="OSRRefT22_12x_0" localSheetId="72">'Div 4'!$T$76</definedName>
    <definedName name="OSRRefT22_12x_0" localSheetId="94">'Div 5'!$T$69</definedName>
    <definedName name="OSRRefT22_12x_0" localSheetId="62">'Div 6'!$T$101</definedName>
    <definedName name="OSRRefT22_12x_0" localSheetId="2">Summary!$T$216</definedName>
    <definedName name="OSRRefT22_13x_0" localSheetId="41">'201'!$T$68:$T$70</definedName>
    <definedName name="OSRRefT22_13x_0" localSheetId="43">'203'!$T$71</definedName>
    <definedName name="OSRRefT22_13x_0" localSheetId="48">'300'!$T$185:$T$186</definedName>
    <definedName name="OSRRefT22_13x_0" localSheetId="49">'300 &amp; 317'!$T$207:$T$208</definedName>
    <definedName name="OSRRefT22_13x_0" localSheetId="50">'301'!$T$67</definedName>
    <definedName name="OSRRefT22_13x_0" localSheetId="53">'307'!$T$100</definedName>
    <definedName name="OSRRefT22_13x_0" localSheetId="54">'308'!$T$112</definedName>
    <definedName name="OSRRefT22_13x_0" localSheetId="65">'310'!$T$75:$T$78</definedName>
    <definedName name="OSRRefT22_13x_0" localSheetId="73">'310 &amp; 491'!$T$82</definedName>
    <definedName name="OSRRefT22_13x_0" localSheetId="55">'311'!$T$111</definedName>
    <definedName name="OSRRefT22_13x_0" localSheetId="58">'315'!$T$132:$T$133</definedName>
    <definedName name="OSRRefT22_13x_0" localSheetId="63">'317'!$T$103</definedName>
    <definedName name="OSRRefT22_13x_0" localSheetId="68">'321'!$T$75</definedName>
    <definedName name="OSRRefT22_13x_0" localSheetId="70">'325'!$T$73</definedName>
    <definedName name="OSRRefT22_13x_0" localSheetId="59">'326'!$T$100:$T$102</definedName>
    <definedName name="OSRRefT22_13x_0" localSheetId="52">'330'!$T$104</definedName>
    <definedName name="OSRRefT22_13x_0" localSheetId="57">'331'!$T$133</definedName>
    <definedName name="OSRRefT22_13x_0" localSheetId="75">'405'!$T$71:$T$79</definedName>
    <definedName name="OSRRefT22_13x_0" localSheetId="77">'411'!$T$77</definedName>
    <definedName name="OSRRefT22_13x_0" localSheetId="78">'412'!$T$75</definedName>
    <definedName name="OSRRefT22_13x_0" localSheetId="80">'414'!$T$71</definedName>
    <definedName name="OSRRefT22_13x_0" localSheetId="81">'415'!$T$77</definedName>
    <definedName name="OSRRefT22_13x_0" localSheetId="82">'418'!$T$81</definedName>
    <definedName name="OSRRefT22_13x_0" localSheetId="90">'433'!$T$76:$T$83</definedName>
    <definedName name="OSRRefT22_13x_0" localSheetId="92">'444'!$T$77</definedName>
    <definedName name="OSRRefT22_13x_0" localSheetId="93">'450'!$T$67:$T$69</definedName>
    <definedName name="OSRRefT22_13x_0" localSheetId="74">'491'!$T$75</definedName>
    <definedName name="OSRRefT22_13x_0" localSheetId="88">'492'!$T$74:$T$77</definedName>
    <definedName name="OSRRefT22_13x_0" localSheetId="95">'501'!$T$71</definedName>
    <definedName name="OSRRefT22_13x_0" localSheetId="39">'Div 2'!$T$73:$T$76</definedName>
    <definedName name="OSRRefT22_13x_0" localSheetId="47">'Div 3'!$T$189</definedName>
    <definedName name="OSRRefT22_13x_0" localSheetId="72">'Div 4'!$T$78</definedName>
    <definedName name="OSRRefT22_13x_0" localSheetId="94">'Div 5'!$T$71</definedName>
    <definedName name="OSRRefT22_13x_0" localSheetId="62">'Div 6'!$T$103</definedName>
    <definedName name="OSRRefT22_13x_0" localSheetId="2">Summary!$T$218</definedName>
    <definedName name="OSRRefT22_14x_0" localSheetId="41">'201'!$T$72</definedName>
    <definedName name="OSRRefT22_14x_0" localSheetId="43">'203'!$T$73</definedName>
    <definedName name="OSRRefT22_14x_0" localSheetId="48">'300'!$T$188</definedName>
    <definedName name="OSRRefT22_14x_0" localSheetId="49">'300 &amp; 317'!$T$210</definedName>
    <definedName name="OSRRefT22_14x_0" localSheetId="50">'301'!$T$69</definedName>
    <definedName name="OSRRefT22_14x_0" localSheetId="54">'308'!$T$114</definedName>
    <definedName name="OSRRefT22_14x_0" localSheetId="65">'310'!$T$80:$T$81</definedName>
    <definedName name="OSRRefT22_14x_0" localSheetId="73">'310 &amp; 491'!$T$84:$T$87</definedName>
    <definedName name="OSRRefT22_14x_0" localSheetId="55">'311'!$T$113</definedName>
    <definedName name="OSRRefT22_14x_0" localSheetId="58">'315'!$T$135:$T$141</definedName>
    <definedName name="OSRRefT22_14x_0" localSheetId="70">'325'!$T$75:$T$79</definedName>
    <definedName name="OSRRefT22_14x_0" localSheetId="59">'326'!$T$104:$T$106</definedName>
    <definedName name="OSRRefT22_14x_0" localSheetId="57">'331'!$T$135:$T$137</definedName>
    <definedName name="OSRRefT22_14x_0" localSheetId="75">'405'!$T$81</definedName>
    <definedName name="OSRRefT22_14x_0" localSheetId="77">'411'!$T$79</definedName>
    <definedName name="OSRRefT22_14x_0" localSheetId="80">'414'!$T$73</definedName>
    <definedName name="OSRRefT22_14x_0" localSheetId="81">'415'!$T$79:$T$86</definedName>
    <definedName name="OSRRefT22_14x_0" localSheetId="90">'433'!$T$85</definedName>
    <definedName name="OSRRefT22_14x_0" localSheetId="92">'444'!$T$79:$T$87</definedName>
    <definedName name="OSRRefT22_14x_0" localSheetId="93">'450'!$T$71:$T$77</definedName>
    <definedName name="OSRRefT22_14x_0" localSheetId="74">'491'!$T$77:$T$80</definedName>
    <definedName name="OSRRefT22_14x_0" localSheetId="88">'492'!$T$79</definedName>
    <definedName name="OSRRefT22_14x_0" localSheetId="39">'Div 2'!$T$78:$T$79</definedName>
    <definedName name="OSRRefT22_14x_0" localSheetId="47">'Div 3'!$T$191:$T$192</definedName>
    <definedName name="OSRRefT22_14x_0" localSheetId="72">'Div 4'!$T$80</definedName>
    <definedName name="OSRRefT22_14x_0" localSheetId="2">Summary!$T$220:$T$221</definedName>
    <definedName name="OSRRefT22_15x_0" localSheetId="41">'201'!$T$74</definedName>
    <definedName name="OSRRefT22_15x_0" localSheetId="48">'300'!$T$190</definedName>
    <definedName name="OSRRefT22_15x_0" localSheetId="49">'300 &amp; 317'!$T$212</definedName>
    <definedName name="OSRRefT22_15x_0" localSheetId="50">'301'!$T$71:$T$74</definedName>
    <definedName name="OSRRefT22_15x_0" localSheetId="65">'310'!$T$83:$T$86</definedName>
    <definedName name="OSRRefT22_15x_0" localSheetId="73">'310 &amp; 491'!$T$89:$T$90</definedName>
    <definedName name="OSRRefT22_15x_0" localSheetId="58">'315'!$T$143</definedName>
    <definedName name="OSRRefT22_15x_0" localSheetId="70">'325'!$T$81:$T$82</definedName>
    <definedName name="OSRRefT22_15x_0" localSheetId="59">'326'!$T$108:$T$109</definedName>
    <definedName name="OSRRefT22_15x_0" localSheetId="57">'331'!$T$139:$T$141</definedName>
    <definedName name="OSRRefT22_15x_0" localSheetId="75">'405'!$T$83</definedName>
    <definedName name="OSRRefT22_15x_0" localSheetId="77">'411'!$T$81</definedName>
    <definedName name="OSRRefT22_15x_0" localSheetId="80">'414'!$T$75</definedName>
    <definedName name="OSRRefT22_15x_0" localSheetId="81">'415'!$T$88:$T$89</definedName>
    <definedName name="OSRRefT22_15x_0" localSheetId="90">'433'!$T$87</definedName>
    <definedName name="OSRRefT22_15x_0" localSheetId="92">'444'!$T$89:$T$90</definedName>
    <definedName name="OSRRefT22_15x_0" localSheetId="93">'450'!$T$79:$T$80</definedName>
    <definedName name="OSRRefT22_15x_0" localSheetId="74">'491'!$T$82:$T$83</definedName>
    <definedName name="OSRRefT22_15x_0" localSheetId="88">'492'!$T$81:$T$90</definedName>
    <definedName name="OSRRefT22_15x_0" localSheetId="39">'Div 2'!$T$81:$T$82</definedName>
    <definedName name="OSRRefT22_15x_0" localSheetId="47">'Div 3'!$T$194</definedName>
    <definedName name="OSRRefT22_15x_0" localSheetId="72">'Div 4'!$T$82:$T$85</definedName>
    <definedName name="OSRRefT22_15x_0" localSheetId="2">Summary!$T$223</definedName>
    <definedName name="OSRRefT22_16x_0" localSheetId="41">'201'!$T$76</definedName>
    <definedName name="OSRRefT22_16x_0" localSheetId="48">'300'!$T$192:$T$195</definedName>
    <definedName name="OSRRefT22_16x_0" localSheetId="49">'300 &amp; 317'!$T$214:$T$217</definedName>
    <definedName name="OSRRefT22_16x_0" localSheetId="50">'301'!$T$76:$T$78</definedName>
    <definedName name="OSRRefT22_16x_0" localSheetId="65">'310'!$T$88</definedName>
    <definedName name="OSRRefT22_16x_0" localSheetId="73">'310 &amp; 491'!$T$92:$T$96</definedName>
    <definedName name="OSRRefT22_16x_0" localSheetId="58">'315'!$T$145</definedName>
    <definedName name="OSRRefT22_16x_0" localSheetId="70">'325'!$T$84</definedName>
    <definedName name="OSRRefT22_16x_0" localSheetId="59">'326'!$T$111:$T$116</definedName>
    <definedName name="OSRRefT22_16x_0" localSheetId="57">'331'!$T$143:$T$145</definedName>
    <definedName name="OSRRefT22_16x_0" localSheetId="75">'405'!$T$85</definedName>
    <definedName name="OSRRefT22_16x_0" localSheetId="77">'411'!$T$83</definedName>
    <definedName name="OSRRefT22_16x_0" localSheetId="81">'415'!$T$91</definedName>
    <definedName name="OSRRefT22_16x_0" localSheetId="92">'444'!$T$92</definedName>
    <definedName name="OSRRefT22_16x_0" localSheetId="93">'450'!$T$82</definedName>
    <definedName name="OSRRefT22_16x_0" localSheetId="74">'491'!$T$85:$T$89</definedName>
    <definedName name="OSRRefT22_16x_0" localSheetId="88">'492'!$T$92:$T$93</definedName>
    <definedName name="OSRRefT22_16x_0" localSheetId="39">'Div 2'!$T$84:$T$89</definedName>
    <definedName name="OSRRefT22_16x_0" localSheetId="47">'Div 3'!$T$196</definedName>
    <definedName name="OSRRefT22_16x_0" localSheetId="72">'Div 4'!$T$87:$T$88</definedName>
    <definedName name="OSRRefT22_16x_0" localSheetId="2">Summary!$T$225</definedName>
    <definedName name="OSRRefT22_17x_0" localSheetId="48">'300'!$T$197:$T$200</definedName>
    <definedName name="OSRRefT22_17x_0" localSheetId="49">'300 &amp; 317'!$T$219:$T$222</definedName>
    <definedName name="OSRRefT22_17x_0" localSheetId="50">'301'!$T$80:$T$81</definedName>
    <definedName name="OSRRefT22_17x_0" localSheetId="65">'310'!$T$90:$T$96</definedName>
    <definedName name="OSRRefT22_17x_0" localSheetId="73">'310 &amp; 491'!$T$98:$T$99</definedName>
    <definedName name="OSRRefT22_17x_0" localSheetId="58">'315'!$T$147:$T$148</definedName>
    <definedName name="OSRRefT22_17x_0" localSheetId="70">'325'!$T$86</definedName>
    <definedName name="OSRRefT22_17x_0" localSheetId="59">'326'!$T$118:$T$119</definedName>
    <definedName name="OSRRefT22_17x_0" localSheetId="57">'331'!$T$147:$T$148</definedName>
    <definedName name="OSRRefT22_17x_0" localSheetId="75">'405'!$T$87</definedName>
    <definedName name="OSRRefT22_17x_0" localSheetId="81">'415'!$T$93:$T$94</definedName>
    <definedName name="OSRRefT22_17x_0" localSheetId="92">'444'!$T$94</definedName>
    <definedName name="OSRRefT22_17x_0" localSheetId="74">'491'!$T$91:$T$92</definedName>
    <definedName name="OSRRefT22_17x_0" localSheetId="88">'492'!$T$95</definedName>
    <definedName name="OSRRefT22_17x_0" localSheetId="39">'Div 2'!$T$91:$T$92</definedName>
    <definedName name="OSRRefT22_17x_0" localSheetId="47">'Div 3'!$T$198:$T$201</definedName>
    <definedName name="OSRRefT22_17x_0" localSheetId="72">'Div 4'!$T$90:$T$94</definedName>
    <definedName name="OSRRefT22_17x_0" localSheetId="2">Summary!$T$227</definedName>
    <definedName name="OSRRefT22_18x_0" localSheetId="48">'300'!$T$202:$T$205</definedName>
    <definedName name="OSRRefT22_18x_0" localSheetId="49">'300 &amp; 317'!$T$224:$T$227</definedName>
    <definedName name="OSRRefT22_18x_0" localSheetId="50">'301'!$T$83:$T$89</definedName>
    <definedName name="OSRRefT22_18x_0" localSheetId="65">'310'!$T$98:$T$99</definedName>
    <definedName name="OSRRefT22_18x_0" localSheetId="73">'310 &amp; 491'!$T$101:$T$111</definedName>
    <definedName name="OSRRefT22_18x_0" localSheetId="59">'326'!$T$121</definedName>
    <definedName name="OSRRefT22_18x_0" localSheetId="57">'331'!$T$150:$T$157</definedName>
    <definedName name="OSRRefT22_18x_0" localSheetId="81">'415'!$T$96</definedName>
    <definedName name="OSRRefT22_18x_0" localSheetId="74">'491'!$T$94:$T$104</definedName>
    <definedName name="OSRRefT22_18x_0" localSheetId="88">'492'!$T$97:$T$98</definedName>
    <definedName name="OSRRefT22_18x_0" localSheetId="39">'Div 2'!$T$94</definedName>
    <definedName name="OSRRefT22_18x_0" localSheetId="47">'Div 3'!$T$203:$T$206</definedName>
    <definedName name="OSRRefT22_18x_0" localSheetId="72">'Div 4'!$T$96:$T$97</definedName>
    <definedName name="OSRRefT22_18x_0" localSheetId="2">Summary!$T$229:$T$232</definedName>
    <definedName name="OSRRefT22_19x_0" localSheetId="48">'300'!$T$207:$T$208</definedName>
    <definedName name="OSRRefT22_19x_0" localSheetId="49">'300 &amp; 317'!$T$229:$T$230</definedName>
    <definedName name="OSRRefT22_19x_0" localSheetId="50">'301'!$T$91</definedName>
    <definedName name="OSRRefT22_19x_0" localSheetId="65">'310'!$T$101</definedName>
    <definedName name="OSRRefT22_19x_0" localSheetId="73">'310 &amp; 491'!$T$113:$T$114</definedName>
    <definedName name="OSRRefT22_19x_0" localSheetId="59">'326'!$T$123:$T$124</definedName>
    <definedName name="OSRRefT22_19x_0" localSheetId="57">'331'!$T$159:$T$160</definedName>
    <definedName name="OSRRefT22_19x_0" localSheetId="74">'491'!$T$106:$T$107</definedName>
    <definedName name="OSRRefT22_19x_0" localSheetId="39">'Div 2'!$T$96:$T$97</definedName>
    <definedName name="OSRRefT22_19x_0" localSheetId="47">'Div 3'!$T$208:$T$212</definedName>
    <definedName name="OSRRefT22_19x_0" localSheetId="72">'Div 4'!$T$99:$T$109</definedName>
    <definedName name="OSRRefT22_19x_0" localSheetId="2">Summary!$T$234:$T$237</definedName>
    <definedName name="OSRRefT22_1x_0" localSheetId="40">'200'!$T$23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'300'!$T$145:$T$154</definedName>
    <definedName name="OSRRefT22_1x_0" localSheetId="49">'300 &amp; 317'!$T$167:$T$176</definedName>
    <definedName name="OSRRefT22_1x_0" localSheetId="50">'301'!$T$32:$T$41</definedName>
    <definedName name="OSRRefT22_1x_0" localSheetId="51">'306'!$T$30:$T$39</definedName>
    <definedName name="OSRRefT22_1x_0" localSheetId="53">'307'!$T$60:$T$69</definedName>
    <definedName name="OSRRefT22_1x_0" localSheetId="54">'308'!$T$70:$T$79</definedName>
    <definedName name="OSRRefT22_1x_0" localSheetId="66">'309'!$T$32:$T$41</definedName>
    <definedName name="OSRRefT22_1x_0" localSheetId="65">'310'!$T$41:$T$50</definedName>
    <definedName name="OSRRefT22_1x_0" localSheetId="73">'310 &amp; 491'!$T$46:$T$55</definedName>
    <definedName name="OSRRefT22_1x_0" localSheetId="55">'311'!$T$69:$T$78</definedName>
    <definedName name="OSRRefT22_1x_0" localSheetId="67">'313'!$T$37:$T$46</definedName>
    <definedName name="OSRRefT22_1x_0" localSheetId="58">'315'!$T$94:$T$103</definedName>
    <definedName name="OSRRefT22_1x_0" localSheetId="61">'316'!$T$42:$T$51</definedName>
    <definedName name="OSRRefT22_1x_0" localSheetId="63">'317'!$T$65:$T$74</definedName>
    <definedName name="OSRRefT22_1x_0" localSheetId="64">'320'!$T$25</definedName>
    <definedName name="OSRRefT22_1x_0" localSheetId="68">'321'!$T$36:$T$45</definedName>
    <definedName name="OSRRefT22_1x_0" localSheetId="69">'322'!$T$32:$T$41</definedName>
    <definedName name="OSRRefT22_1x_0" localSheetId="56">'324'!$T$36:$T$45</definedName>
    <definedName name="OSRRefT22_1x_0" localSheetId="70">'325'!$T$34:$T$43</definedName>
    <definedName name="OSRRefT22_1x_0" localSheetId="59">'326'!$T$66:$T$75</definedName>
    <definedName name="OSRRefT22_1x_0" localSheetId="71">'327'!$T$27</definedName>
    <definedName name="OSRRefT22_1x_0" localSheetId="52">'330'!$T$64:$T$73</definedName>
    <definedName name="OSRRefT22_1x_0" localSheetId="57">'331'!$T$96:$T$105</definedName>
    <definedName name="OSRRefT22_1x_0" localSheetId="60">'332'!$T$44:$T$53</definedName>
    <definedName name="OSRRefT22_1x_0" localSheetId="75">'405'!$T$33:$T$42</definedName>
    <definedName name="OSRRefT22_1x_0" localSheetId="76">'406'!$T$22</definedName>
    <definedName name="OSRRefT22_1x_0" localSheetId="77">'411'!$T$30:$T$39</definedName>
    <definedName name="OSRRefT22_1x_0" localSheetId="78">'412'!$T$31:$T$40</definedName>
    <definedName name="OSRRefT22_1x_0" localSheetId="79">'413'!$T$33:$T$42</definedName>
    <definedName name="OSRRefT22_1x_0" localSheetId="80">'414'!$T$35:$T$44</definedName>
    <definedName name="OSRRefT22_1x_0" localSheetId="81">'415'!$T$37:$T$46</definedName>
    <definedName name="OSRRefT22_1x_0" localSheetId="82">'418'!$T$33:$T$42</definedName>
    <definedName name="OSRRefT22_1x_0" localSheetId="83">'420'!$T$24</definedName>
    <definedName name="OSRRefT22_1x_0" localSheetId="84">'423'!$T$29:$T$38</definedName>
    <definedName name="OSRRefT22_1x_0" localSheetId="85">'424'!$T$22</definedName>
    <definedName name="OSRRefT22_1x_0" localSheetId="87">'425'!$T$27</definedName>
    <definedName name="OSRRefT22_1x_0" localSheetId="89">'430'!$T$30:$T$39</definedName>
    <definedName name="OSRRefT22_1x_0" localSheetId="90">'433'!$T$38:$T$47</definedName>
    <definedName name="OSRRefT22_1x_0" localSheetId="92">'444'!$T$38:$T$47</definedName>
    <definedName name="OSRRefT22_1x_0" localSheetId="93">'450'!$T$34:$T$43</definedName>
    <definedName name="OSRRefT22_1x_0" localSheetId="74">'491'!$T$40:$T$49</definedName>
    <definedName name="OSRRefT22_1x_0" localSheetId="88">'492'!$T$38:$T$47</definedName>
    <definedName name="OSRRefT22_1x_0" localSheetId="95">'501'!$T$33:$T$42</definedName>
    <definedName name="OSRRefT22_1x_0" localSheetId="39">'Div 2'!$T$33:$T$42</definedName>
    <definedName name="OSRRefT22_1x_0" localSheetId="47">'Div 3'!$T$149:$T$158</definedName>
    <definedName name="OSRRefT22_1x_0" localSheetId="72">'Div 4'!$T$43:$T$52</definedName>
    <definedName name="OSRRefT22_1x_0" localSheetId="94">'Div 5'!$T$33:$T$42</definedName>
    <definedName name="OSRRefT22_1x_0" localSheetId="62">'Div 6'!$T$65:$T$74</definedName>
    <definedName name="OSRRefT22_1x_0" localSheetId="2">Summary!$T$177:$T$186</definedName>
    <definedName name="OSRRefT22_20x_0" localSheetId="48">'300'!$T$210:$T$218</definedName>
    <definedName name="OSRRefT22_20x_0" localSheetId="49">'300 &amp; 317'!$T$232:$T$240</definedName>
    <definedName name="OSRRefT22_20x_0" localSheetId="50">'301'!$T$93</definedName>
    <definedName name="OSRRefT22_20x_0" localSheetId="65">'310'!$T$103</definedName>
    <definedName name="OSRRefT22_20x_0" localSheetId="73">'310 &amp; 491'!$T$116</definedName>
    <definedName name="OSRRefT22_20x_0" localSheetId="59">'326'!$T$126</definedName>
    <definedName name="OSRRefT22_20x_0" localSheetId="57">'331'!$T$162</definedName>
    <definedName name="OSRRefT22_20x_0" localSheetId="74">'491'!$T$109</definedName>
    <definedName name="OSRRefT22_20x_0" localSheetId="47">'Div 3'!$T$214:$T$215</definedName>
    <definedName name="OSRRefT22_20x_0" localSheetId="72">'Div 4'!$T$111:$T$112</definedName>
    <definedName name="OSRRefT22_20x_0" localSheetId="2">Summary!$T$239:$T$243</definedName>
    <definedName name="OSRRefT22_21x_0" localSheetId="48">'300'!$T$220:$T$221</definedName>
    <definedName name="OSRRefT22_21x_0" localSheetId="49">'300 &amp; 317'!$T$242:$T$243</definedName>
    <definedName name="OSRRefT22_21x_0" localSheetId="50">'301'!$T$95:$T$97</definedName>
    <definedName name="OSRRefT22_21x_0" localSheetId="65">'310'!$T$105</definedName>
    <definedName name="OSRRefT22_21x_0" localSheetId="73">'310 &amp; 491'!$T$118:$T$120</definedName>
    <definedName name="OSRRefT22_21x_0" localSheetId="57">'331'!$T$164:$T$165</definedName>
    <definedName name="OSRRefT22_21x_0" localSheetId="74">'491'!$T$111:$T$113</definedName>
    <definedName name="OSRRefT22_21x_0" localSheetId="47">'Div 3'!$T$217:$T$225</definedName>
    <definedName name="OSRRefT22_21x_0" localSheetId="72">'Div 4'!$T$114</definedName>
    <definedName name="OSRRefT22_21x_0" localSheetId="2">Summary!$T$245:$T$246</definedName>
    <definedName name="OSRRefT22_22x_0" localSheetId="48">'300'!$T$223</definedName>
    <definedName name="OSRRefT22_22x_0" localSheetId="49">'300 &amp; 317'!$T$245</definedName>
    <definedName name="OSRRefT22_22x_0" localSheetId="50">'301'!$T$99</definedName>
    <definedName name="OSRRefT22_22x_0" localSheetId="73">'310 &amp; 491'!$T$122</definedName>
    <definedName name="OSRRefT22_22x_0" localSheetId="57">'331'!$T$167</definedName>
    <definedName name="OSRRefT22_22x_0" localSheetId="74">'491'!$T$115</definedName>
    <definedName name="OSRRefT22_22x_0" localSheetId="47">'Div 3'!$T$227:$T$228</definedName>
    <definedName name="OSRRefT22_22x_0" localSheetId="72">'Div 4'!$T$116:$T$118</definedName>
    <definedName name="OSRRefT22_22x_0" localSheetId="2">Summary!$T$248:$T$258</definedName>
    <definedName name="OSRRefT22_23x_0" localSheetId="48">'300'!$T$225:$T$227</definedName>
    <definedName name="OSRRefT22_23x_0" localSheetId="49">'300 &amp; 317'!$T$247:$T$249</definedName>
    <definedName name="OSRRefT22_23x_0" localSheetId="47">'Div 3'!$T$230</definedName>
    <definedName name="OSRRefT22_23x_0" localSheetId="72">'Div 4'!$T$120</definedName>
    <definedName name="OSRRefT22_23x_0" localSheetId="2">Summary!$T$260:$T$261</definedName>
    <definedName name="OSRRefT22_24x_0" localSheetId="48">'300'!$T$229</definedName>
    <definedName name="OSRRefT22_24x_0" localSheetId="49">'300 &amp; 317'!$T$251</definedName>
    <definedName name="OSRRefT22_24x_0" localSheetId="47">'Div 3'!$T$232:$T$234</definedName>
    <definedName name="OSRRefT22_24x_0" localSheetId="2">Summary!$T$263</definedName>
    <definedName name="OSRRefT22_25x_0" localSheetId="47">'Div 3'!$T$236</definedName>
    <definedName name="OSRRefT22_25x_0" localSheetId="2">Summary!$T$265:$T$267</definedName>
    <definedName name="OSRRefT22_26x_0" localSheetId="2">Summary!$T$269</definedName>
    <definedName name="OSRRefT22_2x_0" localSheetId="40">'200'!$T$25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'300'!$T$156</definedName>
    <definedName name="OSRRefT22_2x_0" localSheetId="49">'300 &amp; 317'!$T$178</definedName>
    <definedName name="OSRRefT22_2x_0" localSheetId="50">'301'!$T$43</definedName>
    <definedName name="OSRRefT22_2x_0" localSheetId="51">'306'!$T$41</definedName>
    <definedName name="OSRRefT22_2x_0" localSheetId="53">'307'!$T$71</definedName>
    <definedName name="OSRRefT22_2x_0" localSheetId="54">'308'!$T$81</definedName>
    <definedName name="OSRRefT22_2x_0" localSheetId="66">'309'!$T$43</definedName>
    <definedName name="OSRRefT22_2x_0" localSheetId="65">'310'!$T$52</definedName>
    <definedName name="OSRRefT22_2x_0" localSheetId="73">'310 &amp; 491'!$T$57</definedName>
    <definedName name="OSRRefT22_2x_0" localSheetId="55">'311'!$T$80</definedName>
    <definedName name="OSRRefT22_2x_0" localSheetId="67">'313'!$T$48</definedName>
    <definedName name="OSRRefT22_2x_0" localSheetId="58">'315'!$T$105</definedName>
    <definedName name="OSRRefT22_2x_0" localSheetId="61">'316'!$T$53</definedName>
    <definedName name="OSRRefT22_2x_0" localSheetId="63">'317'!$T$76</definedName>
    <definedName name="OSRRefT22_2x_0" localSheetId="64">'320'!$T$27</definedName>
    <definedName name="OSRRefT22_2x_0" localSheetId="68">'321'!$T$47</definedName>
    <definedName name="OSRRefT22_2x_0" localSheetId="69">'322'!$T$43</definedName>
    <definedName name="OSRRefT22_2x_0" localSheetId="70">'325'!$T$45</definedName>
    <definedName name="OSRRefT22_2x_0" localSheetId="59">'326'!$T$77</definedName>
    <definedName name="OSRRefT22_2x_0" localSheetId="52">'330'!$T$75</definedName>
    <definedName name="OSRRefT22_2x_0" localSheetId="57">'331'!$T$107</definedName>
    <definedName name="OSRRefT22_2x_0" localSheetId="60">'332'!$T$55</definedName>
    <definedName name="OSRRefT22_2x_0" localSheetId="75">'405'!$T$44</definedName>
    <definedName name="OSRRefT22_2x_0" localSheetId="76">'406'!$T$24</definedName>
    <definedName name="OSRRefT22_2x_0" localSheetId="77">'411'!$T$41</definedName>
    <definedName name="OSRRefT22_2x_0" localSheetId="78">'412'!$T$42</definedName>
    <definedName name="OSRRefT22_2x_0" localSheetId="79">'413'!$T$44</definedName>
    <definedName name="OSRRefT22_2x_0" localSheetId="80">'414'!$T$46</definedName>
    <definedName name="OSRRefT22_2x_0" localSheetId="81">'415'!$T$48</definedName>
    <definedName name="OSRRefT22_2x_0" localSheetId="82">'418'!$T$44</definedName>
    <definedName name="OSRRefT22_2x_0" localSheetId="84">'423'!$T$40</definedName>
    <definedName name="OSRRefT22_2x_0" localSheetId="85">'424'!$T$24</definedName>
    <definedName name="OSRRefT22_2x_0" localSheetId="87">'425'!$T$29</definedName>
    <definedName name="OSRRefT22_2x_0" localSheetId="89">'430'!$T$41</definedName>
    <definedName name="OSRRefT22_2x_0" localSheetId="90">'433'!$T$49</definedName>
    <definedName name="OSRRefT22_2x_0" localSheetId="92">'444'!$T$49</definedName>
    <definedName name="OSRRefT22_2x_0" localSheetId="93">'450'!$T$45</definedName>
    <definedName name="OSRRefT22_2x_0" localSheetId="74">'491'!$T$51</definedName>
    <definedName name="OSRRefT22_2x_0" localSheetId="88">'492'!$T$49</definedName>
    <definedName name="OSRRefT22_2x_0" localSheetId="95">'501'!$T$44</definedName>
    <definedName name="OSRRefT22_2x_0" localSheetId="39">'Div 2'!$T$44</definedName>
    <definedName name="OSRRefT22_2x_0" localSheetId="47">'Div 3'!$T$160</definedName>
    <definedName name="OSRRefT22_2x_0" localSheetId="72">'Div 4'!$T$54</definedName>
    <definedName name="OSRRefT22_2x_0" localSheetId="94">'Div 5'!$T$44</definedName>
    <definedName name="OSRRefT22_2x_0" localSheetId="62">'Div 6'!$T$76</definedName>
    <definedName name="OSRRefT22_2x_0" localSheetId="2">Summary!$T$188</definedName>
    <definedName name="OSRRefT22_3x_0" localSheetId="40">'200'!$T$27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'300'!$T$158:$T$159</definedName>
    <definedName name="OSRRefT22_3x_0" localSheetId="49">'300 &amp; 317'!$T$180:$T$181</definedName>
    <definedName name="OSRRefT22_3x_0" localSheetId="50">'301'!$T$45:$T$46</definedName>
    <definedName name="OSRRefT22_3x_0" localSheetId="51">'306'!$T$43</definedName>
    <definedName name="OSRRefT22_3x_0" localSheetId="53">'307'!$T$73</definedName>
    <definedName name="OSRRefT22_3x_0" localSheetId="54">'308'!$T$83:$T$84</definedName>
    <definedName name="OSRRefT22_3x_0" localSheetId="66">'309'!$T$45</definedName>
    <definedName name="OSRRefT22_3x_0" localSheetId="65">'310'!$T$54</definedName>
    <definedName name="OSRRefT22_3x_0" localSheetId="73">'310 &amp; 491'!$T$59</definedName>
    <definedName name="OSRRefT22_3x_0" localSheetId="55">'311'!$T$82:$T$83</definedName>
    <definedName name="OSRRefT22_3x_0" localSheetId="67">'313'!$T$50</definedName>
    <definedName name="OSRRefT22_3x_0" localSheetId="58">'315'!$T$107</definedName>
    <definedName name="OSRRefT22_3x_0" localSheetId="61">'316'!$T$55</definedName>
    <definedName name="OSRRefT22_3x_0" localSheetId="63">'317'!$T$78</definedName>
    <definedName name="OSRRefT22_3x_0" localSheetId="68">'321'!$T$49</definedName>
    <definedName name="OSRRefT22_3x_0" localSheetId="69">'322'!$T$45</definedName>
    <definedName name="OSRRefT22_3x_0" localSheetId="70">'325'!$T$47</definedName>
    <definedName name="OSRRefT22_3x_0" localSheetId="59">'326'!$T$79</definedName>
    <definedName name="OSRRefT22_3x_0" localSheetId="52">'330'!$T$77</definedName>
    <definedName name="OSRRefT22_3x_0" localSheetId="57">'331'!$T$109</definedName>
    <definedName name="OSRRefT22_3x_0" localSheetId="60">'332'!$T$57</definedName>
    <definedName name="OSRRefT22_3x_0" localSheetId="75">'405'!$T$46</definedName>
    <definedName name="OSRRefT22_3x_0" localSheetId="76">'406'!$T$26</definedName>
    <definedName name="OSRRefT22_3x_0" localSheetId="77">'411'!$T$43</definedName>
    <definedName name="OSRRefT22_3x_0" localSheetId="78">'412'!$T$44</definedName>
    <definedName name="OSRRefT22_3x_0" localSheetId="79">'413'!$T$46</definedName>
    <definedName name="OSRRefT22_3x_0" localSheetId="80">'414'!$T$48</definedName>
    <definedName name="OSRRefT22_3x_0" localSheetId="81">'415'!$T$50</definedName>
    <definedName name="OSRRefT22_3x_0" localSheetId="82">'418'!$T$46</definedName>
    <definedName name="OSRRefT22_3x_0" localSheetId="84">'423'!$T$42</definedName>
    <definedName name="OSRRefT22_3x_0" localSheetId="85">'424'!$T$26</definedName>
    <definedName name="OSRRefT22_3x_0" localSheetId="87">'425'!$T$31</definedName>
    <definedName name="OSRRefT22_3x_0" localSheetId="89">'430'!$T$43</definedName>
    <definedName name="OSRRefT22_3x_0" localSheetId="90">'433'!$T$51</definedName>
    <definedName name="OSRRefT22_3x_0" localSheetId="92">'444'!$T$51</definedName>
    <definedName name="OSRRefT22_3x_0" localSheetId="93">'450'!$T$47</definedName>
    <definedName name="OSRRefT22_3x_0" localSheetId="74">'491'!$T$53</definedName>
    <definedName name="OSRRefT22_3x_0" localSheetId="88">'492'!$T$51</definedName>
    <definedName name="OSRRefT22_3x_0" localSheetId="95">'501'!$T$46</definedName>
    <definedName name="OSRRefT22_3x_0" localSheetId="39">'Div 2'!$T$46</definedName>
    <definedName name="OSRRefT22_3x_0" localSheetId="47">'Div 3'!$T$162:$T$163</definedName>
    <definedName name="OSRRefT22_3x_0" localSheetId="72">'Div 4'!$T$56</definedName>
    <definedName name="OSRRefT22_3x_0" localSheetId="94">'Div 5'!$T$46</definedName>
    <definedName name="OSRRefT22_3x_0" localSheetId="62">'Div 6'!$T$78</definedName>
    <definedName name="OSRRefT22_3x_0" localSheetId="2">Summary!$T$190:$T$191</definedName>
    <definedName name="OSRRefT22_4x_0" localSheetId="40">'200'!$T$29:$T$30</definedName>
    <definedName name="OSRRefT22_4x_0" localSheetId="41">'201'!$T$46:$T$47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'205'!$T$45:$T$47</definedName>
    <definedName name="OSRRefT22_4x_0" localSheetId="46">'206'!$T$45</definedName>
    <definedName name="OSRRefT22_4x_0" localSheetId="48">'300'!$T$161</definedName>
    <definedName name="OSRRefT22_4x_0" localSheetId="49">'300 &amp; 317'!$T$183</definedName>
    <definedName name="OSRRefT22_4x_0" localSheetId="50">'301'!$T$48</definedName>
    <definedName name="OSRRefT22_4x_0" localSheetId="51">'306'!$T$45</definedName>
    <definedName name="OSRRefT22_4x_0" localSheetId="53">'307'!$T$75</definedName>
    <definedName name="OSRRefT22_4x_0" localSheetId="54">'308'!$T$86</definedName>
    <definedName name="OSRRefT22_4x_0" localSheetId="66">'309'!$T$47</definedName>
    <definedName name="OSRRefT22_4x_0" localSheetId="65">'310'!$T$56</definedName>
    <definedName name="OSRRefT22_4x_0" localSheetId="73">'310 &amp; 491'!$T$61</definedName>
    <definedName name="OSRRefT22_4x_0" localSheetId="55">'311'!$T$85</definedName>
    <definedName name="OSRRefT22_4x_0" localSheetId="67">'313'!$T$52</definedName>
    <definedName name="OSRRefT22_4x_0" localSheetId="58">'315'!$T$109</definedName>
    <definedName name="OSRRefT22_4x_0" localSheetId="61">'316'!$T$57</definedName>
    <definedName name="OSRRefT22_4x_0" localSheetId="63">'317'!$T$80</definedName>
    <definedName name="OSRRefT22_4x_0" localSheetId="68">'321'!$T$51</definedName>
    <definedName name="OSRRefT22_4x_0" localSheetId="69">'322'!$T$47</definedName>
    <definedName name="OSRRefT22_4x_0" localSheetId="70">'325'!$T$49</definedName>
    <definedName name="OSRRefT22_4x_0" localSheetId="59">'326'!$T$81</definedName>
    <definedName name="OSRRefT22_4x_0" localSheetId="52">'330'!$T$79</definedName>
    <definedName name="OSRRefT22_4x_0" localSheetId="57">'331'!$T$111</definedName>
    <definedName name="OSRRefT22_4x_0" localSheetId="60">'332'!$T$59</definedName>
    <definedName name="OSRRefT22_4x_0" localSheetId="75">'405'!$T$48:$T$49</definedName>
    <definedName name="OSRRefT22_4x_0" localSheetId="76">'406'!$T$28</definedName>
    <definedName name="OSRRefT22_4x_0" localSheetId="77">'411'!$T$45:$T$46</definedName>
    <definedName name="OSRRefT22_4x_0" localSheetId="78">'412'!$T$46:$T$47</definedName>
    <definedName name="OSRRefT22_4x_0" localSheetId="79">'413'!$T$48</definedName>
    <definedName name="OSRRefT22_4x_0" localSheetId="80">'414'!$T$50</definedName>
    <definedName name="OSRRefT22_4x_0" localSheetId="81">'415'!$T$52</definedName>
    <definedName name="OSRRefT22_4x_0" localSheetId="82">'418'!$T$48:$T$49</definedName>
    <definedName name="OSRRefT22_4x_0" localSheetId="84">'423'!$T$44:$T$45</definedName>
    <definedName name="OSRRefT22_4x_0" localSheetId="87">'425'!$T$33:$T$34</definedName>
    <definedName name="OSRRefT22_4x_0" localSheetId="89">'430'!$T$45:$T$47</definedName>
    <definedName name="OSRRefT22_4x_0" localSheetId="90">'433'!$T$53</definedName>
    <definedName name="OSRRefT22_4x_0" localSheetId="92">'444'!$T$53</definedName>
    <definedName name="OSRRefT22_4x_0" localSheetId="93">'450'!$T$49</definedName>
    <definedName name="OSRRefT22_4x_0" localSheetId="74">'491'!$T$55</definedName>
    <definedName name="OSRRefT22_4x_0" localSheetId="88">'492'!$T$53</definedName>
    <definedName name="OSRRefT22_4x_0" localSheetId="95">'501'!$T$48</definedName>
    <definedName name="OSRRefT22_4x_0" localSheetId="39">'Div 2'!$T$48</definedName>
    <definedName name="OSRRefT22_4x_0" localSheetId="47">'Div 3'!$T$165</definedName>
    <definedName name="OSRRefT22_4x_0" localSheetId="72">'Div 4'!$T$58</definedName>
    <definedName name="OSRRefT22_4x_0" localSheetId="94">'Div 5'!$T$48</definedName>
    <definedName name="OSRRefT22_4x_0" localSheetId="62">'Div 6'!$T$80</definedName>
    <definedName name="OSRRefT22_4x_0" localSheetId="2">Summary!$T$193</definedName>
    <definedName name="OSRRefT22_5x_0" localSheetId="41">'201'!$T$49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'205'!$T$49</definedName>
    <definedName name="OSRRefT22_5x_0" localSheetId="46">'206'!$T$47</definedName>
    <definedName name="OSRRefT22_5x_0" localSheetId="48">'300'!$T$163:$T$164</definedName>
    <definedName name="OSRRefT22_5x_0" localSheetId="49">'300 &amp; 317'!$T$185:$T$186</definedName>
    <definedName name="OSRRefT22_5x_0" localSheetId="50">'301'!$T$50:$T$51</definedName>
    <definedName name="OSRRefT22_5x_0" localSheetId="51">'306'!$T$47</definedName>
    <definedName name="OSRRefT22_5x_0" localSheetId="53">'307'!$T$77:$T$78</definedName>
    <definedName name="OSRRefT22_5x_0" localSheetId="54">'308'!$T$88</definedName>
    <definedName name="OSRRefT22_5x_0" localSheetId="66">'309'!$T$49</definedName>
    <definedName name="OSRRefT22_5x_0" localSheetId="65">'310'!$T$58:$T$59</definedName>
    <definedName name="OSRRefT22_5x_0" localSheetId="73">'310 &amp; 491'!$T$63:$T$65</definedName>
    <definedName name="OSRRefT22_5x_0" localSheetId="55">'311'!$T$87</definedName>
    <definedName name="OSRRefT22_5x_0" localSheetId="67">'313'!$T$54</definedName>
    <definedName name="OSRRefT22_5x_0" localSheetId="58">'315'!$T$111:$T$112</definedName>
    <definedName name="OSRRefT22_5x_0" localSheetId="61">'316'!$T$59</definedName>
    <definedName name="OSRRefT22_5x_0" localSheetId="63">'317'!$T$82</definedName>
    <definedName name="OSRRefT22_5x_0" localSheetId="68">'321'!$T$53</definedName>
    <definedName name="OSRRefT22_5x_0" localSheetId="69">'322'!$T$49</definedName>
    <definedName name="OSRRefT22_5x_0" localSheetId="70">'325'!$T$51:$T$52</definedName>
    <definedName name="OSRRefT22_5x_0" localSheetId="59">'326'!$T$83</definedName>
    <definedName name="OSRRefT22_5x_0" localSheetId="52">'330'!$T$81:$T$82</definedName>
    <definedName name="OSRRefT22_5x_0" localSheetId="57">'331'!$T$113:$T$114</definedName>
    <definedName name="OSRRefT22_5x_0" localSheetId="60">'332'!$T$61</definedName>
    <definedName name="OSRRefT22_5x_0" localSheetId="75">'405'!$T$51</definedName>
    <definedName name="OSRRefT22_5x_0" localSheetId="77">'411'!$T$48</definedName>
    <definedName name="OSRRefT22_5x_0" localSheetId="78">'412'!$T$49</definedName>
    <definedName name="OSRRefT22_5x_0" localSheetId="79">'413'!$T$50</definedName>
    <definedName name="OSRRefT22_5x_0" localSheetId="80">'414'!$T$52</definedName>
    <definedName name="OSRRefT22_5x_0" localSheetId="81">'415'!$T$54:$T$55</definedName>
    <definedName name="OSRRefT22_5x_0" localSheetId="82">'418'!$T$51</definedName>
    <definedName name="OSRRefT22_5x_0" localSheetId="84">'423'!$T$47</definedName>
    <definedName name="OSRRefT22_5x_0" localSheetId="87">'425'!$T$36</definedName>
    <definedName name="OSRRefT22_5x_0" localSheetId="89">'430'!$T$49:$T$50</definedName>
    <definedName name="OSRRefT22_5x_0" localSheetId="90">'433'!$T$55</definedName>
    <definedName name="OSRRefT22_5x_0" localSheetId="92">'444'!$T$55</definedName>
    <definedName name="OSRRefT22_5x_0" localSheetId="93">'450'!$T$51</definedName>
    <definedName name="OSRRefT22_5x_0" localSheetId="74">'491'!$T$57:$T$59</definedName>
    <definedName name="OSRRefT22_5x_0" localSheetId="88">'492'!$T$55</definedName>
    <definedName name="OSRRefT22_5x_0" localSheetId="95">'501'!$T$50:$T$51</definedName>
    <definedName name="OSRRefT22_5x_0" localSheetId="39">'Div 2'!$T$50:$T$51</definedName>
    <definedName name="OSRRefT22_5x_0" localSheetId="47">'Div 3'!$T$167:$T$168</definedName>
    <definedName name="OSRRefT22_5x_0" localSheetId="72">'Div 4'!$T$60:$T$62</definedName>
    <definedName name="OSRRefT22_5x_0" localSheetId="94">'Div 5'!$T$50:$T$51</definedName>
    <definedName name="OSRRefT22_5x_0" localSheetId="62">'Div 6'!$T$82</definedName>
    <definedName name="OSRRefT22_5x_0" localSheetId="2">Summary!$T$195:$T$197</definedName>
    <definedName name="OSRRefT22_6x_0" localSheetId="41">'201'!$T$51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'205'!$T$51:$T$53</definedName>
    <definedName name="OSRRefT22_6x_0" localSheetId="46">'206'!$T$49</definedName>
    <definedName name="OSRRefT22_6x_0" localSheetId="48">'300'!$T$166:$T$167</definedName>
    <definedName name="OSRRefT22_6x_0" localSheetId="49">'300 &amp; 317'!$T$188:$T$189</definedName>
    <definedName name="OSRRefT22_6x_0" localSheetId="50">'301'!$T$53</definedName>
    <definedName name="OSRRefT22_6x_0" localSheetId="51">'306'!$T$49:$T$50</definedName>
    <definedName name="OSRRefT22_6x_0" localSheetId="53">'307'!$T$80</definedName>
    <definedName name="OSRRefT22_6x_0" localSheetId="54">'308'!$T$90:$T$91</definedName>
    <definedName name="OSRRefT22_6x_0" localSheetId="66">'309'!$T$51</definedName>
    <definedName name="OSRRefT22_6x_0" localSheetId="65">'310'!$T$61</definedName>
    <definedName name="OSRRefT22_6x_0" localSheetId="73">'310 &amp; 491'!$T$67</definedName>
    <definedName name="OSRRefT22_6x_0" localSheetId="55">'311'!$T$89:$T$90</definedName>
    <definedName name="OSRRefT22_6x_0" localSheetId="67">'313'!$T$56:$T$57</definedName>
    <definedName name="OSRRefT22_6x_0" localSheetId="58">'315'!$T$114</definedName>
    <definedName name="OSRRefT22_6x_0" localSheetId="61">'316'!$T$61:$T$62</definedName>
    <definedName name="OSRRefT22_6x_0" localSheetId="63">'317'!$T$84:$T$85</definedName>
    <definedName name="OSRRefT22_6x_0" localSheetId="68">'321'!$T$55</definedName>
    <definedName name="OSRRefT22_6x_0" localSheetId="69">'322'!$T$51</definedName>
    <definedName name="OSRRefT22_6x_0" localSheetId="70">'325'!$T$54</definedName>
    <definedName name="OSRRefT22_6x_0" localSheetId="59">'326'!$T$85</definedName>
    <definedName name="OSRRefT22_6x_0" localSheetId="52">'330'!$T$84</definedName>
    <definedName name="OSRRefT22_6x_0" localSheetId="57">'331'!$T$116</definedName>
    <definedName name="OSRRefT22_6x_0" localSheetId="60">'332'!$T$63:$T$64</definedName>
    <definedName name="OSRRefT22_6x_0" localSheetId="75">'405'!$T$53</definedName>
    <definedName name="OSRRefT22_6x_0" localSheetId="77">'411'!$T$50</definedName>
    <definedName name="OSRRefT22_6x_0" localSheetId="78">'412'!$T$51</definedName>
    <definedName name="OSRRefT22_6x_0" localSheetId="79">'413'!$T$52</definedName>
    <definedName name="OSRRefT22_6x_0" localSheetId="80">'414'!$T$54</definedName>
    <definedName name="OSRRefT22_6x_0" localSheetId="81">'415'!$T$57</definedName>
    <definedName name="OSRRefT22_6x_0" localSheetId="82">'418'!$T$53</definedName>
    <definedName name="OSRRefT22_6x_0" localSheetId="84">'423'!$T$49</definedName>
    <definedName name="OSRRefT22_6x_0" localSheetId="89">'430'!$T$52</definedName>
    <definedName name="OSRRefT22_6x_0" localSheetId="90">'433'!$T$57</definedName>
    <definedName name="OSRRefT22_6x_0" localSheetId="92">'444'!$T$57</definedName>
    <definedName name="OSRRefT22_6x_0" localSheetId="93">'450'!$T$53</definedName>
    <definedName name="OSRRefT22_6x_0" localSheetId="74">'491'!$T$61</definedName>
    <definedName name="OSRRefT22_6x_0" localSheetId="88">'492'!$T$57</definedName>
    <definedName name="OSRRefT22_6x_0" localSheetId="95">'501'!$T$53</definedName>
    <definedName name="OSRRefT22_6x_0" localSheetId="39">'Div 2'!$T$53:$T$54</definedName>
    <definedName name="OSRRefT22_6x_0" localSheetId="47">'Div 3'!$T$170:$T$171</definedName>
    <definedName name="OSRRefT22_6x_0" localSheetId="72">'Div 4'!$T$64</definedName>
    <definedName name="OSRRefT22_6x_0" localSheetId="94">'Div 5'!$T$53</definedName>
    <definedName name="OSRRefT22_6x_0" localSheetId="62">'Div 6'!$T$84:$T$85</definedName>
    <definedName name="OSRRefT22_6x_0" localSheetId="2">Summary!$T$199:$T$200</definedName>
    <definedName name="OSRRefT22_7x_0" localSheetId="41">'201'!$T$53</definedName>
    <definedName name="OSRRefT22_7x_0" localSheetId="42">'202'!$T$53:$T$55</definedName>
    <definedName name="OSRRefT22_7x_0" localSheetId="43">'203'!$T$52:$T$53</definedName>
    <definedName name="OSRRefT22_7x_0" localSheetId="44">'204'!$T$53:$T$55</definedName>
    <definedName name="OSRRefT22_7x_0" localSheetId="45">'205'!$T$55</definedName>
    <definedName name="OSRRefT22_7x_0" localSheetId="46">'206'!$T$51</definedName>
    <definedName name="OSRRefT22_7x_0" localSheetId="48">'300'!$T$169:$T$170</definedName>
    <definedName name="OSRRefT22_7x_0" localSheetId="49">'300 &amp; 317'!$T$191:$T$192</definedName>
    <definedName name="OSRRefT22_7x_0" localSheetId="50">'301'!$T$55</definedName>
    <definedName name="OSRRefT22_7x_0" localSheetId="51">'306'!$T$52:$T$53</definedName>
    <definedName name="OSRRefT22_7x_0" localSheetId="53">'307'!$T$82</definedName>
    <definedName name="OSRRefT22_7x_0" localSheetId="54">'308'!$T$93:$T$94</definedName>
    <definedName name="OSRRefT22_7x_0" localSheetId="66">'309'!$T$53:$T$54</definedName>
    <definedName name="OSRRefT22_7x_0" localSheetId="65">'310'!$T$63</definedName>
    <definedName name="OSRRefT22_7x_0" localSheetId="73">'310 &amp; 491'!$T$69</definedName>
    <definedName name="OSRRefT22_7x_0" localSheetId="55">'311'!$T$92:$T$93</definedName>
    <definedName name="OSRRefT22_7x_0" localSheetId="67">'313'!$T$59</definedName>
    <definedName name="OSRRefT22_7x_0" localSheetId="58">'315'!$T$116:$T$117</definedName>
    <definedName name="OSRRefT22_7x_0" localSheetId="61">'316'!$T$64:$T$66</definedName>
    <definedName name="OSRRefT22_7x_0" localSheetId="63">'317'!$T$87</definedName>
    <definedName name="OSRRefT22_7x_0" localSheetId="68">'321'!$T$57:$T$58</definedName>
    <definedName name="OSRRefT22_7x_0" localSheetId="69">'322'!$T$53:$T$54</definedName>
    <definedName name="OSRRefT22_7x_0" localSheetId="70">'325'!$T$56</definedName>
    <definedName name="OSRRefT22_7x_0" localSheetId="59">'326'!$T$87</definedName>
    <definedName name="OSRRefT22_7x_0" localSheetId="52">'330'!$T$86</definedName>
    <definedName name="OSRRefT22_7x_0" localSheetId="57">'331'!$T$118</definedName>
    <definedName name="OSRRefT22_7x_0" localSheetId="60">'332'!$T$66:$T$68</definedName>
    <definedName name="OSRRefT22_7x_0" localSheetId="75">'405'!$T$55</definedName>
    <definedName name="OSRRefT22_7x_0" localSheetId="77">'411'!$T$52</definedName>
    <definedName name="OSRRefT22_7x_0" localSheetId="78">'412'!$T$53</definedName>
    <definedName name="OSRRefT22_7x_0" localSheetId="79">'413'!$T$54</definedName>
    <definedName name="OSRRefT22_7x_0" localSheetId="80">'414'!$T$56</definedName>
    <definedName name="OSRRefT22_7x_0" localSheetId="81">'415'!$T$59</definedName>
    <definedName name="OSRRefT22_7x_0" localSheetId="82">'418'!$T$55</definedName>
    <definedName name="OSRRefT22_7x_0" localSheetId="84">'423'!$T$51</definedName>
    <definedName name="OSRRefT22_7x_0" localSheetId="89">'430'!$T$54</definedName>
    <definedName name="OSRRefT22_7x_0" localSheetId="90">'433'!$T$59</definedName>
    <definedName name="OSRRefT22_7x_0" localSheetId="92">'444'!$T$59</definedName>
    <definedName name="OSRRefT22_7x_0" localSheetId="93">'450'!$T$55</definedName>
    <definedName name="OSRRefT22_7x_0" localSheetId="74">'491'!$T$63</definedName>
    <definedName name="OSRRefT22_7x_0" localSheetId="88">'492'!$T$59</definedName>
    <definedName name="OSRRefT22_7x_0" localSheetId="95">'501'!$T$55</definedName>
    <definedName name="OSRRefT22_7x_0" localSheetId="39">'Div 2'!$T$56</definedName>
    <definedName name="OSRRefT22_7x_0" localSheetId="47">'Div 3'!$T$173:$T$174</definedName>
    <definedName name="OSRRefT22_7x_0" localSheetId="72">'Div 4'!$T$66</definedName>
    <definedName name="OSRRefT22_7x_0" localSheetId="94">'Div 5'!$T$55</definedName>
    <definedName name="OSRRefT22_7x_0" localSheetId="62">'Div 6'!$T$87</definedName>
    <definedName name="OSRRefT22_7x_0" localSheetId="2">Summary!$T$202:$T$203</definedName>
    <definedName name="OSRRefT22_8x_0" localSheetId="41">'201'!$T$55</definedName>
    <definedName name="OSRRefT22_8x_0" localSheetId="42">'202'!$T$57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'300'!$T$172</definedName>
    <definedName name="OSRRefT22_8x_0" localSheetId="49">'300 &amp; 317'!$T$194</definedName>
    <definedName name="OSRRefT22_8x_0" localSheetId="50">'301'!$T$57</definedName>
    <definedName name="OSRRefT22_8x_0" localSheetId="51">'306'!$T$55</definedName>
    <definedName name="OSRRefT22_8x_0" localSheetId="53">'307'!$T$84</definedName>
    <definedName name="OSRRefT22_8x_0" localSheetId="54">'308'!$T$96</definedName>
    <definedName name="OSRRefT22_8x_0" localSheetId="66">'309'!$T$56:$T$57</definedName>
    <definedName name="OSRRefT22_8x_0" localSheetId="65">'310'!$T$65</definedName>
    <definedName name="OSRRefT22_8x_0" localSheetId="73">'310 &amp; 491'!$T$71:$T$72</definedName>
    <definedName name="OSRRefT22_8x_0" localSheetId="55">'311'!$T$95</definedName>
    <definedName name="OSRRefT22_8x_0" localSheetId="67">'313'!$T$61:$T$63</definedName>
    <definedName name="OSRRefT22_8x_0" localSheetId="58">'315'!$T$119</definedName>
    <definedName name="OSRRefT22_8x_0" localSheetId="61">'316'!$T$68</definedName>
    <definedName name="OSRRefT22_8x_0" localSheetId="63">'317'!$T$89</definedName>
    <definedName name="OSRRefT22_8x_0" localSheetId="68">'321'!$T$60:$T$61</definedName>
    <definedName name="OSRRefT22_8x_0" localSheetId="69">'322'!$T$56:$T$57</definedName>
    <definedName name="OSRRefT22_8x_0" localSheetId="70">'325'!$T$58</definedName>
    <definedName name="OSRRefT22_8x_0" localSheetId="59">'326'!$T$89:$T$90</definedName>
    <definedName name="OSRRefT22_8x_0" localSheetId="52">'330'!$T$88</definedName>
    <definedName name="OSRRefT22_8x_0" localSheetId="57">'331'!$T$120:$T$121</definedName>
    <definedName name="OSRRefT22_8x_0" localSheetId="60">'332'!$T$70</definedName>
    <definedName name="OSRRefT22_8x_0" localSheetId="75">'405'!$T$57</definedName>
    <definedName name="OSRRefT22_8x_0" localSheetId="77">'411'!$T$54</definedName>
    <definedName name="OSRRefT22_8x_0" localSheetId="78">'412'!$T$55:$T$56</definedName>
    <definedName name="OSRRefT22_8x_0" localSheetId="79">'413'!$T$56:$T$59</definedName>
    <definedName name="OSRRefT22_8x_0" localSheetId="80">'414'!$T$58:$T$59</definedName>
    <definedName name="OSRRefT22_8x_0" localSheetId="81">'415'!$T$61</definedName>
    <definedName name="OSRRefT22_8x_0" localSheetId="82">'418'!$T$57:$T$59</definedName>
    <definedName name="OSRRefT22_8x_0" localSheetId="90">'433'!$T$61</definedName>
    <definedName name="OSRRefT22_8x_0" localSheetId="92">'444'!$T$61</definedName>
    <definedName name="OSRRefT22_8x_0" localSheetId="93">'450'!$T$57</definedName>
    <definedName name="OSRRefT22_8x_0" localSheetId="74">'491'!$T$65</definedName>
    <definedName name="OSRRefT22_8x_0" localSheetId="88">'492'!$T$61</definedName>
    <definedName name="OSRRefT22_8x_0" localSheetId="95">'501'!$T$57</definedName>
    <definedName name="OSRRefT22_8x_0" localSheetId="39">'Div 2'!$T$58</definedName>
    <definedName name="OSRRefT22_8x_0" localSheetId="47">'Div 3'!$T$176</definedName>
    <definedName name="OSRRefT22_8x_0" localSheetId="72">'Div 4'!$T$68</definedName>
    <definedName name="OSRRefT22_8x_0" localSheetId="94">'Div 5'!$T$57</definedName>
    <definedName name="OSRRefT22_8x_0" localSheetId="62">'Div 6'!$T$89</definedName>
    <definedName name="OSRRefT22_8x_0" localSheetId="2">Summary!$T$205</definedName>
    <definedName name="OSRRefT22_9x_0" localSheetId="41">'201'!$T$57</definedName>
    <definedName name="OSRRefT22_9x_0" localSheetId="42">'202'!$T$59:$T$61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'300'!$T$174</definedName>
    <definedName name="OSRRefT22_9x_0" localSheetId="49">'300 &amp; 317'!$T$196</definedName>
    <definedName name="OSRRefT22_9x_0" localSheetId="50">'301'!$T$59</definedName>
    <definedName name="OSRRefT22_9x_0" localSheetId="51">'306'!$T$57</definedName>
    <definedName name="OSRRefT22_9x_0" localSheetId="53">'307'!$T$86:$T$87</definedName>
    <definedName name="OSRRefT22_9x_0" localSheetId="54">'308'!$T$98:$T$100</definedName>
    <definedName name="OSRRefT22_9x_0" localSheetId="66">'309'!$T$59:$T$61</definedName>
    <definedName name="OSRRefT22_9x_0" localSheetId="65">'310'!$T$67</definedName>
    <definedName name="OSRRefT22_9x_0" localSheetId="73">'310 &amp; 491'!$T$74</definedName>
    <definedName name="OSRRefT22_9x_0" localSheetId="55">'311'!$T$97:$T$99</definedName>
    <definedName name="OSRRefT22_9x_0" localSheetId="67">'313'!$T$65:$T$66</definedName>
    <definedName name="OSRRefT22_9x_0" localSheetId="58">'315'!$T$121:$T$122</definedName>
    <definedName name="OSRRefT22_9x_0" localSheetId="61">'316'!$T$70</definedName>
    <definedName name="OSRRefT22_9x_0" localSheetId="63">'317'!$T$91:$T$92</definedName>
    <definedName name="OSRRefT22_9x_0" localSheetId="68">'321'!$T$63:$T$64</definedName>
    <definedName name="OSRRefT22_9x_0" localSheetId="69">'322'!$T$59:$T$62</definedName>
    <definedName name="OSRRefT22_9x_0" localSheetId="70">'325'!$T$60</definedName>
    <definedName name="OSRRefT22_9x_0" localSheetId="59">'326'!$T$92</definedName>
    <definedName name="OSRRefT22_9x_0" localSheetId="52">'330'!$T$90:$T$91</definedName>
    <definedName name="OSRRefT22_9x_0" localSheetId="57">'331'!$T$123:$T$124</definedName>
    <definedName name="OSRRefT22_9x_0" localSheetId="60">'332'!$T$72</definedName>
    <definedName name="OSRRefT22_9x_0" localSheetId="75">'405'!$T$59:$T$60</definedName>
    <definedName name="OSRRefT22_9x_0" localSheetId="77">'411'!$T$56:$T$59</definedName>
    <definedName name="OSRRefT22_9x_0" localSheetId="78">'412'!$T$58</definedName>
    <definedName name="OSRRefT22_9x_0" localSheetId="79">'413'!$T$61:$T$62</definedName>
    <definedName name="OSRRefT22_9x_0" localSheetId="80">'414'!$T$61</definedName>
    <definedName name="OSRRefT22_9x_0" localSheetId="81">'415'!$T$63</definedName>
    <definedName name="OSRRefT22_9x_0" localSheetId="82">'418'!$T$61:$T$62</definedName>
    <definedName name="OSRRefT22_9x_0" localSheetId="90">'433'!$T$63</definedName>
    <definedName name="OSRRefT22_9x_0" localSheetId="92">'444'!$T$63</definedName>
    <definedName name="OSRRefT22_9x_0" localSheetId="93">'450'!$T$59</definedName>
    <definedName name="OSRRefT22_9x_0" localSheetId="74">'491'!$T$67</definedName>
    <definedName name="OSRRefT22_9x_0" localSheetId="88">'492'!$T$63</definedName>
    <definedName name="OSRRefT22_9x_0" localSheetId="95">'501'!$T$59:$T$62</definedName>
    <definedName name="OSRRefT22_9x_0" localSheetId="39">'Div 2'!$T$60:$T$61</definedName>
    <definedName name="OSRRefT22_9x_0" localSheetId="47">'Div 3'!$T$178</definedName>
    <definedName name="OSRRefT22_9x_0" localSheetId="72">'Div 4'!$T$70</definedName>
    <definedName name="OSRRefT22_9x_0" localSheetId="94">'Div 5'!$T$59:$T$62</definedName>
    <definedName name="OSRRefT22_9x_0" localSheetId="62">'Div 6'!$T$91:$T$92</definedName>
    <definedName name="OSRRefT22_9x_0" localSheetId="2">Summary!$T$207</definedName>
    <definedName name="OSRRefT22x_0" localSheetId="40">'200'!$T$20:$T$21,'200'!$T$23,'200'!$T$25,'200'!$T$27,'200'!$T$29:$T$30</definedName>
    <definedName name="OSRRefT22x_0" localSheetId="41">'201'!$T$21:$T$29,'201'!$T$31:$T$40,'201'!$T$42,'201'!$T$44,'201'!$T$46:$T$47,'201'!$T$49,'201'!$T$51,'201'!$T$53,'201'!$T$55,'201'!$T$57,'201'!$T$59:$T$61,'201'!$T$63:$T$64,'201'!$T$66,'201'!$T$68:$T$70,'201'!$T$72,'201'!$T$74,'201'!$T$76</definedName>
    <definedName name="OSRRefT22x_0" localSheetId="42">'202'!$T$21:$T$29,'202'!$T$31:$T$40,'202'!$T$42,'202'!$T$44,'202'!$T$46:$T$47,'202'!$T$49,'202'!$T$51,'202'!$T$53:$T$55,'202'!$T$57,'202'!$T$59:$T$61,'202'!$T$63,'202'!$T$65,'202'!$T$67</definedName>
    <definedName name="OSRRefT22x_0" localSheetId="43">'203'!$T$20:$T$29,'203'!$T$31:$T$40,'203'!$T$42,'203'!$T$44,'203'!$T$46,'203'!$T$48,'203'!$T$50,'203'!$T$52:$T$53,'203'!$T$55:$T$57,'203'!$T$59:$T$60,'203'!$T$62,'203'!$T$64:$T$67,'203'!$T$69,'203'!$T$71,'203'!$T$73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'205'!$T$20:$T$28,'205'!$T$30:$T$39,'205'!$T$41,'205'!$T$43,'205'!$T$45:$T$47,'205'!$T$49,'205'!$T$51:$T$53,'205'!$T$55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$134:$T$143,'300'!$T$145:$T$154,'300'!$T$156,'300'!$T$158:$T$159,'300'!$T$161,'300'!$T$163:$T$164,'300'!$T$166:$T$167,'300'!$T$169:$T$170,'300'!$T$172,'300'!$T$174,'300'!$T$176:$T$177,'300'!$T$179:$T$181,'300'!$T$183,'300'!$T$185:$T$186,'300'!$T$188,'300'!$T$190,'300'!$T$192:$T$195,'300'!$T$197:$T$200,'300'!$T$202:$T$205,'300'!$T$207:$T$208,'300'!$T$210:$T$218,'300'!$T$220:$T$221,'300'!$T$223,'300'!$T$225:$T$227,'300'!$T$229</definedName>
    <definedName name="OSRRefT22x_0" localSheetId="49">'300 &amp; 317'!$T$156:$T$165,'300 &amp; 317'!$T$167:$T$176,'300 &amp; 317'!$T$178,'300 &amp; 317'!$T$180:$T$181,'300 &amp; 317'!$T$183,'300 &amp; 317'!$T$185:$T$186,'300 &amp; 317'!$T$188:$T$189,'300 &amp; 317'!$T$191:$T$192,'300 &amp; 317'!$T$194,'300 &amp; 317'!$T$196,'300 &amp; 317'!$T$198:$T$199,'300 &amp; 317'!$T$201:$T$203,'300 &amp; 317'!$T$205,'300 &amp; 317'!$T$207:$T$208,'300 &amp; 317'!$T$210,'300 &amp; 317'!$T$212,'300 &amp; 317'!$T$214:$T$217,'300 &amp; 317'!$T$219:$T$222,'300 &amp; 317'!$T$224:$T$227,'300 &amp; 317'!$T$229:$T$230,'300 &amp; 317'!$T$232:$T$240,'300 &amp; 317'!$T$242:$T$243,'300 &amp; 317'!$T$245,'300 &amp; 317'!$T$247:$T$249,'300 &amp; 317'!$T$251</definedName>
    <definedName name="OSRRefT22x_0" localSheetId="50">'301'!$T$21:$T$30,'301'!$T$32:$T$41,'301'!$T$43,'301'!$T$45:$T$46,'301'!$T$48,'301'!$T$50:$T$51,'301'!$T$53,'301'!$T$55,'301'!$T$57,'301'!$T$59,'301'!$T$61,'301'!$T$63,'301'!$T$65,'301'!$T$67,'301'!$T$69,'301'!$T$71:$T$74,'301'!$T$76:$T$78,'301'!$T$80:$T$81,'301'!$T$83:$T$89,'301'!$T$91,'301'!$T$93,'301'!$T$95:$T$97,'301'!$T$99</definedName>
    <definedName name="OSRRefT22x_0" localSheetId="51">'306'!$T$20:$T$28,'306'!$T$30:$T$39,'306'!$T$41,'306'!$T$43,'306'!$T$45,'306'!$T$47,'306'!$T$49:$T$50,'306'!$T$52:$T$53,'306'!$T$55,'306'!$T$57,'306'!$T$59</definedName>
    <definedName name="OSRRefT22x_0" localSheetId="53">'307'!$T$51:$T$58,'307'!$T$60:$T$69,'307'!$T$71,'307'!$T$73,'307'!$T$75,'307'!$T$77:$T$78,'307'!$T$80,'307'!$T$82,'307'!$T$84,'307'!$T$86:$T$87,'307'!$T$89:$T$90,'307'!$T$92:$T$95,'307'!$T$97:$T$98,'307'!$T$100</definedName>
    <definedName name="OSRRefT22x_0" localSheetId="54">'308'!$T$59:$T$68,'308'!$T$70:$T$79,'308'!$T$81,'308'!$T$83:$T$84,'308'!$T$86,'308'!$T$88,'308'!$T$90:$T$91,'308'!$T$93:$T$94,'308'!$T$96,'308'!$T$98:$T$100,'308'!$T$102:$T$103,'308'!$T$105:$T$107,'308'!$T$109:$T$110,'308'!$T$112,'308'!$T$114</definedName>
    <definedName name="OSRRefT22x_0" localSheetId="66">'309'!$T$23:$T$30,'309'!$T$32:$T$41,'309'!$T$43,'309'!$T$45,'309'!$T$47,'309'!$T$49,'309'!$T$51,'309'!$T$53:$T$54,'309'!$T$56:$T$57,'309'!$T$59:$T$61,'309'!$T$63</definedName>
    <definedName name="OSRRefT22x_0" localSheetId="65">'310'!$T$31:$T$39,'310'!$T$41:$T$50,'310'!$T$52,'310'!$T$54,'310'!$T$56,'310'!$T$58:$T$59,'310'!$T$61,'310'!$T$63,'310'!$T$65,'310'!$T$67,'310'!$T$69,'310'!$T$71,'310'!$T$73,'310'!$T$75:$T$78,'310'!$T$80:$T$81,'310'!$T$83:$T$86,'310'!$T$88,'310'!$T$90:$T$96,'310'!$T$98:$T$99,'310'!$T$101,'310'!$T$103,'310'!$T$105</definedName>
    <definedName name="OSRRefT22x_0" localSheetId="73">'310 &amp; 491'!$T$36:$T$44,'310 &amp; 491'!$T$46:$T$55,'310 &amp; 491'!$T$57,'310 &amp; 491'!$T$59,'310 &amp; 491'!$T$61,'310 &amp; 491'!$T$63:$T$65,'310 &amp; 491'!$T$67,'310 &amp; 491'!$T$69,'310 &amp; 491'!$T$71:$T$72,'310 &amp; 491'!$T$74,'310 &amp; 491'!$T$76,'310 &amp; 491'!$T$78,'310 &amp; 491'!$T$80,'310 &amp; 491'!$T$82,'310 &amp; 491'!$T$84:$T$87,'310 &amp; 491'!$T$89:$T$90,'310 &amp; 491'!$T$92:$T$96,'310 &amp; 491'!$T$98:$T$99,'310 &amp; 491'!$T$101:$T$111,'310 &amp; 491'!$T$113:$T$114,'310 &amp; 491'!$T$116,'310 &amp; 491'!$T$118:$T$120,'310 &amp; 491'!$T$122</definedName>
    <definedName name="OSRRefT22x_0" localSheetId="55">'311'!$T$58:$T$67,'311'!$T$69:$T$78,'311'!$T$80,'311'!$T$82:$T$83,'311'!$T$85,'311'!$T$87,'311'!$T$89:$T$90,'311'!$T$92:$T$93,'311'!$T$95,'311'!$T$97:$T$99,'311'!$T$101:$T$102,'311'!$T$104:$T$106,'311'!$T$108:$T$109,'311'!$T$111,'311'!$T$113</definedName>
    <definedName name="OSRRefT22x_0" localSheetId="67">'313'!$T$27:$T$35,'313'!$T$37:$T$46,'313'!$T$48,'313'!$T$50,'313'!$T$52,'313'!$T$54,'313'!$T$56:$T$57,'313'!$T$59,'313'!$T$61:$T$63,'313'!$T$65:$T$66,'313'!$T$68,'313'!$T$70</definedName>
    <definedName name="OSRRefT22x_0" localSheetId="58">'315'!$T$84:$T$92,'315'!$T$94:$T$103,'315'!$T$105,'315'!$T$107,'315'!$T$109,'315'!$T$111:$T$112,'315'!$T$114,'315'!$T$116:$T$117,'315'!$T$119,'315'!$T$121:$T$122,'315'!$T$124,'315'!$T$126,'315'!$T$128:$T$130,'315'!$T$132:$T$133,'315'!$T$135:$T$141,'315'!$T$143,'315'!$T$145,'315'!$T$147:$T$148</definedName>
    <definedName name="OSRRefT22x_0" localSheetId="61">'316'!$T$32:$T$40,'316'!$T$42:$T$51,'316'!$T$53,'316'!$T$55,'316'!$T$57,'316'!$T$59,'316'!$T$61:$T$62,'316'!$T$64:$T$66,'316'!$T$68,'316'!$T$70,'316'!$T$72:$T$76,'316'!$T$78,'316'!$T$80</definedName>
    <definedName name="OSRRefT22x_0" localSheetId="63">'317'!$T$54:$T$63,'317'!$T$65:$T$74,'317'!$T$76,'317'!$T$78,'317'!$T$80,'317'!$T$82,'317'!$T$84:$T$85,'317'!$T$87,'317'!$T$89,'317'!$T$91:$T$92,'317'!$T$94,'317'!$T$96:$T$99,'317'!$T$101,'317'!$T$103</definedName>
    <definedName name="OSRRefT22x_0" localSheetId="64">'320'!$T$22:$T$23,'320'!$T$25,'320'!$T$27</definedName>
    <definedName name="OSRRefT22x_0" localSheetId="68">'321'!$T$26:$T$34,'321'!$T$36:$T$45,'321'!$T$47,'321'!$T$49,'321'!$T$51,'321'!$T$53,'321'!$T$55,'321'!$T$57:$T$58,'321'!$T$60:$T$61,'321'!$T$63:$T$64,'321'!$T$66:$T$68,'321'!$T$70:$T$71,'321'!$T$73,'321'!$T$75</definedName>
    <definedName name="OSRRefT22x_0" localSheetId="69">'322'!$T$23:$T$30,'322'!$T$32:$T$41,'322'!$T$43,'322'!$T$45,'322'!$T$47,'322'!$T$49,'322'!$T$51,'322'!$T$53:$T$54,'322'!$T$56:$T$57,'322'!$T$59:$T$62,'322'!$T$64,'322'!$T$66</definedName>
    <definedName name="OSRRefT22x_0" localSheetId="56">'324'!$T$27:$T$34,'324'!$T$36:$T$45</definedName>
    <definedName name="OSRRefT22x_0" localSheetId="70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9">'326'!$T$56:$T$64,'326'!$T$66:$T$75,'326'!$T$77,'326'!$T$79,'326'!$T$81,'326'!$T$83,'326'!$T$85,'326'!$T$87,'326'!$T$89:$T$90,'326'!$T$92,'326'!$T$94,'326'!$T$96,'326'!$T$98,'326'!$T$100:$T$102,'326'!$T$104:$T$106,'326'!$T$108:$T$109,'326'!$T$111:$T$116,'326'!$T$118:$T$119,'326'!$T$121,'326'!$T$123:$T$124,'326'!$T$126</definedName>
    <definedName name="OSRRefT22x_0" localSheetId="71">'327'!$T$25,'327'!$T$27</definedName>
    <definedName name="OSRRefT22x_0" localSheetId="52">'330'!$T$54:$T$62,'330'!$T$64:$T$73,'330'!$T$75,'330'!$T$77,'330'!$T$79,'330'!$T$81:$T$82,'330'!$T$84,'330'!$T$86,'330'!$T$88,'330'!$T$90:$T$91,'330'!$T$93:$T$94,'330'!$T$96:$T$99,'330'!$T$101:$T$102,'330'!$T$104</definedName>
    <definedName name="OSRRefT22x_0" localSheetId="57">'331'!$T$86:$T$94,'331'!$T$96:$T$105,'331'!$T$107,'331'!$T$109,'331'!$T$111,'331'!$T$113:$T$114,'331'!$T$116,'331'!$T$118,'331'!$T$120:$T$121,'331'!$T$123:$T$124,'331'!$T$126,'331'!$T$128:$T$129,'331'!$T$131,'331'!$T$133,'331'!$T$135:$T$137,'331'!$T$139:$T$141,'331'!$T$143:$T$145,'331'!$T$147:$T$148,'331'!$T$150:$T$157,'331'!$T$159:$T$160,'331'!$T$162,'331'!$T$164:$T$165,'331'!$T$167</definedName>
    <definedName name="OSRRefT22x_0" localSheetId="60">'332'!$T$34:$T$42,'332'!$T$44:$T$53,'332'!$T$55,'332'!$T$57,'332'!$T$59,'332'!$T$61,'332'!$T$63:$T$64,'332'!$T$66:$T$68,'332'!$T$70,'332'!$T$72,'332'!$T$74:$T$78,'332'!$T$80,'332'!$T$82</definedName>
    <definedName name="OSRRefT22x_0" localSheetId="75">'405'!$T$24:$T$31,'405'!$T$33:$T$42,'405'!$T$44,'405'!$T$46,'405'!$T$48:$T$49,'405'!$T$51,'405'!$T$53,'405'!$T$55,'405'!$T$57,'405'!$T$59:$T$60,'405'!$T$62,'405'!$T$64:$T$67,'405'!$T$69,'405'!$T$71:$T$79,'405'!$T$81,'405'!$T$83,'405'!$T$85,'405'!$T$87</definedName>
    <definedName name="OSRRefT22x_0" localSheetId="76">'406'!$T$20,'406'!$T$22,'406'!$T$24,'406'!$T$26,'406'!$T$28</definedName>
    <definedName name="OSRRefT22x_0" localSheetId="77">'411'!$T$20:$T$28,'411'!$T$30:$T$39,'411'!$T$41,'411'!$T$43,'411'!$T$45:$T$46,'411'!$T$48,'411'!$T$50,'411'!$T$52,'411'!$T$54,'411'!$T$56:$T$59,'411'!$T$61:$T$64,'411'!$T$66:$T$67,'411'!$T$69:$T$75,'411'!$T$77,'411'!$T$79,'411'!$T$81,'411'!$T$83</definedName>
    <definedName name="OSRRefT22x_0" localSheetId="78">'412'!$T$22:$T$29,'412'!$T$31:$T$40,'412'!$T$42,'412'!$T$44,'412'!$T$46:$T$47,'412'!$T$49,'412'!$T$51,'412'!$T$53,'412'!$T$55:$T$56,'412'!$T$58,'412'!$T$60:$T$63,'412'!$T$65:$T$70,'412'!$T$72:$T$73,'412'!$T$75</definedName>
    <definedName name="OSRRefT22x_0" localSheetId="79">'413'!$T$23:$T$31,'413'!$T$33:$T$42,'413'!$T$44,'413'!$T$46,'413'!$T$48,'413'!$T$50,'413'!$T$52,'413'!$T$54,'413'!$T$56:$T$59,'413'!$T$61:$T$62,'413'!$T$64:$T$71,'413'!$T$73:$T$74,'413'!$T$76</definedName>
    <definedName name="OSRRefT22x_0" localSheetId="80">'414'!$T$25:$T$33,'414'!$T$35:$T$44,'414'!$T$46,'414'!$T$48,'414'!$T$50,'414'!$T$52,'414'!$T$54,'414'!$T$56,'414'!$T$58:$T$59,'414'!$T$61,'414'!$T$63,'414'!$T$65,'414'!$T$67:$T$69,'414'!$T$71,'414'!$T$73,'414'!$T$75</definedName>
    <definedName name="OSRRefT22x_0" localSheetId="81">'415'!$T$27:$T$35,'415'!$T$37:$T$46,'415'!$T$48,'415'!$T$50,'415'!$T$52,'415'!$T$54:$T$55,'415'!$T$57,'415'!$T$59,'415'!$T$61,'415'!$T$63,'415'!$T$65,'415'!$T$67:$T$69,'415'!$T$71:$T$75,'415'!$T$77,'415'!$T$79:$T$86,'415'!$T$88:$T$89,'415'!$T$91,'415'!$T$93:$T$94,'415'!$T$96</definedName>
    <definedName name="OSRRefT22x_0" localSheetId="82">'418'!$T$24:$T$31,'418'!$T$33:$T$42,'418'!$T$44,'418'!$T$46,'418'!$T$48:$T$49,'418'!$T$51,'418'!$T$53,'418'!$T$55,'418'!$T$57:$T$59,'418'!$T$61:$T$62,'418'!$T$64:$T$65,'418'!$T$67:$T$76,'418'!$T$78:$T$79,'418'!$T$81</definedName>
    <definedName name="OSRRefT22x_0" localSheetId="83">'420'!$T$22,'420'!$T$24</definedName>
    <definedName name="OSRRefT22x_0" localSheetId="84">'423'!$T$20:$T$27,'423'!$T$29:$T$38,'423'!$T$40,'423'!$T$42,'423'!$T$44:$T$45,'423'!$T$47,'423'!$T$49,'423'!$T$51</definedName>
    <definedName name="OSRRefT22x_0" localSheetId="85">'424'!$T$20,'424'!$T$22,'424'!$T$24,'424'!$T$26</definedName>
    <definedName name="OSRRefT22x_0" localSheetId="87">'425'!$T$21:$T$25,'425'!$T$27,'425'!$T$29,'425'!$T$31,'425'!$T$33:$T$34,'425'!$T$36</definedName>
    <definedName name="OSRRefT22x_0" localSheetId="89">'430'!$T$20:$T$28,'430'!$T$30:$T$39,'430'!$T$41,'430'!$T$43,'430'!$T$45:$T$47,'430'!$T$49:$T$50,'430'!$T$52,'430'!$T$54</definedName>
    <definedName name="OSRRefT22x_0" localSheetId="90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91">'435'!$T$20</definedName>
    <definedName name="OSRRefT22x_0" localSheetId="92">'444'!$T$27:$T$36,'444'!$T$38:$T$47,'444'!$T$49,'444'!$T$51,'444'!$T$53,'444'!$T$55,'444'!$T$57,'444'!$T$59,'444'!$T$61,'444'!$T$63,'444'!$T$65,'444'!$T$67:$T$70,'444'!$T$72:$T$75,'444'!$T$77,'444'!$T$79:$T$87,'444'!$T$89:$T$90,'444'!$T$92,'444'!$T$94</definedName>
    <definedName name="OSRRefT22x_0" localSheetId="93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4">'491'!$T$30:$T$38,'491'!$T$40:$T$49,'491'!$T$51,'491'!$T$53,'491'!$T$55,'491'!$T$57:$T$59,'491'!$T$61,'491'!$T$63,'491'!$T$65,'491'!$T$67,'491'!$T$69,'491'!$T$71,'491'!$T$73,'491'!$T$75,'491'!$T$77:$T$80,'491'!$T$82:$T$83,'491'!$T$85:$T$89,'491'!$T$91:$T$92,'491'!$T$94:$T$104,'491'!$T$106:$T$107,'491'!$T$109,'491'!$T$111:$T$113,'491'!$T$115</definedName>
    <definedName name="OSRRefT22x_0" localSheetId="88">'492'!$T$27:$T$36,'492'!$T$38:$T$47,'492'!$T$49,'492'!$T$51,'492'!$T$53,'492'!$T$55,'492'!$T$57,'492'!$T$59,'492'!$T$61,'492'!$T$63,'492'!$T$65,'492'!$T$67,'492'!$T$69:$T$72,'492'!$T$74:$T$77,'492'!$T$79,'492'!$T$81:$T$90,'492'!$T$92:$T$93,'492'!$T$95,'492'!$T$97:$T$98</definedName>
    <definedName name="OSRRefT22x_0" localSheetId="95">'501'!$T$22:$T$31,'501'!$T$33:$T$42,'501'!$T$44,'501'!$T$46,'501'!$T$48,'501'!$T$50:$T$51,'501'!$T$53,'501'!$T$55,'501'!$T$57,'501'!$T$59:$T$62,'501'!$T$64,'501'!$T$66:$T$67,'501'!$T$69,'501'!$T$71</definedName>
    <definedName name="OSRRefT22x_0" localSheetId="39">'Div 2'!$T$21:$T$31,'Div 2'!$T$33:$T$42,'Div 2'!$T$44,'Div 2'!$T$46,'Div 2'!$T$48,'Div 2'!$T$50:$T$51,'Div 2'!$T$53:$T$54,'Div 2'!$T$56,'Div 2'!$T$58,'Div 2'!$T$60:$T$61,'Div 2'!$T$63,'Div 2'!$T$65:$T$66,'Div 2'!$T$68:$T$71,'Div 2'!$T$73:$T$76,'Div 2'!$T$78:$T$79,'Div 2'!$T$81:$T$82,'Div 2'!$T$84:$T$89,'Div 2'!$T$91:$T$92,'Div 2'!$T$94,'Div 2'!$T$96:$T$97</definedName>
    <definedName name="OSRRefT22x_0" localSheetId="47">'Div 3'!$T$138:$T$147,'Div 3'!$T$149:$T$158,'Div 3'!$T$160,'Div 3'!$T$162:$T$163,'Div 3'!$T$165,'Div 3'!$T$167:$T$168,'Div 3'!$T$170:$T$171,'Div 3'!$T$173:$T$174,'Div 3'!$T$176,'Div 3'!$T$178,'Div 3'!$T$180:$T$181,'Div 3'!$T$183:$T$185,'Div 3'!$T$187,'Div 3'!$T$189,'Div 3'!$T$191:$T$192,'Div 3'!$T$194,'Div 3'!$T$196,'Div 3'!$T$198:$T$201,'Div 3'!$T$203:$T$206,'Div 3'!$T$208:$T$212,'Div 3'!$T$214:$T$215,'Div 3'!$T$217:$T$225,'Div 3'!$T$227:$T$228,'Div 3'!$T$230,'Div 3'!$T$232:$T$234,'Div 3'!$T$236</definedName>
    <definedName name="OSRRefT22x_0" localSheetId="72">'Div 4'!$T$32:$T$41,'Div 4'!$T$43:$T$52,'Div 4'!$T$54,'Div 4'!$T$56,'Div 4'!$T$58,'Div 4'!$T$60:$T$62,'Div 4'!$T$64,'Div 4'!$T$66,'Div 4'!$T$68,'Div 4'!$T$70,'Div 4'!$T$72,'Div 4'!$T$74,'Div 4'!$T$76,'Div 4'!$T$78,'Div 4'!$T$80,'Div 4'!$T$82:$T$85,'Div 4'!$T$87:$T$88,'Div 4'!$T$90:$T$94,'Div 4'!$T$96:$T$97,'Div 4'!$T$99:$T$109,'Div 4'!$T$111:$T$112,'Div 4'!$T$114,'Div 4'!$T$116:$T$118,'Div 4'!$T$120</definedName>
    <definedName name="OSRRefT22x_0" localSheetId="94">'Div 5'!$T$22:$T$31,'Div 5'!$T$33:$T$42,'Div 5'!$T$44,'Div 5'!$T$46,'Div 5'!$T$48,'Div 5'!$T$50:$T$51,'Div 5'!$T$53,'Div 5'!$T$55,'Div 5'!$T$57,'Div 5'!$T$59:$T$62,'Div 5'!$T$64,'Div 5'!$T$66:$T$67,'Div 5'!$T$69,'Div 5'!$T$71</definedName>
    <definedName name="OSRRefT22x_0" localSheetId="62">'Div 6'!$T$54:$T$63,'Div 6'!$T$65:$T$74,'Div 6'!$T$76,'Div 6'!$T$78,'Div 6'!$T$80,'Div 6'!$T$82,'Div 6'!$T$84:$T$85,'Div 6'!$T$87,'Div 6'!$T$89,'Div 6'!$T$91:$T$92,'Div 6'!$T$94,'Div 6'!$T$96:$T$99,'Div 6'!$T$101,'Div 6'!$T$103</definedName>
    <definedName name="OSRRefT22x_0" localSheetId="2">Summary!$T$166:$T$175,Summary!$T$177:$T$186,Summary!$T$188,Summary!$T$190:$T$191,Summary!$T$193,Summary!$T$195:$T$197,Summary!$T$199:$T$200,Summary!$T$202:$T$203,Summary!$T$205,Summary!$T$207,Summary!$T$209:$T$210,Summary!$T$212:$T$214,Summary!$T$216,Summary!$T$218,Summary!$T$220:$T$221,Summary!$T$223,Summary!$T$225,Summary!$T$227,Summary!$T$229:$T$232,Summary!$T$234:$T$237,Summary!$T$239:$T$243,Summary!$T$245:$T$246,Summary!$T$248:$T$258,Summary!$T$260:$T$261,Summary!$T$263,Summary!$T$265:$T$267,Summary!$T$269</definedName>
    <definedName name="OSRRefT25x_0" localSheetId="42">'202'!$T$70:$T$72</definedName>
    <definedName name="OSRRefT25x_0" localSheetId="48">'300'!$T$232:$T$236</definedName>
    <definedName name="OSRRefT25x_0" localSheetId="49">'300 &amp; 317'!$T$254:$T$259</definedName>
    <definedName name="OSRRefT25x_0" localSheetId="50">'301'!$T$102:$T$103</definedName>
    <definedName name="OSRRefT25x_0" localSheetId="54">'308'!$T$117:$T$119</definedName>
    <definedName name="OSRRefT25x_0" localSheetId="73">'310 &amp; 491'!$T$125:$T$128</definedName>
    <definedName name="OSRRefT25x_0" localSheetId="55">'311'!$T$116:$T$118</definedName>
    <definedName name="OSRRefT25x_0" localSheetId="58">'315'!$T$151:$T$154</definedName>
    <definedName name="OSRRefT25x_0" localSheetId="61">'316'!$T$83</definedName>
    <definedName name="OSRRefT25x_0" localSheetId="63">'317'!$T$106:$T$107</definedName>
    <definedName name="OSRRefT25x_0" localSheetId="64">'320'!$T$30</definedName>
    <definedName name="OSRRefT25x_0" localSheetId="57">'331'!$T$170:$T$173</definedName>
    <definedName name="OSRRefT25x_0" localSheetId="60">'332'!$T$85:$T$86</definedName>
    <definedName name="OSRRefT25x_0" localSheetId="77">'411'!$T$86:$T$87</definedName>
    <definedName name="OSRRefT25x_0" localSheetId="82">'418'!$T$84</definedName>
    <definedName name="OSRRefT25x_0" localSheetId="84">'423'!$T$54:$T$56</definedName>
    <definedName name="OSRRefT25x_0" localSheetId="86">'455'!$T$21:$T$22</definedName>
    <definedName name="OSRRefT25x_0" localSheetId="74">'491'!$T$118:$T$121</definedName>
    <definedName name="OSRRefT25x_0" localSheetId="95">'501'!$T$74</definedName>
    <definedName name="OSRRefT25x_0" localSheetId="39">'Div 2'!$T$100:$T$102</definedName>
    <definedName name="OSRRefT25x_0" localSheetId="47">'Div 3'!$T$239:$T$243</definedName>
    <definedName name="OSRRefT25x_0" localSheetId="72">'Div 4'!$T$123:$T$126</definedName>
    <definedName name="OSRRefT25x_0" localSheetId="94">'Div 5'!$T$74</definedName>
    <definedName name="OSRRefT25x_0" localSheetId="62">'Div 6'!$T$106:$T$107</definedName>
    <definedName name="OSRRefT25x_0" localSheetId="2">Summary!$T$272:$T$279</definedName>
    <definedName name="_xlnm.Print_Area" localSheetId="38">'100'!$A$1:$Z$34</definedName>
    <definedName name="_xlnm.Print_Area" localSheetId="40">'200'!$A$1:$Z$44</definedName>
    <definedName name="_xlnm.Print_Area" localSheetId="41">'201'!$A$1:$Z$90</definedName>
    <definedName name="_xlnm.Print_Area" localSheetId="42">'202'!$A$1:$Z$84</definedName>
    <definedName name="_xlnm.Print_Area" localSheetId="43">'203'!$A$1:$Z$87</definedName>
    <definedName name="_xlnm.Print_Area" localSheetId="44">'204'!$A$1:$Z$81</definedName>
    <definedName name="_xlnm.Print_Area" localSheetId="45">'205'!$A$1:$Z$69</definedName>
    <definedName name="_xlnm.Print_Area" localSheetId="46">'206'!$A$1:$Z$70</definedName>
    <definedName name="_xlnm.Print_Area" localSheetId="48">'300'!$A$1:$Z$248</definedName>
    <definedName name="_xlnm.Print_Area" localSheetId="49">'300 &amp; 317'!$A$1:$Z$271</definedName>
    <definedName name="_xlnm.Print_Area" localSheetId="50">'301'!$A$1:$Z$115</definedName>
    <definedName name="_xlnm.Print_Area" localSheetId="51">'306'!$A$1:$Z$73</definedName>
    <definedName name="_xlnm.Print_Area" localSheetId="53">'307'!$A$1:$Z$114</definedName>
    <definedName name="_xlnm.Print_Area" localSheetId="54">'308'!$A$1:$Z$131</definedName>
    <definedName name="_xlnm.Print_Area" localSheetId="66">'309'!$A$1:$Z$77</definedName>
    <definedName name="_xlnm.Print_Area" localSheetId="65">'310'!$A$1:$Z$119</definedName>
    <definedName name="_xlnm.Print_Area" localSheetId="73">'310 &amp; 491'!$A$1:$Z$140</definedName>
    <definedName name="_xlnm.Print_Area" localSheetId="55">'311'!$A$1:$Z$130</definedName>
    <definedName name="_xlnm.Print_Area" localSheetId="67">'313'!$A$1:$Z$84</definedName>
    <definedName name="_xlnm.Print_Area" localSheetId="58">'315'!$A$1:$Z$166</definedName>
    <definedName name="_xlnm.Print_Area" localSheetId="61">'316'!$A$1:$Z$95</definedName>
    <definedName name="_xlnm.Print_Area" localSheetId="63">'317'!$A$1:$Z$119</definedName>
    <definedName name="_xlnm.Print_Area" localSheetId="64">'320'!$A$1:$Z$42</definedName>
    <definedName name="_xlnm.Print_Area" localSheetId="68">'321'!$A$1:$Z$89</definedName>
    <definedName name="_xlnm.Print_Area" localSheetId="69">'322'!$A$1:$Z$80</definedName>
    <definedName name="_xlnm.Print_Area" localSheetId="56">'324'!$A$1:$Z$59</definedName>
    <definedName name="_xlnm.Print_Area" localSheetId="70">'325'!$A$1:$Z$100</definedName>
    <definedName name="_xlnm.Print_Area" localSheetId="59">'326'!$A$1:$Z$140</definedName>
    <definedName name="_xlnm.Print_Area" localSheetId="71">'327'!$A$1:$Z$41</definedName>
    <definedName name="_xlnm.Print_Area" localSheetId="52">'330'!$A$1:$Z$118</definedName>
    <definedName name="_xlnm.Print_Area" localSheetId="57">'331'!$A$1:$Z$185</definedName>
    <definedName name="_xlnm.Print_Area" localSheetId="60">'332'!$A$1:$Z$98</definedName>
    <definedName name="_xlnm.Print_Area" localSheetId="75">'405'!$A$1:$Z$101</definedName>
    <definedName name="_xlnm.Print_Area" localSheetId="76">'406'!$A$1:$Z$42</definedName>
    <definedName name="_xlnm.Print_Area" localSheetId="77">'411'!$A$1:$Z$99</definedName>
    <definedName name="_xlnm.Print_Area" localSheetId="78">'412'!$A$1:$Z$89</definedName>
    <definedName name="_xlnm.Print_Area" localSheetId="79">'413'!$A$1:$Z$90</definedName>
    <definedName name="_xlnm.Print_Area" localSheetId="80">'414'!$A$1:$Z$89</definedName>
    <definedName name="_xlnm.Print_Area" localSheetId="81">'415'!$A$1:$Z$110</definedName>
    <definedName name="_xlnm.Print_Area" localSheetId="82">'418'!$A$1:$Z$96</definedName>
    <definedName name="_xlnm.Print_Area" localSheetId="83">'420'!$A$1:$Z$38</definedName>
    <definedName name="_xlnm.Print_Area" localSheetId="84">'423'!$A$1:$Z$68</definedName>
    <definedName name="_xlnm.Print_Area" localSheetId="85">'424'!$A$1:$Z$40</definedName>
    <definedName name="_xlnm.Print_Area" localSheetId="87">'425'!$A$1:$Z$50</definedName>
    <definedName name="_xlnm.Print_Area" localSheetId="89">'430'!$A$1:$Z$68</definedName>
    <definedName name="_xlnm.Print_Area" localSheetId="90">'433'!$A$1:$Z$101</definedName>
    <definedName name="_xlnm.Print_Area" localSheetId="91">'435'!$A$1:$Z$34</definedName>
    <definedName name="_xlnm.Print_Area" localSheetId="92">'444'!$A$1:$Z$108</definedName>
    <definedName name="_xlnm.Print_Area" localSheetId="93">'450'!$A$1:$Z$96</definedName>
    <definedName name="_xlnm.Print_Area" localSheetId="86">'455'!$A$1:$Z$34</definedName>
    <definedName name="_xlnm.Print_Area" localSheetId="74">'491'!$A$1:$Z$133</definedName>
    <definedName name="_xlnm.Print_Area" localSheetId="88">'492'!$A$1:$Z$112</definedName>
    <definedName name="_xlnm.Print_Area" localSheetId="95">'501'!$A$1:$Z$86</definedName>
    <definedName name="_xlnm.Print_Area" localSheetId="96">Dept!$A$1:$Z$39</definedName>
    <definedName name="_xlnm.Print_Area" localSheetId="37">'Div 1'!$A$1:$Z$34</definedName>
    <definedName name="_xlnm.Print_Area" localSheetId="39">'Div 2'!$A$1:$Z$114</definedName>
    <definedName name="_xlnm.Print_Area" localSheetId="47">'Div 3'!$A$1:$Z$255</definedName>
    <definedName name="_xlnm.Print_Area" localSheetId="72">'Div 4'!$A$1:$Z$138</definedName>
    <definedName name="_xlnm.Print_Area" localSheetId="94">'Div 5'!$A$1:$Z$86</definedName>
    <definedName name="_xlnm.Print_Area" localSheetId="62">'Div 6'!$A$1:$Z$119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7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8">'OSR_Summary (...56e5d78f_5JEYZH'!$A$1:$Z$39</definedName>
    <definedName name="_xlnm.Print_Area" localSheetId="3">OSR_Summary_18VAVWG!$A$1:$Z$39</definedName>
    <definedName name="_xlnm.Print_Area" localSheetId="2">Summary!$A$1:$Z$293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3">'310 &amp; 491'!$A:$C,'310 &amp; 491'!$1:$10</definedName>
    <definedName name="_xlnm.Print_Titles" localSheetId="55">'311'!$A:$C,'311'!$1:$10</definedName>
    <definedName name="_xlnm.Print_Titles" localSheetId="67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4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56">'324'!$A:$C,'324'!$1:$10</definedName>
    <definedName name="_xlnm.Print_Titles" localSheetId="70">'325'!$A:$C,'325'!$1:$10</definedName>
    <definedName name="_xlnm.Print_Titles" localSheetId="59">'326'!$A:$C,'326'!$1:$10</definedName>
    <definedName name="_xlnm.Print_Titles" localSheetId="71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5">'405'!$A:$C,'405'!$1:$10</definedName>
    <definedName name="_xlnm.Print_Titles" localSheetId="76">'406'!$A:$C,'406'!$1:$10</definedName>
    <definedName name="_xlnm.Print_Titles" localSheetId="77">'411'!$A:$C,'411'!$1:$10</definedName>
    <definedName name="_xlnm.Print_Titles" localSheetId="78">'412'!$A:$C,'412'!$1:$10</definedName>
    <definedName name="_xlnm.Print_Titles" localSheetId="79">'413'!$A:$C,'413'!$1:$10</definedName>
    <definedName name="_xlnm.Print_Titles" localSheetId="80">'414'!$A:$C,'414'!$1:$10</definedName>
    <definedName name="_xlnm.Print_Titles" localSheetId="81">'415'!$A:$C,'415'!$1:$10</definedName>
    <definedName name="_xlnm.Print_Titles" localSheetId="82">'418'!$A:$C,'418'!$1:$10</definedName>
    <definedName name="_xlnm.Print_Titles" localSheetId="83">'420'!$A:$C,'420'!$1:$10</definedName>
    <definedName name="_xlnm.Print_Titles" localSheetId="84">'423'!$A:$C,'423'!$1:$10</definedName>
    <definedName name="_xlnm.Print_Titles" localSheetId="85">'424'!$A:$C,'424'!$1:$10</definedName>
    <definedName name="_xlnm.Print_Titles" localSheetId="87">'425'!$A:$C,'425'!$1:$10</definedName>
    <definedName name="_xlnm.Print_Titles" localSheetId="89">'430'!$A:$C,'430'!$1:$10</definedName>
    <definedName name="_xlnm.Print_Titles" localSheetId="90">'433'!$A:$C,'433'!$1:$10</definedName>
    <definedName name="_xlnm.Print_Titles" localSheetId="91">'435'!$A:$C,'435'!$1:$10</definedName>
    <definedName name="_xlnm.Print_Titles" localSheetId="92">'444'!$A:$C,'444'!$1:$10</definedName>
    <definedName name="_xlnm.Print_Titles" localSheetId="93">'450'!$A:$C,'450'!$1:$10</definedName>
    <definedName name="_xlnm.Print_Titles" localSheetId="86">'455'!$A:$C,'455'!$1:$10</definedName>
    <definedName name="_xlnm.Print_Titles" localSheetId="74">'491'!$A:$C,'491'!$1:$10</definedName>
    <definedName name="_xlnm.Print_Titles" localSheetId="88">'492'!$A:$C,'492'!$1:$10</definedName>
    <definedName name="_xlnm.Print_Titles" localSheetId="95">'501'!$A:$C,'501'!$1:$10</definedName>
    <definedName name="_xlnm.Print_Titles" localSheetId="96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2">'Div 4'!$A:$C,'Div 4'!$1:$10</definedName>
    <definedName name="_xlnm.Print_Titles" localSheetId="94">'Div 5'!$A:$C,'Div 5'!$1:$10</definedName>
    <definedName name="_xlnm.Print_Titles" localSheetId="62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7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8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H24" i="100"/>
  <c r="N24" i="100" s="1"/>
  <c r="D24" i="100"/>
  <c r="T22" i="100"/>
  <c r="Z22" i="100" s="1"/>
  <c r="P22" i="100"/>
  <c r="H22" i="100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Z13" i="100" s="1"/>
  <c r="P13" i="100"/>
  <c r="H13" i="100"/>
  <c r="N13" i="100" s="1"/>
  <c r="D13" i="100"/>
  <c r="B13" i="100"/>
  <c r="T12" i="100"/>
  <c r="V25" i="100" s="1"/>
  <c r="P12" i="100"/>
  <c r="R16" i="100" s="1"/>
  <c r="H12" i="100"/>
  <c r="J21" i="100" s="1"/>
  <c r="D12" i="100"/>
  <c r="F34" i="100" s="1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P12" i="99"/>
  <c r="R34" i="99" s="1"/>
  <c r="H12" i="99"/>
  <c r="J29" i="99" s="1"/>
  <c r="D12" i="99"/>
  <c r="F24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36" i="98" s="1"/>
  <c r="P12" i="98"/>
  <c r="R21" i="98" s="1"/>
  <c r="H12" i="98"/>
  <c r="D12" i="98"/>
  <c r="F36" i="98" s="1"/>
  <c r="D6" i="98"/>
  <c r="D5" i="98"/>
  <c r="D4" i="98"/>
  <c r="X78" i="97"/>
  <c r="Z78" i="97" s="1"/>
  <c r="N78" i="97"/>
  <c r="L78" i="97"/>
  <c r="J78" i="97"/>
  <c r="P74" i="97"/>
  <c r="P73" i="97" s="1"/>
  <c r="X73" i="97" s="1"/>
  <c r="N74" i="97"/>
  <c r="D74" i="97"/>
  <c r="L74" i="97" s="1"/>
  <c r="B74" i="97"/>
  <c r="Z73" i="97"/>
  <c r="T73" i="97"/>
  <c r="L73" i="97"/>
  <c r="H73" i="97"/>
  <c r="D73" i="97"/>
  <c r="Z71" i="97"/>
  <c r="X71" i="97"/>
  <c r="N71" i="97"/>
  <c r="L71" i="97"/>
  <c r="B71" i="97"/>
  <c r="T70" i="97"/>
  <c r="P70" i="97"/>
  <c r="H70" i="97"/>
  <c r="N70" i="97" s="1"/>
  <c r="D70" i="97"/>
  <c r="L70" i="97" s="1"/>
  <c r="B70" i="97"/>
  <c r="Z69" i="97"/>
  <c r="X69" i="97"/>
  <c r="L69" i="97"/>
  <c r="N69" i="97" s="1"/>
  <c r="B69" i="97"/>
  <c r="T68" i="97"/>
  <c r="P68" i="97"/>
  <c r="X68" i="97" s="1"/>
  <c r="H68" i="97"/>
  <c r="D68" i="97"/>
  <c r="B68" i="97"/>
  <c r="Z67" i="97"/>
  <c r="X67" i="97"/>
  <c r="N67" i="97"/>
  <c r="L67" i="97"/>
  <c r="B67" i="97"/>
  <c r="X66" i="97"/>
  <c r="Z66" i="97" s="1"/>
  <c r="N66" i="97"/>
  <c r="L66" i="97"/>
  <c r="J66" i="97"/>
  <c r="B66" i="97"/>
  <c r="T65" i="97"/>
  <c r="P65" i="97"/>
  <c r="X65" i="97" s="1"/>
  <c r="Z65" i="97" s="1"/>
  <c r="N65" i="97"/>
  <c r="L65" i="97"/>
  <c r="H65" i="97"/>
  <c r="D65" i="97"/>
  <c r="B65" i="97"/>
  <c r="X64" i="97"/>
  <c r="Z64" i="97" s="1"/>
  <c r="V64" i="97"/>
  <c r="N64" i="97"/>
  <c r="L64" i="97"/>
  <c r="B64" i="97"/>
  <c r="X63" i="97"/>
  <c r="Z63" i="97" s="1"/>
  <c r="T63" i="97"/>
  <c r="P63" i="97"/>
  <c r="L63" i="97"/>
  <c r="H63" i="97"/>
  <c r="N63" i="97" s="1"/>
  <c r="D63" i="97"/>
  <c r="B63" i="97"/>
  <c r="Z62" i="97"/>
  <c r="X62" i="97"/>
  <c r="N62" i="97"/>
  <c r="L62" i="97"/>
  <c r="B62" i="97"/>
  <c r="Z61" i="97"/>
  <c r="X61" i="97"/>
  <c r="N61" i="97"/>
  <c r="L61" i="97"/>
  <c r="J61" i="97"/>
  <c r="B61" i="97"/>
  <c r="X60" i="97"/>
  <c r="Z60" i="97" s="1"/>
  <c r="L60" i="97"/>
  <c r="N60" i="97" s="1"/>
  <c r="B60" i="97"/>
  <c r="X59" i="97"/>
  <c r="Z59" i="97" s="1"/>
  <c r="N59" i="97"/>
  <c r="L59" i="97"/>
  <c r="B59" i="97"/>
  <c r="T58" i="97"/>
  <c r="X58" i="97" s="1"/>
  <c r="Z58" i="97" s="1"/>
  <c r="P58" i="97"/>
  <c r="H58" i="97"/>
  <c r="N58" i="97" s="1"/>
  <c r="D58" i="97"/>
  <c r="L58" i="97" s="1"/>
  <c r="B58" i="97"/>
  <c r="X57" i="97"/>
  <c r="Z57" i="97" s="1"/>
  <c r="N57" i="97"/>
  <c r="L57" i="97"/>
  <c r="B57" i="97"/>
  <c r="Z56" i="97"/>
  <c r="T56" i="97"/>
  <c r="P56" i="97"/>
  <c r="X56" i="97" s="1"/>
  <c r="L56" i="97"/>
  <c r="J56" i="97"/>
  <c r="H56" i="97"/>
  <c r="D56" i="97"/>
  <c r="B56" i="97"/>
  <c r="Z55" i="97"/>
  <c r="X55" i="97"/>
  <c r="N55" i="97"/>
  <c r="L55" i="97"/>
  <c r="B55" i="97"/>
  <c r="T54" i="97"/>
  <c r="P54" i="97"/>
  <c r="H54" i="97"/>
  <c r="D54" i="97"/>
  <c r="L54" i="97" s="1"/>
  <c r="B54" i="97"/>
  <c r="Z53" i="97"/>
  <c r="X53" i="97"/>
  <c r="N53" i="97"/>
  <c r="L53" i="97"/>
  <c r="J53" i="97"/>
  <c r="B53" i="97"/>
  <c r="T52" i="97"/>
  <c r="P52" i="97"/>
  <c r="X52" i="97" s="1"/>
  <c r="L52" i="97"/>
  <c r="N52" i="97" s="1"/>
  <c r="H52" i="97"/>
  <c r="D52" i="97"/>
  <c r="B52" i="97"/>
  <c r="Z51" i="97"/>
  <c r="X51" i="97"/>
  <c r="L51" i="97"/>
  <c r="N51" i="97" s="1"/>
  <c r="B51" i="97"/>
  <c r="Z50" i="97"/>
  <c r="X50" i="97"/>
  <c r="N50" i="97"/>
  <c r="L50" i="97"/>
  <c r="B50" i="97"/>
  <c r="T49" i="97"/>
  <c r="P49" i="97"/>
  <c r="H49" i="97"/>
  <c r="D49" i="97"/>
  <c r="L49" i="97" s="1"/>
  <c r="N49" i="97" s="1"/>
  <c r="B49" i="97"/>
  <c r="Z48" i="97"/>
  <c r="X48" i="97"/>
  <c r="L48" i="97"/>
  <c r="N48" i="97" s="1"/>
  <c r="B48" i="97"/>
  <c r="Z47" i="97"/>
  <c r="T47" i="97"/>
  <c r="P47" i="97"/>
  <c r="X47" i="97" s="1"/>
  <c r="L47" i="97"/>
  <c r="N47" i="97" s="1"/>
  <c r="J47" i="97"/>
  <c r="H47" i="97"/>
  <c r="D47" i="97"/>
  <c r="B47" i="97"/>
  <c r="X46" i="97"/>
  <c r="Z46" i="97" s="1"/>
  <c r="L46" i="97"/>
  <c r="N46" i="97" s="1"/>
  <c r="B46" i="97"/>
  <c r="T45" i="97"/>
  <c r="P45" i="97"/>
  <c r="H45" i="97"/>
  <c r="D45" i="97"/>
  <c r="L45" i="97" s="1"/>
  <c r="B45" i="97"/>
  <c r="X44" i="97"/>
  <c r="Z44" i="97" s="1"/>
  <c r="L44" i="97"/>
  <c r="N44" i="97" s="1"/>
  <c r="J44" i="97"/>
  <c r="B44" i="97"/>
  <c r="T43" i="97"/>
  <c r="P43" i="97"/>
  <c r="X43" i="97" s="1"/>
  <c r="N43" i="97"/>
  <c r="H43" i="97"/>
  <c r="D43" i="97"/>
  <c r="L43" i="97" s="1"/>
  <c r="B43" i="97"/>
  <c r="Z42" i="97"/>
  <c r="X42" i="97"/>
  <c r="N42" i="97"/>
  <c r="L42" i="97"/>
  <c r="B42" i="97"/>
  <c r="Z41" i="97"/>
  <c r="X41" i="97"/>
  <c r="N41" i="97"/>
  <c r="L41" i="97"/>
  <c r="J41" i="97"/>
  <c r="B41" i="97"/>
  <c r="X40" i="97"/>
  <c r="Z40" i="97" s="1"/>
  <c r="N40" i="97"/>
  <c r="L40" i="97"/>
  <c r="B40" i="97"/>
  <c r="Z39" i="97"/>
  <c r="X39" i="97"/>
  <c r="N39" i="97"/>
  <c r="L39" i="97"/>
  <c r="J39" i="97"/>
  <c r="B39" i="97"/>
  <c r="Z38" i="97"/>
  <c r="X38" i="97"/>
  <c r="N38" i="97"/>
  <c r="L38" i="97"/>
  <c r="J38" i="97"/>
  <c r="B38" i="97"/>
  <c r="Z37" i="97"/>
  <c r="X37" i="97"/>
  <c r="N37" i="97"/>
  <c r="L37" i="97"/>
  <c r="J37" i="97"/>
  <c r="B37" i="97"/>
  <c r="X36" i="97"/>
  <c r="Z36" i="97" s="1"/>
  <c r="L36" i="97"/>
  <c r="N36" i="97" s="1"/>
  <c r="B36" i="97"/>
  <c r="Z35" i="97"/>
  <c r="X35" i="97"/>
  <c r="N35" i="97"/>
  <c r="L35" i="97"/>
  <c r="B35" i="97"/>
  <c r="X34" i="97"/>
  <c r="Z34" i="97" s="1"/>
  <c r="L34" i="97"/>
  <c r="N34" i="97" s="1"/>
  <c r="B34" i="97"/>
  <c r="X33" i="97"/>
  <c r="Z33" i="97" s="1"/>
  <c r="L33" i="97"/>
  <c r="N33" i="97" s="1"/>
  <c r="J33" i="97"/>
  <c r="B33" i="97"/>
  <c r="Z32" i="97"/>
  <c r="X32" i="97"/>
  <c r="T32" i="97"/>
  <c r="P32" i="97"/>
  <c r="L32" i="97"/>
  <c r="J32" i="97"/>
  <c r="H32" i="97"/>
  <c r="D32" i="97"/>
  <c r="B32" i="97"/>
  <c r="Z31" i="97"/>
  <c r="X31" i="97"/>
  <c r="N31" i="97"/>
  <c r="L31" i="97"/>
  <c r="B31" i="97"/>
  <c r="X30" i="97"/>
  <c r="Z30" i="97" s="1"/>
  <c r="L30" i="97"/>
  <c r="N30" i="97" s="1"/>
  <c r="B30" i="97"/>
  <c r="Z29" i="97"/>
  <c r="X29" i="97"/>
  <c r="L29" i="97"/>
  <c r="N29" i="97" s="1"/>
  <c r="J29" i="97"/>
  <c r="B29" i="97"/>
  <c r="Z28" i="97"/>
  <c r="X28" i="97"/>
  <c r="N28" i="97"/>
  <c r="L28" i="97"/>
  <c r="B28" i="97"/>
  <c r="Z27" i="97"/>
  <c r="X27" i="97"/>
  <c r="N27" i="97"/>
  <c r="L27" i="97"/>
  <c r="J27" i="97"/>
  <c r="B27" i="97"/>
  <c r="X26" i="97"/>
  <c r="Z26" i="97" s="1"/>
  <c r="L26" i="97"/>
  <c r="N26" i="97" s="1"/>
  <c r="J26" i="97"/>
  <c r="B26" i="97"/>
  <c r="X25" i="97"/>
  <c r="Z25" i="97" s="1"/>
  <c r="L25" i="97"/>
  <c r="N25" i="97" s="1"/>
  <c r="J25" i="97"/>
  <c r="B25" i="97"/>
  <c r="X24" i="97"/>
  <c r="Z24" i="97" s="1"/>
  <c r="L24" i="97"/>
  <c r="N24" i="97" s="1"/>
  <c r="B24" i="97"/>
  <c r="Z23" i="97"/>
  <c r="X23" i="97"/>
  <c r="N23" i="97"/>
  <c r="L23" i="97"/>
  <c r="B23" i="97"/>
  <c r="X22" i="97"/>
  <c r="Z22" i="97" s="1"/>
  <c r="L22" i="97"/>
  <c r="N22" i="97" s="1"/>
  <c r="B22" i="97"/>
  <c r="X21" i="97"/>
  <c r="Z21" i="97" s="1"/>
  <c r="T21" i="97"/>
  <c r="P21" i="97"/>
  <c r="H21" i="97"/>
  <c r="D21" i="97"/>
  <c r="B21" i="97"/>
  <c r="T20" i="97"/>
  <c r="P20" i="97"/>
  <c r="H20" i="97"/>
  <c r="H76" i="97" s="1"/>
  <c r="D20" i="97"/>
  <c r="L20" i="97" s="1"/>
  <c r="H18" i="97"/>
  <c r="T16" i="97"/>
  <c r="Z16" i="97" s="1"/>
  <c r="P16" i="97"/>
  <c r="H16" i="97"/>
  <c r="N16" i="97" s="1"/>
  <c r="D16" i="97"/>
  <c r="L16" i="97" s="1"/>
  <c r="X14" i="97"/>
  <c r="Z14" i="97" s="1"/>
  <c r="P14" i="97"/>
  <c r="D14" i="97"/>
  <c r="B14" i="97"/>
  <c r="P13" i="97"/>
  <c r="D13" i="97"/>
  <c r="L13" i="97" s="1"/>
  <c r="N13" i="97" s="1"/>
  <c r="B13" i="97"/>
  <c r="T12" i="97"/>
  <c r="V73" i="97" s="1"/>
  <c r="H12" i="97"/>
  <c r="J74" i="97" s="1"/>
  <c r="D6" i="97"/>
  <c r="D4" i="97"/>
  <c r="R28" i="96"/>
  <c r="Z26" i="96"/>
  <c r="X26" i="96"/>
  <c r="N26" i="96"/>
  <c r="L26" i="96"/>
  <c r="Z22" i="96"/>
  <c r="R22" i="96"/>
  <c r="P22" i="96"/>
  <c r="N22" i="96"/>
  <c r="D22" i="96"/>
  <c r="L22" i="96" s="1"/>
  <c r="B22" i="96"/>
  <c r="Z21" i="96"/>
  <c r="X21" i="96"/>
  <c r="V21" i="96"/>
  <c r="P21" i="96"/>
  <c r="N21" i="96"/>
  <c r="D21" i="96"/>
  <c r="L21" i="96" s="1"/>
  <c r="B21" i="96"/>
  <c r="T20" i="96"/>
  <c r="Z20" i="96" s="1"/>
  <c r="N20" i="96"/>
  <c r="H20" i="96"/>
  <c r="X18" i="96"/>
  <c r="V18" i="96"/>
  <c r="T18" i="96"/>
  <c r="Z18" i="96" s="1"/>
  <c r="P18" i="96"/>
  <c r="H18" i="96"/>
  <c r="N18" i="96" s="1"/>
  <c r="D18" i="96"/>
  <c r="T16" i="96"/>
  <c r="P16" i="96"/>
  <c r="D16" i="96"/>
  <c r="X14" i="96"/>
  <c r="V14" i="96"/>
  <c r="T14" i="96"/>
  <c r="Z14" i="96" s="1"/>
  <c r="P14" i="96"/>
  <c r="L14" i="96"/>
  <c r="H14" i="96"/>
  <c r="N14" i="96" s="1"/>
  <c r="D14" i="96"/>
  <c r="T12" i="96"/>
  <c r="V31" i="96" s="1"/>
  <c r="P12" i="96"/>
  <c r="H12" i="96"/>
  <c r="D12" i="96"/>
  <c r="D6" i="96"/>
  <c r="D4" i="96"/>
  <c r="X88" i="95"/>
  <c r="Z88" i="95" s="1"/>
  <c r="L88" i="95"/>
  <c r="N88" i="95" s="1"/>
  <c r="Z84" i="95"/>
  <c r="T84" i="95"/>
  <c r="P84" i="95"/>
  <c r="X84" i="95" s="1"/>
  <c r="H84" i="95"/>
  <c r="N84" i="95" s="1"/>
  <c r="D84" i="95"/>
  <c r="X82" i="95"/>
  <c r="Z82" i="95" s="1"/>
  <c r="L82" i="95"/>
  <c r="N82" i="95" s="1"/>
  <c r="B82" i="95"/>
  <c r="T81" i="95"/>
  <c r="P81" i="95"/>
  <c r="J81" i="95"/>
  <c r="H81" i="95"/>
  <c r="D81" i="95"/>
  <c r="L81" i="95" s="1"/>
  <c r="N81" i="95" s="1"/>
  <c r="B81" i="95"/>
  <c r="Z80" i="95"/>
  <c r="X80" i="95"/>
  <c r="N80" i="95"/>
  <c r="L80" i="95"/>
  <c r="B80" i="95"/>
  <c r="X79" i="95"/>
  <c r="Z79" i="95" s="1"/>
  <c r="L79" i="95"/>
  <c r="N79" i="95" s="1"/>
  <c r="J79" i="95"/>
  <c r="B79" i="95"/>
  <c r="T78" i="95"/>
  <c r="P78" i="95"/>
  <c r="H78" i="95"/>
  <c r="D78" i="95"/>
  <c r="L78" i="95" s="1"/>
  <c r="B78" i="95"/>
  <c r="Z77" i="95"/>
  <c r="X77" i="95"/>
  <c r="N77" i="95"/>
  <c r="L77" i="95"/>
  <c r="B77" i="95"/>
  <c r="X76" i="95"/>
  <c r="Z76" i="95" s="1"/>
  <c r="N76" i="95"/>
  <c r="L76" i="95"/>
  <c r="J76" i="95"/>
  <c r="B76" i="95"/>
  <c r="X75" i="95"/>
  <c r="Z75" i="95" s="1"/>
  <c r="V75" i="95"/>
  <c r="N75" i="95"/>
  <c r="L75" i="95"/>
  <c r="B75" i="95"/>
  <c r="X74" i="95"/>
  <c r="Z74" i="95" s="1"/>
  <c r="N74" i="95"/>
  <c r="L74" i="95"/>
  <c r="B74" i="95"/>
  <c r="Z73" i="95"/>
  <c r="X73" i="95"/>
  <c r="N73" i="95"/>
  <c r="L73" i="95"/>
  <c r="B73" i="95"/>
  <c r="X72" i="95"/>
  <c r="Z72" i="95" s="1"/>
  <c r="N72" i="95"/>
  <c r="L72" i="95"/>
  <c r="B72" i="95"/>
  <c r="Z71" i="95"/>
  <c r="X71" i="95"/>
  <c r="N71" i="95"/>
  <c r="L71" i="95"/>
  <c r="B71" i="95"/>
  <c r="X70" i="95"/>
  <c r="T70" i="95"/>
  <c r="Z70" i="95" s="1"/>
  <c r="P70" i="95"/>
  <c r="H70" i="95"/>
  <c r="N70" i="95" s="1"/>
  <c r="D70" i="95"/>
  <c r="L70" i="95" s="1"/>
  <c r="B70" i="95"/>
  <c r="Z69" i="95"/>
  <c r="X69" i="95"/>
  <c r="N69" i="95"/>
  <c r="L69" i="95"/>
  <c r="F69" i="95"/>
  <c r="B69" i="95"/>
  <c r="X68" i="95"/>
  <c r="Z68" i="95" s="1"/>
  <c r="L68" i="95"/>
  <c r="N68" i="95" s="1"/>
  <c r="J68" i="95"/>
  <c r="F68" i="95"/>
  <c r="B68" i="95"/>
  <c r="X67" i="95"/>
  <c r="Z67" i="95" s="1"/>
  <c r="V67" i="95"/>
  <c r="L67" i="95"/>
  <c r="N67" i="95" s="1"/>
  <c r="J67" i="95"/>
  <c r="B67" i="95"/>
  <c r="X66" i="95"/>
  <c r="T66" i="95"/>
  <c r="P66" i="95"/>
  <c r="H66" i="95"/>
  <c r="D66" i="95"/>
  <c r="L66" i="95" s="1"/>
  <c r="B66" i="95"/>
  <c r="Z65" i="95"/>
  <c r="X65" i="95"/>
  <c r="N65" i="95"/>
  <c r="L65" i="95"/>
  <c r="F65" i="95"/>
  <c r="B65" i="95"/>
  <c r="T64" i="95"/>
  <c r="P64" i="95"/>
  <c r="L64" i="95"/>
  <c r="N64" i="95" s="1"/>
  <c r="H64" i="95"/>
  <c r="D64" i="95"/>
  <c r="B64" i="95"/>
  <c r="X63" i="95"/>
  <c r="Z63" i="95" s="1"/>
  <c r="V63" i="95"/>
  <c r="N63" i="95"/>
  <c r="L63" i="95"/>
  <c r="J63" i="95"/>
  <c r="B63" i="95"/>
  <c r="T62" i="95"/>
  <c r="P62" i="95"/>
  <c r="X62" i="95" s="1"/>
  <c r="Z62" i="95" s="1"/>
  <c r="J62" i="95"/>
  <c r="H62" i="95"/>
  <c r="D62" i="95"/>
  <c r="B62" i="95"/>
  <c r="Z61" i="95"/>
  <c r="X61" i="95"/>
  <c r="N61" i="95"/>
  <c r="L61" i="95"/>
  <c r="B61" i="95"/>
  <c r="V60" i="95"/>
  <c r="T60" i="95"/>
  <c r="P60" i="95"/>
  <c r="L60" i="95"/>
  <c r="H60" i="95"/>
  <c r="N60" i="95" s="1"/>
  <c r="F60" i="95"/>
  <c r="D60" i="95"/>
  <c r="B60" i="95"/>
  <c r="X59" i="95"/>
  <c r="Z59" i="95" s="1"/>
  <c r="V59" i="95"/>
  <c r="L59" i="95"/>
  <c r="N59" i="95" s="1"/>
  <c r="J59" i="95"/>
  <c r="B59" i="95"/>
  <c r="T58" i="95"/>
  <c r="P58" i="95"/>
  <c r="X58" i="95" s="1"/>
  <c r="H58" i="95"/>
  <c r="D58" i="95"/>
  <c r="B58" i="95"/>
  <c r="Z57" i="95"/>
  <c r="X57" i="95"/>
  <c r="N57" i="95"/>
  <c r="L57" i="95"/>
  <c r="F57" i="95"/>
  <c r="B57" i="95"/>
  <c r="T56" i="95"/>
  <c r="Z56" i="95" s="1"/>
  <c r="P56" i="95"/>
  <c r="X56" i="95" s="1"/>
  <c r="N56" i="95"/>
  <c r="L56" i="95"/>
  <c r="H56" i="95"/>
  <c r="D56" i="95"/>
  <c r="B56" i="95"/>
  <c r="X55" i="95"/>
  <c r="Z55" i="95" s="1"/>
  <c r="V55" i="95"/>
  <c r="N55" i="95"/>
  <c r="L55" i="95"/>
  <c r="J55" i="95"/>
  <c r="B55" i="95"/>
  <c r="X54" i="95"/>
  <c r="Z54" i="95" s="1"/>
  <c r="T54" i="95"/>
  <c r="P54" i="95"/>
  <c r="J54" i="95"/>
  <c r="H54" i="95"/>
  <c r="D54" i="95"/>
  <c r="B54" i="95"/>
  <c r="Z53" i="95"/>
  <c r="X53" i="95"/>
  <c r="N53" i="95"/>
  <c r="L53" i="95"/>
  <c r="B53" i="95"/>
  <c r="V52" i="95"/>
  <c r="T52" i="95"/>
  <c r="P52" i="95"/>
  <c r="L52" i="95"/>
  <c r="H52" i="95"/>
  <c r="N52" i="95" s="1"/>
  <c r="F52" i="95"/>
  <c r="D52" i="95"/>
  <c r="B52" i="95"/>
  <c r="Z51" i="95"/>
  <c r="X51" i="95"/>
  <c r="V51" i="95"/>
  <c r="L51" i="95"/>
  <c r="N51" i="95" s="1"/>
  <c r="J51" i="95"/>
  <c r="B51" i="95"/>
  <c r="X50" i="95"/>
  <c r="T50" i="95"/>
  <c r="Z50" i="95" s="1"/>
  <c r="P50" i="95"/>
  <c r="H50" i="95"/>
  <c r="D50" i="95"/>
  <c r="L50" i="95" s="1"/>
  <c r="B50" i="95"/>
  <c r="Z49" i="95"/>
  <c r="X49" i="95"/>
  <c r="N49" i="95"/>
  <c r="L49" i="95"/>
  <c r="F49" i="95"/>
  <c r="B49" i="95"/>
  <c r="T48" i="95"/>
  <c r="P48" i="95"/>
  <c r="N48" i="95"/>
  <c r="H48" i="95"/>
  <c r="D48" i="95"/>
  <c r="L48" i="95" s="1"/>
  <c r="B48" i="95"/>
  <c r="X47" i="95"/>
  <c r="Z47" i="95" s="1"/>
  <c r="V47" i="95"/>
  <c r="N47" i="95"/>
  <c r="L47" i="95"/>
  <c r="J47" i="95"/>
  <c r="B47" i="95"/>
  <c r="T46" i="95"/>
  <c r="P46" i="95"/>
  <c r="X46" i="95" s="1"/>
  <c r="Z46" i="95" s="1"/>
  <c r="J46" i="95"/>
  <c r="H46" i="95"/>
  <c r="D46" i="95"/>
  <c r="B46" i="95"/>
  <c r="Z45" i="95"/>
  <c r="X45" i="95"/>
  <c r="N45" i="95"/>
  <c r="L45" i="95"/>
  <c r="B45" i="95"/>
  <c r="T44" i="95"/>
  <c r="P44" i="95"/>
  <c r="H44" i="95"/>
  <c r="N44" i="95" s="1"/>
  <c r="F44" i="95"/>
  <c r="D44" i="95"/>
  <c r="L44" i="95" s="1"/>
  <c r="B44" i="95"/>
  <c r="Z43" i="95"/>
  <c r="X43" i="95"/>
  <c r="V43" i="95"/>
  <c r="N43" i="95"/>
  <c r="L43" i="95"/>
  <c r="J43" i="95"/>
  <c r="B43" i="95"/>
  <c r="Z42" i="95"/>
  <c r="X42" i="95"/>
  <c r="N42" i="95"/>
  <c r="L42" i="95"/>
  <c r="B42" i="95"/>
  <c r="Z41" i="95"/>
  <c r="X41" i="95"/>
  <c r="N41" i="95"/>
  <c r="L41" i="95"/>
  <c r="B41" i="95"/>
  <c r="X40" i="95"/>
  <c r="Z40" i="95" s="1"/>
  <c r="V40" i="95"/>
  <c r="N40" i="95"/>
  <c r="L40" i="95"/>
  <c r="F40" i="95"/>
  <c r="B40" i="95"/>
  <c r="Z39" i="95"/>
  <c r="X39" i="95"/>
  <c r="V39" i="95"/>
  <c r="N39" i="95"/>
  <c r="L39" i="95"/>
  <c r="J39" i="95"/>
  <c r="B39" i="95"/>
  <c r="X38" i="95"/>
  <c r="Z38" i="95" s="1"/>
  <c r="N38" i="95"/>
  <c r="L38" i="95"/>
  <c r="B38" i="95"/>
  <c r="Z37" i="95"/>
  <c r="X37" i="95"/>
  <c r="N37" i="95"/>
  <c r="L37" i="95"/>
  <c r="F37" i="95"/>
  <c r="B37" i="95"/>
  <c r="Z36" i="95"/>
  <c r="X36" i="95"/>
  <c r="N36" i="95"/>
  <c r="L36" i="95"/>
  <c r="J36" i="95"/>
  <c r="F36" i="95"/>
  <c r="B36" i="95"/>
  <c r="Z35" i="95"/>
  <c r="X35" i="95"/>
  <c r="V35" i="95"/>
  <c r="L35" i="95"/>
  <c r="N35" i="95" s="1"/>
  <c r="J35" i="95"/>
  <c r="B35" i="95"/>
  <c r="Z34" i="95"/>
  <c r="X34" i="95"/>
  <c r="N34" i="95"/>
  <c r="L34" i="95"/>
  <c r="B34" i="95"/>
  <c r="Z33" i="95"/>
  <c r="T33" i="95"/>
  <c r="X33" i="95" s="1"/>
  <c r="P33" i="95"/>
  <c r="J33" i="95"/>
  <c r="H33" i="95"/>
  <c r="D33" i="95"/>
  <c r="L33" i="95" s="1"/>
  <c r="N33" i="95" s="1"/>
  <c r="B33" i="95"/>
  <c r="Z32" i="95"/>
  <c r="X32" i="95"/>
  <c r="N32" i="95"/>
  <c r="L32" i="95"/>
  <c r="J32" i="95"/>
  <c r="F32" i="95"/>
  <c r="B32" i="95"/>
  <c r="Z31" i="95"/>
  <c r="X31" i="95"/>
  <c r="V31" i="95"/>
  <c r="L31" i="95"/>
  <c r="N31" i="95" s="1"/>
  <c r="J31" i="95"/>
  <c r="B31" i="95"/>
  <c r="X30" i="95"/>
  <c r="Z30" i="95" s="1"/>
  <c r="L30" i="95"/>
  <c r="N30" i="95" s="1"/>
  <c r="B30" i="95"/>
  <c r="Z29" i="95"/>
  <c r="X29" i="95"/>
  <c r="N29" i="95"/>
  <c r="L29" i="95"/>
  <c r="B29" i="95"/>
  <c r="Z28" i="95"/>
  <c r="X28" i="95"/>
  <c r="V28" i="95"/>
  <c r="N28" i="95"/>
  <c r="L28" i="95"/>
  <c r="F28" i="95"/>
  <c r="B28" i="95"/>
  <c r="X27" i="95"/>
  <c r="Z27" i="95" s="1"/>
  <c r="V27" i="95"/>
  <c r="N27" i="95"/>
  <c r="L27" i="95"/>
  <c r="J27" i="95"/>
  <c r="B27" i="95"/>
  <c r="X26" i="95"/>
  <c r="Z26" i="95" s="1"/>
  <c r="L26" i="95"/>
  <c r="N26" i="95" s="1"/>
  <c r="B26" i="95"/>
  <c r="Z25" i="95"/>
  <c r="X25" i="95"/>
  <c r="N25" i="95"/>
  <c r="L25" i="95"/>
  <c r="J25" i="95"/>
  <c r="F25" i="95"/>
  <c r="B25" i="95"/>
  <c r="X24" i="95"/>
  <c r="Z24" i="95" s="1"/>
  <c r="L24" i="95"/>
  <c r="N24" i="95" s="1"/>
  <c r="J24" i="95"/>
  <c r="F24" i="95"/>
  <c r="B24" i="95"/>
  <c r="Z23" i="95"/>
  <c r="X23" i="95"/>
  <c r="V23" i="95"/>
  <c r="L23" i="95"/>
  <c r="N23" i="95" s="1"/>
  <c r="J23" i="95"/>
  <c r="B23" i="95"/>
  <c r="T22" i="95"/>
  <c r="P22" i="95"/>
  <c r="X22" i="95" s="1"/>
  <c r="H22" i="95"/>
  <c r="D22" i="95"/>
  <c r="B22" i="95"/>
  <c r="T21" i="95"/>
  <c r="P21" i="95"/>
  <c r="J21" i="95"/>
  <c r="H21" i="95"/>
  <c r="D21" i="95"/>
  <c r="L21" i="95" s="1"/>
  <c r="N21" i="95" s="1"/>
  <c r="J19" i="95"/>
  <c r="F19" i="95"/>
  <c r="Z17" i="95"/>
  <c r="X17" i="95"/>
  <c r="N17" i="95"/>
  <c r="L17" i="95"/>
  <c r="J17" i="95"/>
  <c r="F17" i="95"/>
  <c r="B17" i="95"/>
  <c r="T16" i="95"/>
  <c r="T19" i="95" s="1"/>
  <c r="P16" i="95"/>
  <c r="N16" i="95"/>
  <c r="H16" i="95"/>
  <c r="F16" i="95"/>
  <c r="D16" i="95"/>
  <c r="Z14" i="95"/>
  <c r="P14" i="95"/>
  <c r="N14" i="95"/>
  <c r="D14" i="95"/>
  <c r="L14" i="95" s="1"/>
  <c r="B14" i="95"/>
  <c r="P13" i="95"/>
  <c r="X13" i="95" s="1"/>
  <c r="Z13" i="95" s="1"/>
  <c r="N13" i="95"/>
  <c r="L13" i="95"/>
  <c r="D13" i="95"/>
  <c r="B13" i="95"/>
  <c r="T12" i="95"/>
  <c r="V71" i="95" s="1"/>
  <c r="N12" i="95"/>
  <c r="L12" i="95"/>
  <c r="H12" i="95"/>
  <c r="J84" i="95" s="1"/>
  <c r="D12" i="95"/>
  <c r="F64" i="95" s="1"/>
  <c r="D6" i="95"/>
  <c r="D4" i="95"/>
  <c r="X100" i="94"/>
  <c r="Z100" i="94" s="1"/>
  <c r="L100" i="94"/>
  <c r="N100" i="94" s="1"/>
  <c r="F100" i="94"/>
  <c r="T96" i="94"/>
  <c r="Z96" i="94" s="1"/>
  <c r="P96" i="94"/>
  <c r="X96" i="94" s="1"/>
  <c r="N96" i="94"/>
  <c r="H96" i="94"/>
  <c r="D96" i="94"/>
  <c r="L96" i="94" s="1"/>
  <c r="Z94" i="94"/>
  <c r="X94" i="94"/>
  <c r="N94" i="94"/>
  <c r="L94" i="94"/>
  <c r="B94" i="94"/>
  <c r="Z93" i="94"/>
  <c r="X93" i="94"/>
  <c r="T93" i="94"/>
  <c r="P93" i="94"/>
  <c r="H93" i="94"/>
  <c r="L93" i="94" s="1"/>
  <c r="D93" i="94"/>
  <c r="B93" i="94"/>
  <c r="X92" i="94"/>
  <c r="Z92" i="94" s="1"/>
  <c r="N92" i="94"/>
  <c r="L92" i="94"/>
  <c r="B92" i="94"/>
  <c r="T91" i="94"/>
  <c r="X91" i="94" s="1"/>
  <c r="P91" i="94"/>
  <c r="L91" i="94"/>
  <c r="N91" i="94" s="1"/>
  <c r="J91" i="94"/>
  <c r="H91" i="94"/>
  <c r="D91" i="94"/>
  <c r="B91" i="94"/>
  <c r="Z90" i="94"/>
  <c r="X90" i="94"/>
  <c r="N90" i="94"/>
  <c r="L90" i="94"/>
  <c r="B90" i="94"/>
  <c r="X89" i="94"/>
  <c r="Z89" i="94" s="1"/>
  <c r="L89" i="94"/>
  <c r="N89" i="94" s="1"/>
  <c r="J89" i="94"/>
  <c r="B89" i="94"/>
  <c r="X88" i="94"/>
  <c r="Z88" i="94" s="1"/>
  <c r="T88" i="94"/>
  <c r="P88" i="94"/>
  <c r="H88" i="94"/>
  <c r="D88" i="94"/>
  <c r="L88" i="94" s="1"/>
  <c r="B88" i="94"/>
  <c r="Z87" i="94"/>
  <c r="X87" i="94"/>
  <c r="N87" i="94"/>
  <c r="L87" i="94"/>
  <c r="B87" i="94"/>
  <c r="X86" i="94"/>
  <c r="Z86" i="94" s="1"/>
  <c r="N86" i="94"/>
  <c r="L86" i="94"/>
  <c r="B86" i="94"/>
  <c r="X85" i="94"/>
  <c r="Z85" i="94" s="1"/>
  <c r="N85" i="94"/>
  <c r="L85" i="94"/>
  <c r="B85" i="94"/>
  <c r="Z84" i="94"/>
  <c r="X84" i="94"/>
  <c r="N84" i="94"/>
  <c r="L84" i="94"/>
  <c r="B84" i="94"/>
  <c r="Z83" i="94"/>
  <c r="X83" i="94"/>
  <c r="N83" i="94"/>
  <c r="L83" i="94"/>
  <c r="B83" i="94"/>
  <c r="X82" i="94"/>
  <c r="Z82" i="94" s="1"/>
  <c r="N82" i="94"/>
  <c r="L82" i="94"/>
  <c r="J82" i="94"/>
  <c r="B82" i="94"/>
  <c r="X81" i="94"/>
  <c r="Z81" i="94" s="1"/>
  <c r="N81" i="94"/>
  <c r="L81" i="94"/>
  <c r="J81" i="94"/>
  <c r="B81" i="94"/>
  <c r="X80" i="94"/>
  <c r="Z80" i="94" s="1"/>
  <c r="N80" i="94"/>
  <c r="L80" i="94"/>
  <c r="B80" i="94"/>
  <c r="Z79" i="94"/>
  <c r="X79" i="94"/>
  <c r="N79" i="94"/>
  <c r="L79" i="94"/>
  <c r="B79" i="94"/>
  <c r="T78" i="94"/>
  <c r="P78" i="94"/>
  <c r="X78" i="94" s="1"/>
  <c r="N78" i="94"/>
  <c r="H78" i="94"/>
  <c r="D78" i="94"/>
  <c r="L78" i="94" s="1"/>
  <c r="B78" i="94"/>
  <c r="Z77" i="94"/>
  <c r="X77" i="94"/>
  <c r="V77" i="94"/>
  <c r="N77" i="94"/>
  <c r="L77" i="94"/>
  <c r="B77" i="94"/>
  <c r="Z76" i="94"/>
  <c r="X76" i="94"/>
  <c r="T76" i="94"/>
  <c r="P76" i="94"/>
  <c r="H76" i="94"/>
  <c r="N76" i="94" s="1"/>
  <c r="D76" i="94"/>
  <c r="B76" i="94"/>
  <c r="Z75" i="94"/>
  <c r="X75" i="94"/>
  <c r="N75" i="94"/>
  <c r="L75" i="94"/>
  <c r="B75" i="94"/>
  <c r="X74" i="94"/>
  <c r="Z74" i="94" s="1"/>
  <c r="V74" i="94"/>
  <c r="L74" i="94"/>
  <c r="N74" i="94" s="1"/>
  <c r="B74" i="94"/>
  <c r="Z73" i="94"/>
  <c r="X73" i="94"/>
  <c r="V73" i="94"/>
  <c r="N73" i="94"/>
  <c r="L73" i="94"/>
  <c r="B73" i="94"/>
  <c r="X72" i="94"/>
  <c r="Z72" i="94" s="1"/>
  <c r="L72" i="94"/>
  <c r="N72" i="94" s="1"/>
  <c r="B72" i="94"/>
  <c r="T71" i="94"/>
  <c r="P71" i="94"/>
  <c r="X71" i="94" s="1"/>
  <c r="Z71" i="94" s="1"/>
  <c r="N71" i="94"/>
  <c r="L71" i="94"/>
  <c r="H71" i="94"/>
  <c r="D71" i="94"/>
  <c r="B71" i="94"/>
  <c r="Z70" i="94"/>
  <c r="X70" i="94"/>
  <c r="L70" i="94"/>
  <c r="N70" i="94" s="1"/>
  <c r="B70" i="94"/>
  <c r="Z69" i="94"/>
  <c r="X69" i="94"/>
  <c r="N69" i="94"/>
  <c r="L69" i="94"/>
  <c r="B69" i="94"/>
  <c r="X68" i="94"/>
  <c r="Z68" i="94" s="1"/>
  <c r="N68" i="94"/>
  <c r="L68" i="94"/>
  <c r="B68" i="94"/>
  <c r="Z67" i="94"/>
  <c r="X67" i="94"/>
  <c r="N67" i="94"/>
  <c r="L67" i="94"/>
  <c r="B67" i="94"/>
  <c r="X66" i="94"/>
  <c r="T66" i="94"/>
  <c r="P66" i="94"/>
  <c r="J66" i="94"/>
  <c r="H66" i="94"/>
  <c r="D66" i="94"/>
  <c r="B66" i="94"/>
  <c r="Z65" i="94"/>
  <c r="X65" i="94"/>
  <c r="N65" i="94"/>
  <c r="L65" i="94"/>
  <c r="B65" i="94"/>
  <c r="V64" i="94"/>
  <c r="T64" i="94"/>
  <c r="P64" i="94"/>
  <c r="H64" i="94"/>
  <c r="N64" i="94" s="1"/>
  <c r="D64" i="94"/>
  <c r="L64" i="94" s="1"/>
  <c r="B64" i="94"/>
  <c r="Z63" i="94"/>
  <c r="X63" i="94"/>
  <c r="L63" i="94"/>
  <c r="N63" i="94" s="1"/>
  <c r="J63" i="94"/>
  <c r="B63" i="94"/>
  <c r="T62" i="94"/>
  <c r="Z62" i="94" s="1"/>
  <c r="P62" i="94"/>
  <c r="X62" i="94" s="1"/>
  <c r="H62" i="94"/>
  <c r="D62" i="94"/>
  <c r="L62" i="94" s="1"/>
  <c r="B62" i="94"/>
  <c r="Z61" i="94"/>
  <c r="X61" i="94"/>
  <c r="N61" i="94"/>
  <c r="L61" i="94"/>
  <c r="B61" i="94"/>
  <c r="T60" i="94"/>
  <c r="Z60" i="94" s="1"/>
  <c r="P60" i="94"/>
  <c r="X60" i="94" s="1"/>
  <c r="L60" i="94"/>
  <c r="N60" i="94" s="1"/>
  <c r="H60" i="94"/>
  <c r="D60" i="94"/>
  <c r="B60" i="94"/>
  <c r="X59" i="94"/>
  <c r="Z59" i="94" s="1"/>
  <c r="V59" i="94"/>
  <c r="N59" i="94"/>
  <c r="L59" i="94"/>
  <c r="B59" i="94"/>
  <c r="Z58" i="94"/>
  <c r="X58" i="94"/>
  <c r="T58" i="94"/>
  <c r="P58" i="94"/>
  <c r="J58" i="94"/>
  <c r="H58" i="94"/>
  <c r="D58" i="94"/>
  <c r="B58" i="94"/>
  <c r="Z57" i="94"/>
  <c r="X57" i="94"/>
  <c r="N57" i="94"/>
  <c r="L57" i="94"/>
  <c r="B57" i="94"/>
  <c r="T56" i="94"/>
  <c r="P56" i="94"/>
  <c r="H56" i="94"/>
  <c r="N56" i="94" s="1"/>
  <c r="D56" i="94"/>
  <c r="L56" i="94" s="1"/>
  <c r="B56" i="94"/>
  <c r="Z55" i="94"/>
  <c r="X55" i="94"/>
  <c r="N55" i="94"/>
  <c r="L55" i="94"/>
  <c r="J55" i="94"/>
  <c r="B55" i="94"/>
  <c r="T54" i="94"/>
  <c r="Z54" i="94" s="1"/>
  <c r="P54" i="94"/>
  <c r="X54" i="94" s="1"/>
  <c r="H54" i="94"/>
  <c r="N54" i="94" s="1"/>
  <c r="D54" i="94"/>
  <c r="L54" i="94" s="1"/>
  <c r="B54" i="94"/>
  <c r="Z53" i="94"/>
  <c r="X53" i="94"/>
  <c r="N53" i="94"/>
  <c r="L53" i="94"/>
  <c r="B53" i="94"/>
  <c r="T52" i="94"/>
  <c r="P52" i="94"/>
  <c r="X52" i="94" s="1"/>
  <c r="N52" i="94"/>
  <c r="L52" i="94"/>
  <c r="H52" i="94"/>
  <c r="D52" i="94"/>
  <c r="B52" i="94"/>
  <c r="X51" i="94"/>
  <c r="Z51" i="94" s="1"/>
  <c r="V51" i="94"/>
  <c r="N51" i="94"/>
  <c r="L51" i="94"/>
  <c r="B51" i="94"/>
  <c r="X50" i="94"/>
  <c r="Z50" i="94" s="1"/>
  <c r="T50" i="94"/>
  <c r="P50" i="94"/>
  <c r="J50" i="94"/>
  <c r="H50" i="94"/>
  <c r="D50" i="94"/>
  <c r="B50" i="94"/>
  <c r="Z49" i="94"/>
  <c r="X49" i="94"/>
  <c r="N49" i="94"/>
  <c r="L49" i="94"/>
  <c r="B49" i="94"/>
  <c r="V48" i="94"/>
  <c r="T48" i="94"/>
  <c r="P48" i="94"/>
  <c r="H48" i="94"/>
  <c r="N48" i="94" s="1"/>
  <c r="D48" i="94"/>
  <c r="L48" i="94" s="1"/>
  <c r="B48" i="94"/>
  <c r="Z47" i="94"/>
  <c r="X47" i="94"/>
  <c r="V47" i="94"/>
  <c r="N47" i="94"/>
  <c r="L47" i="94"/>
  <c r="J47" i="94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V44" i="94"/>
  <c r="N44" i="94"/>
  <c r="L44" i="94"/>
  <c r="B44" i="94"/>
  <c r="Z43" i="94"/>
  <c r="X43" i="94"/>
  <c r="V43" i="94"/>
  <c r="N43" i="94"/>
  <c r="L43" i="94"/>
  <c r="J43" i="94"/>
  <c r="B43" i="94"/>
  <c r="X42" i="94"/>
  <c r="Z42" i="94" s="1"/>
  <c r="N42" i="94"/>
  <c r="L42" i="94"/>
  <c r="B42" i="94"/>
  <c r="Z41" i="94"/>
  <c r="X41" i="94"/>
  <c r="N41" i="94"/>
  <c r="L41" i="94"/>
  <c r="F41" i="94"/>
  <c r="B41" i="94"/>
  <c r="Z40" i="94"/>
  <c r="X40" i="94"/>
  <c r="N40" i="94"/>
  <c r="L40" i="94"/>
  <c r="J40" i="94"/>
  <c r="B40" i="94"/>
  <c r="Z39" i="94"/>
  <c r="X39" i="94"/>
  <c r="V39" i="94"/>
  <c r="L39" i="94"/>
  <c r="N39" i="94" s="1"/>
  <c r="J39" i="94"/>
  <c r="B39" i="94"/>
  <c r="Z38" i="94"/>
  <c r="X38" i="94"/>
  <c r="N38" i="94"/>
  <c r="L38" i="94"/>
  <c r="B38" i="94"/>
  <c r="T37" i="94"/>
  <c r="P37" i="94"/>
  <c r="J37" i="94"/>
  <c r="H37" i="94"/>
  <c r="D37" i="94"/>
  <c r="L37" i="94" s="1"/>
  <c r="N37" i="94" s="1"/>
  <c r="B37" i="94"/>
  <c r="X36" i="94"/>
  <c r="Z36" i="94" s="1"/>
  <c r="L36" i="94"/>
  <c r="N36" i="94" s="1"/>
  <c r="J36" i="94"/>
  <c r="B36" i="94"/>
  <c r="Z35" i="94"/>
  <c r="X35" i="94"/>
  <c r="V35" i="94"/>
  <c r="L35" i="94"/>
  <c r="N35" i="94" s="1"/>
  <c r="J35" i="94"/>
  <c r="B35" i="94"/>
  <c r="X34" i="94"/>
  <c r="Z34" i="94" s="1"/>
  <c r="N34" i="94"/>
  <c r="L34" i="94"/>
  <c r="B34" i="94"/>
  <c r="Z33" i="94"/>
  <c r="X33" i="94"/>
  <c r="N33" i="94"/>
  <c r="L33" i="94"/>
  <c r="B33" i="94"/>
  <c r="Z32" i="94"/>
  <c r="X32" i="94"/>
  <c r="V32" i="94"/>
  <c r="N32" i="94"/>
  <c r="L32" i="94"/>
  <c r="B32" i="94"/>
  <c r="X31" i="94"/>
  <c r="Z31" i="94" s="1"/>
  <c r="V31" i="94"/>
  <c r="N31" i="94"/>
  <c r="L31" i="94"/>
  <c r="J31" i="94"/>
  <c r="B31" i="94"/>
  <c r="X30" i="94"/>
  <c r="Z30" i="94" s="1"/>
  <c r="L30" i="94"/>
  <c r="N30" i="94" s="1"/>
  <c r="B30" i="94"/>
  <c r="Z29" i="94"/>
  <c r="X29" i="94"/>
  <c r="N29" i="94"/>
  <c r="L29" i="94"/>
  <c r="B29" i="94"/>
  <c r="X28" i="94"/>
  <c r="Z28" i="94" s="1"/>
  <c r="L28" i="94"/>
  <c r="N28" i="94" s="1"/>
  <c r="J28" i="94"/>
  <c r="B28" i="94"/>
  <c r="Z27" i="94"/>
  <c r="X27" i="94"/>
  <c r="V27" i="94"/>
  <c r="L27" i="94"/>
  <c r="N27" i="94" s="1"/>
  <c r="J27" i="94"/>
  <c r="B27" i="94"/>
  <c r="T26" i="94"/>
  <c r="P26" i="94"/>
  <c r="X26" i="94" s="1"/>
  <c r="H26" i="94"/>
  <c r="D26" i="94"/>
  <c r="L26" i="94" s="1"/>
  <c r="B26" i="94"/>
  <c r="T25" i="94"/>
  <c r="Z25" i="94" s="1"/>
  <c r="P25" i="94"/>
  <c r="X25" i="94" s="1"/>
  <c r="J25" i="94"/>
  <c r="H25" i="94"/>
  <c r="D25" i="94"/>
  <c r="L25" i="94" s="1"/>
  <c r="N25" i="94" s="1"/>
  <c r="T23" i="94"/>
  <c r="J23" i="94"/>
  <c r="Z21" i="94"/>
  <c r="X21" i="94"/>
  <c r="N21" i="94"/>
  <c r="L21" i="94"/>
  <c r="J21" i="94"/>
  <c r="F21" i="94"/>
  <c r="B21" i="94"/>
  <c r="Z20" i="94"/>
  <c r="X20" i="94"/>
  <c r="N20" i="94"/>
  <c r="L20" i="94"/>
  <c r="J20" i="94"/>
  <c r="B20" i="94"/>
  <c r="X19" i="94"/>
  <c r="Z19" i="94" s="1"/>
  <c r="V19" i="94"/>
  <c r="N19" i="94"/>
  <c r="L19" i="94"/>
  <c r="J19" i="94"/>
  <c r="B19" i="94"/>
  <c r="T18" i="94"/>
  <c r="Z18" i="94" s="1"/>
  <c r="P18" i="94"/>
  <c r="X18" i="94" s="1"/>
  <c r="H18" i="94"/>
  <c r="N18" i="94" s="1"/>
  <c r="D18" i="94"/>
  <c r="L18" i="94" s="1"/>
  <c r="Z16" i="94"/>
  <c r="X16" i="94"/>
  <c r="P16" i="94"/>
  <c r="N16" i="94"/>
  <c r="D16" i="94"/>
  <c r="D12" i="94" s="1"/>
  <c r="B16" i="94"/>
  <c r="Z15" i="94"/>
  <c r="P15" i="94"/>
  <c r="X15" i="94" s="1"/>
  <c r="N15" i="94"/>
  <c r="D15" i="94"/>
  <c r="L15" i="94" s="1"/>
  <c r="B15" i="94"/>
  <c r="P14" i="94"/>
  <c r="N14" i="94"/>
  <c r="L14" i="94"/>
  <c r="D14" i="94"/>
  <c r="B14" i="94"/>
  <c r="Z13" i="94"/>
  <c r="P13" i="94"/>
  <c r="X13" i="94" s="1"/>
  <c r="N13" i="94"/>
  <c r="L13" i="94"/>
  <c r="D13" i="94"/>
  <c r="B13" i="94"/>
  <c r="T12" i="94"/>
  <c r="V94" i="94" s="1"/>
  <c r="N12" i="94"/>
  <c r="H12" i="94"/>
  <c r="J71" i="94" s="1"/>
  <c r="D6" i="94"/>
  <c r="D4" i="94"/>
  <c r="V31" i="93"/>
  <c r="F31" i="93"/>
  <c r="Z26" i="93"/>
  <c r="X26" i="93"/>
  <c r="V26" i="93"/>
  <c r="R26" i="93"/>
  <c r="N26" i="93"/>
  <c r="L26" i="93"/>
  <c r="F26" i="93"/>
  <c r="V24" i="93"/>
  <c r="F24" i="93"/>
  <c r="T22" i="93"/>
  <c r="Z22" i="93" s="1"/>
  <c r="P22" i="93"/>
  <c r="X22" i="93" s="1"/>
  <c r="N22" i="93"/>
  <c r="L22" i="93"/>
  <c r="H22" i="93"/>
  <c r="D22" i="93"/>
  <c r="Z20" i="93"/>
  <c r="X20" i="93"/>
  <c r="V20" i="93"/>
  <c r="R20" i="93"/>
  <c r="N20" i="93"/>
  <c r="L20" i="93"/>
  <c r="F20" i="93"/>
  <c r="B20" i="93"/>
  <c r="Z19" i="93"/>
  <c r="X19" i="93"/>
  <c r="V19" i="93"/>
  <c r="T19" i="93"/>
  <c r="P19" i="93"/>
  <c r="N19" i="93"/>
  <c r="H19" i="93"/>
  <c r="F19" i="93"/>
  <c r="D19" i="93"/>
  <c r="L19" i="93" s="1"/>
  <c r="B19" i="93"/>
  <c r="T18" i="93"/>
  <c r="Z18" i="93" s="1"/>
  <c r="R18" i="93"/>
  <c r="P18" i="93"/>
  <c r="X18" i="93" s="1"/>
  <c r="H18" i="93"/>
  <c r="N18" i="93" s="1"/>
  <c r="D18" i="93"/>
  <c r="L18" i="93" s="1"/>
  <c r="J16" i="93"/>
  <c r="H16" i="93"/>
  <c r="T14" i="93"/>
  <c r="Z14" i="93" s="1"/>
  <c r="R14" i="93"/>
  <c r="P14" i="93"/>
  <c r="H14" i="93"/>
  <c r="N14" i="93" s="1"/>
  <c r="D14" i="93"/>
  <c r="L14" i="93" s="1"/>
  <c r="Z12" i="93"/>
  <c r="X12" i="93"/>
  <c r="T12" i="93"/>
  <c r="V16" i="93" s="1"/>
  <c r="P12" i="93"/>
  <c r="R31" i="93" s="1"/>
  <c r="L12" i="93"/>
  <c r="H12" i="93"/>
  <c r="J28" i="93" s="1"/>
  <c r="D12" i="93"/>
  <c r="F16" i="93" s="1"/>
  <c r="D6" i="93"/>
  <c r="D4" i="93"/>
  <c r="X93" i="92"/>
  <c r="Z93" i="92" s="1"/>
  <c r="N93" i="92"/>
  <c r="L93" i="92"/>
  <c r="T89" i="92"/>
  <c r="Z89" i="92" s="1"/>
  <c r="P89" i="92"/>
  <c r="L89" i="92"/>
  <c r="H89" i="92"/>
  <c r="N89" i="92" s="1"/>
  <c r="D89" i="92"/>
  <c r="X87" i="92"/>
  <c r="Z87" i="92" s="1"/>
  <c r="L87" i="92"/>
  <c r="N87" i="92" s="1"/>
  <c r="B87" i="92"/>
  <c r="Z86" i="92"/>
  <c r="X86" i="92"/>
  <c r="T86" i="92"/>
  <c r="P86" i="92"/>
  <c r="L86" i="92"/>
  <c r="N86" i="92" s="1"/>
  <c r="J86" i="92"/>
  <c r="H86" i="92"/>
  <c r="D86" i="92"/>
  <c r="B86" i="92"/>
  <c r="X85" i="92"/>
  <c r="Z85" i="92" s="1"/>
  <c r="V85" i="92"/>
  <c r="N85" i="92"/>
  <c r="L85" i="92"/>
  <c r="B85" i="92"/>
  <c r="X84" i="92"/>
  <c r="Z84" i="92" s="1"/>
  <c r="V84" i="92"/>
  <c r="T84" i="92"/>
  <c r="P84" i="92"/>
  <c r="H84" i="92"/>
  <c r="D84" i="92"/>
  <c r="L84" i="92" s="1"/>
  <c r="N84" i="92" s="1"/>
  <c r="B84" i="92"/>
  <c r="X83" i="92"/>
  <c r="Z83" i="92" s="1"/>
  <c r="N83" i="92"/>
  <c r="L83" i="92"/>
  <c r="B83" i="92"/>
  <c r="Z82" i="92"/>
  <c r="X82" i="92"/>
  <c r="N82" i="92"/>
  <c r="L82" i="92"/>
  <c r="B82" i="92"/>
  <c r="X81" i="92"/>
  <c r="Z81" i="92" s="1"/>
  <c r="V81" i="92"/>
  <c r="N81" i="92"/>
  <c r="L81" i="92"/>
  <c r="B81" i="92"/>
  <c r="X80" i="92"/>
  <c r="Z80" i="92" s="1"/>
  <c r="V80" i="92"/>
  <c r="L80" i="92"/>
  <c r="N80" i="92" s="1"/>
  <c r="J80" i="92"/>
  <c r="B80" i="92"/>
  <c r="X79" i="92"/>
  <c r="Z79" i="92" s="1"/>
  <c r="L79" i="92"/>
  <c r="N79" i="92" s="1"/>
  <c r="B79" i="92"/>
  <c r="Z78" i="92"/>
  <c r="X78" i="92"/>
  <c r="N78" i="92"/>
  <c r="L78" i="92"/>
  <c r="B78" i="92"/>
  <c r="X77" i="92"/>
  <c r="Z77" i="92" s="1"/>
  <c r="L77" i="92"/>
  <c r="N77" i="92" s="1"/>
  <c r="J77" i="92"/>
  <c r="B77" i="92"/>
  <c r="X76" i="92"/>
  <c r="Z76" i="92" s="1"/>
  <c r="V76" i="92"/>
  <c r="L76" i="92"/>
  <c r="N76" i="92" s="1"/>
  <c r="J76" i="92"/>
  <c r="B76" i="92"/>
  <c r="T75" i="92"/>
  <c r="P75" i="92"/>
  <c r="X75" i="92" s="1"/>
  <c r="Z75" i="92" s="1"/>
  <c r="H75" i="92"/>
  <c r="D75" i="92"/>
  <c r="B75" i="92"/>
  <c r="Z74" i="92"/>
  <c r="X74" i="92"/>
  <c r="N74" i="92"/>
  <c r="L74" i="92"/>
  <c r="B74" i="92"/>
  <c r="Z73" i="92"/>
  <c r="X73" i="92"/>
  <c r="L73" i="92"/>
  <c r="N73" i="92" s="1"/>
  <c r="J73" i="92"/>
  <c r="B73" i="92"/>
  <c r="Z72" i="92"/>
  <c r="X72" i="92"/>
  <c r="V72" i="92"/>
  <c r="L72" i="92"/>
  <c r="N72" i="92" s="1"/>
  <c r="J72" i="92"/>
  <c r="B72" i="92"/>
  <c r="X71" i="92"/>
  <c r="Z71" i="92" s="1"/>
  <c r="L71" i="92"/>
  <c r="N71" i="92" s="1"/>
  <c r="B71" i="92"/>
  <c r="T70" i="92"/>
  <c r="P70" i="92"/>
  <c r="J70" i="92"/>
  <c r="H70" i="92"/>
  <c r="D70" i="92"/>
  <c r="L70" i="92" s="1"/>
  <c r="N70" i="92" s="1"/>
  <c r="B70" i="92"/>
  <c r="Z69" i="92"/>
  <c r="X69" i="92"/>
  <c r="L69" i="92"/>
  <c r="N69" i="92" s="1"/>
  <c r="J69" i="92"/>
  <c r="B69" i="92"/>
  <c r="X68" i="92"/>
  <c r="Z68" i="92" s="1"/>
  <c r="V68" i="92"/>
  <c r="N68" i="92"/>
  <c r="L68" i="92"/>
  <c r="J68" i="92"/>
  <c r="B68" i="92"/>
  <c r="X67" i="92"/>
  <c r="Z67" i="92" s="1"/>
  <c r="N67" i="92"/>
  <c r="L67" i="92"/>
  <c r="B67" i="92"/>
  <c r="T66" i="92"/>
  <c r="P66" i="92"/>
  <c r="J66" i="92"/>
  <c r="H66" i="92"/>
  <c r="N66" i="92" s="1"/>
  <c r="D66" i="92"/>
  <c r="L66" i="92" s="1"/>
  <c r="B66" i="92"/>
  <c r="Z65" i="92"/>
  <c r="X65" i="92"/>
  <c r="N65" i="92"/>
  <c r="L65" i="92"/>
  <c r="J65" i="92"/>
  <c r="B65" i="92"/>
  <c r="V64" i="92"/>
  <c r="T64" i="92"/>
  <c r="Z64" i="92" s="1"/>
  <c r="P64" i="92"/>
  <c r="X64" i="92" s="1"/>
  <c r="N64" i="92"/>
  <c r="H64" i="92"/>
  <c r="L64" i="92" s="1"/>
  <c r="D64" i="92"/>
  <c r="B64" i="92"/>
  <c r="X63" i="92"/>
  <c r="Z63" i="92" s="1"/>
  <c r="L63" i="92"/>
  <c r="N63" i="92" s="1"/>
  <c r="B63" i="92"/>
  <c r="Z62" i="92"/>
  <c r="T62" i="92"/>
  <c r="P62" i="92"/>
  <c r="X62" i="92" s="1"/>
  <c r="L62" i="92"/>
  <c r="J62" i="92"/>
  <c r="H62" i="92"/>
  <c r="D62" i="92"/>
  <c r="B62" i="92"/>
  <c r="Z61" i="92"/>
  <c r="X61" i="92"/>
  <c r="V61" i="92"/>
  <c r="N61" i="92"/>
  <c r="L61" i="92"/>
  <c r="B61" i="92"/>
  <c r="X60" i="92"/>
  <c r="V60" i="92"/>
  <c r="T60" i="92"/>
  <c r="P60" i="92"/>
  <c r="N60" i="92"/>
  <c r="H60" i="92"/>
  <c r="L60" i="92" s="1"/>
  <c r="D60" i="92"/>
  <c r="B60" i="92"/>
  <c r="X59" i="92"/>
  <c r="Z59" i="92" s="1"/>
  <c r="L59" i="92"/>
  <c r="N59" i="92" s="1"/>
  <c r="B59" i="92"/>
  <c r="T58" i="92"/>
  <c r="Z58" i="92" s="1"/>
  <c r="P58" i="92"/>
  <c r="X58" i="92" s="1"/>
  <c r="J58" i="92"/>
  <c r="H58" i="92"/>
  <c r="D58" i="92"/>
  <c r="L58" i="92" s="1"/>
  <c r="B58" i="92"/>
  <c r="Z57" i="92"/>
  <c r="X57" i="92"/>
  <c r="N57" i="92"/>
  <c r="L57" i="92"/>
  <c r="J57" i="92"/>
  <c r="B57" i="92"/>
  <c r="V56" i="92"/>
  <c r="T56" i="92"/>
  <c r="P56" i="92"/>
  <c r="X56" i="92" s="1"/>
  <c r="N56" i="92"/>
  <c r="H56" i="92"/>
  <c r="D56" i="92"/>
  <c r="L56" i="92" s="1"/>
  <c r="B56" i="92"/>
  <c r="Z55" i="92"/>
  <c r="X55" i="92"/>
  <c r="N55" i="92"/>
  <c r="L55" i="92"/>
  <c r="B55" i="92"/>
  <c r="Z54" i="92"/>
  <c r="T54" i="92"/>
  <c r="P54" i="92"/>
  <c r="X54" i="92" s="1"/>
  <c r="L54" i="92"/>
  <c r="J54" i="92"/>
  <c r="H54" i="92"/>
  <c r="N54" i="92" s="1"/>
  <c r="D54" i="92"/>
  <c r="B54" i="92"/>
  <c r="Z53" i="92"/>
  <c r="X53" i="92"/>
  <c r="V53" i="92"/>
  <c r="N53" i="92"/>
  <c r="L53" i="92"/>
  <c r="B53" i="92"/>
  <c r="X52" i="92"/>
  <c r="V52" i="92"/>
  <c r="T52" i="92"/>
  <c r="P52" i="92"/>
  <c r="H52" i="92"/>
  <c r="D52" i="92"/>
  <c r="B52" i="92"/>
  <c r="X51" i="92"/>
  <c r="Z51" i="92" s="1"/>
  <c r="L51" i="92"/>
  <c r="N51" i="92" s="1"/>
  <c r="B51" i="92"/>
  <c r="Z50" i="92"/>
  <c r="T50" i="92"/>
  <c r="X50" i="92" s="1"/>
  <c r="P50" i="92"/>
  <c r="J50" i="92"/>
  <c r="H50" i="92"/>
  <c r="D50" i="92"/>
  <c r="L50" i="92" s="1"/>
  <c r="B50" i="92"/>
  <c r="Z49" i="92"/>
  <c r="X49" i="92"/>
  <c r="N49" i="92"/>
  <c r="L49" i="92"/>
  <c r="J49" i="92"/>
  <c r="B49" i="92"/>
  <c r="V48" i="92"/>
  <c r="T48" i="92"/>
  <c r="P48" i="92"/>
  <c r="X48" i="92" s="1"/>
  <c r="N48" i="92"/>
  <c r="H48" i="92"/>
  <c r="D48" i="92"/>
  <c r="L48" i="92" s="1"/>
  <c r="B48" i="92"/>
  <c r="Z47" i="92"/>
  <c r="X47" i="92"/>
  <c r="N47" i="92"/>
  <c r="L47" i="92"/>
  <c r="B47" i="92"/>
  <c r="Z46" i="92"/>
  <c r="X46" i="92"/>
  <c r="N46" i="92"/>
  <c r="L46" i="92"/>
  <c r="B46" i="92"/>
  <c r="Z45" i="92"/>
  <c r="X45" i="92"/>
  <c r="N45" i="92"/>
  <c r="L45" i="92"/>
  <c r="J45" i="92"/>
  <c r="B45" i="92"/>
  <c r="Z44" i="92"/>
  <c r="X44" i="92"/>
  <c r="V44" i="92"/>
  <c r="N44" i="92"/>
  <c r="L44" i="92"/>
  <c r="J44" i="92"/>
  <c r="B44" i="92"/>
  <c r="Z43" i="92"/>
  <c r="X43" i="92"/>
  <c r="N43" i="92"/>
  <c r="L43" i="92"/>
  <c r="B43" i="92"/>
  <c r="Z42" i="92"/>
  <c r="X42" i="92"/>
  <c r="N42" i="92"/>
  <c r="L42" i="92"/>
  <c r="B42" i="92"/>
  <c r="Z41" i="92"/>
  <c r="X41" i="92"/>
  <c r="V41" i="92"/>
  <c r="N41" i="92"/>
  <c r="L41" i="92"/>
  <c r="B41" i="92"/>
  <c r="Z40" i="92"/>
  <c r="X40" i="92"/>
  <c r="V40" i="92"/>
  <c r="N40" i="92"/>
  <c r="L40" i="92"/>
  <c r="J40" i="92"/>
  <c r="B40" i="92"/>
  <c r="Z39" i="92"/>
  <c r="X39" i="92"/>
  <c r="L39" i="92"/>
  <c r="N39" i="92" s="1"/>
  <c r="B39" i="92"/>
  <c r="Z38" i="92"/>
  <c r="X38" i="92"/>
  <c r="N38" i="92"/>
  <c r="L38" i="92"/>
  <c r="B38" i="92"/>
  <c r="T37" i="92"/>
  <c r="P37" i="92"/>
  <c r="X37" i="92" s="1"/>
  <c r="H37" i="92"/>
  <c r="D37" i="92"/>
  <c r="L37" i="92" s="1"/>
  <c r="N37" i="92" s="1"/>
  <c r="B37" i="92"/>
  <c r="X36" i="92"/>
  <c r="Z36" i="92" s="1"/>
  <c r="V36" i="92"/>
  <c r="L36" i="92"/>
  <c r="N36" i="92" s="1"/>
  <c r="J36" i="92"/>
  <c r="B36" i="92"/>
  <c r="X35" i="92"/>
  <c r="Z35" i="92" s="1"/>
  <c r="L35" i="92"/>
  <c r="N35" i="92" s="1"/>
  <c r="B35" i="92"/>
  <c r="Z34" i="92"/>
  <c r="X34" i="92"/>
  <c r="N34" i="92"/>
  <c r="L34" i="92"/>
  <c r="B34" i="92"/>
  <c r="Z33" i="92"/>
  <c r="X33" i="92"/>
  <c r="N33" i="92"/>
  <c r="L33" i="92"/>
  <c r="J33" i="92"/>
  <c r="B33" i="92"/>
  <c r="Z32" i="92"/>
  <c r="X32" i="92"/>
  <c r="V32" i="92"/>
  <c r="N32" i="92"/>
  <c r="L32" i="92"/>
  <c r="J32" i="92"/>
  <c r="B32" i="92"/>
  <c r="X31" i="92"/>
  <c r="Z31" i="92" s="1"/>
  <c r="N31" i="92"/>
  <c r="L31" i="92"/>
  <c r="B31" i="92"/>
  <c r="Z30" i="92"/>
  <c r="X30" i="92"/>
  <c r="N30" i="92"/>
  <c r="L30" i="92"/>
  <c r="B30" i="92"/>
  <c r="Z29" i="92"/>
  <c r="X29" i="92"/>
  <c r="V29" i="92"/>
  <c r="N29" i="92"/>
  <c r="L29" i="92"/>
  <c r="B29" i="92"/>
  <c r="X28" i="92"/>
  <c r="Z28" i="92" s="1"/>
  <c r="V28" i="92"/>
  <c r="L28" i="92"/>
  <c r="N28" i="92" s="1"/>
  <c r="J28" i="92"/>
  <c r="B28" i="92"/>
  <c r="X27" i="92"/>
  <c r="Z27" i="92" s="1"/>
  <c r="L27" i="92"/>
  <c r="N27" i="92" s="1"/>
  <c r="B27" i="92"/>
  <c r="Z26" i="92"/>
  <c r="T26" i="92"/>
  <c r="P26" i="92"/>
  <c r="X26" i="92" s="1"/>
  <c r="L26" i="92"/>
  <c r="J26" i="92"/>
  <c r="H26" i="92"/>
  <c r="N26" i="92" s="1"/>
  <c r="D26" i="92"/>
  <c r="B26" i="92"/>
  <c r="T25" i="92"/>
  <c r="P25" i="92"/>
  <c r="H25" i="92"/>
  <c r="D25" i="92"/>
  <c r="L25" i="92" s="1"/>
  <c r="T23" i="92"/>
  <c r="Z21" i="92"/>
  <c r="X21" i="92"/>
  <c r="V21" i="92"/>
  <c r="N21" i="92"/>
  <c r="L21" i="92"/>
  <c r="B21" i="92"/>
  <c r="Z20" i="92"/>
  <c r="X20" i="92"/>
  <c r="V20" i="92"/>
  <c r="N20" i="92"/>
  <c r="L20" i="92"/>
  <c r="J20" i="92"/>
  <c r="B20" i="92"/>
  <c r="X19" i="92"/>
  <c r="Z19" i="92" s="1"/>
  <c r="N19" i="92"/>
  <c r="L19" i="92"/>
  <c r="B19" i="92"/>
  <c r="Z18" i="92"/>
  <c r="T18" i="92"/>
  <c r="P18" i="92"/>
  <c r="X18" i="92" s="1"/>
  <c r="N18" i="92"/>
  <c r="L18" i="92"/>
  <c r="J18" i="92"/>
  <c r="H18" i="92"/>
  <c r="D18" i="92"/>
  <c r="Z16" i="92"/>
  <c r="P16" i="92"/>
  <c r="X16" i="92" s="1"/>
  <c r="N16" i="92"/>
  <c r="L16" i="92"/>
  <c r="D16" i="92"/>
  <c r="B16" i="92"/>
  <c r="Z15" i="92"/>
  <c r="X15" i="92"/>
  <c r="P15" i="92"/>
  <c r="N15" i="92"/>
  <c r="D15" i="92"/>
  <c r="L15" i="92" s="1"/>
  <c r="B15" i="92"/>
  <c r="P14" i="92"/>
  <c r="N14" i="92"/>
  <c r="D14" i="92"/>
  <c r="L14" i="92" s="1"/>
  <c r="B14" i="92"/>
  <c r="Z13" i="92"/>
  <c r="X13" i="92"/>
  <c r="P13" i="92"/>
  <c r="N13" i="92"/>
  <c r="D13" i="92"/>
  <c r="L13" i="92" s="1"/>
  <c r="B13" i="92"/>
  <c r="T12" i="92"/>
  <c r="V89" i="92" s="1"/>
  <c r="N12" i="92"/>
  <c r="H12" i="92"/>
  <c r="D6" i="92"/>
  <c r="D4" i="92"/>
  <c r="F65" i="91"/>
  <c r="Z60" i="91"/>
  <c r="X60" i="91"/>
  <c r="N60" i="91"/>
  <c r="L60" i="91"/>
  <c r="F58" i="91"/>
  <c r="X56" i="91"/>
  <c r="T56" i="91"/>
  <c r="Z56" i="91" s="1"/>
  <c r="P56" i="91"/>
  <c r="N56" i="91"/>
  <c r="H56" i="91"/>
  <c r="D56" i="91"/>
  <c r="L56" i="91" s="1"/>
  <c r="X54" i="91"/>
  <c r="Z54" i="91" s="1"/>
  <c r="L54" i="91"/>
  <c r="N54" i="91" s="1"/>
  <c r="J54" i="91"/>
  <c r="B54" i="91"/>
  <c r="T53" i="91"/>
  <c r="R53" i="91"/>
  <c r="P53" i="91"/>
  <c r="X53" i="91" s="1"/>
  <c r="H53" i="91"/>
  <c r="D53" i="91"/>
  <c r="L53" i="91" s="1"/>
  <c r="B53" i="91"/>
  <c r="Z52" i="91"/>
  <c r="X52" i="91"/>
  <c r="N52" i="91"/>
  <c r="L52" i="91"/>
  <c r="F52" i="91"/>
  <c r="B52" i="91"/>
  <c r="T51" i="91"/>
  <c r="P51" i="91"/>
  <c r="X51" i="91" s="1"/>
  <c r="N51" i="91"/>
  <c r="H51" i="91"/>
  <c r="D51" i="91"/>
  <c r="L51" i="91" s="1"/>
  <c r="B51" i="91"/>
  <c r="X50" i="91"/>
  <c r="Z50" i="91" s="1"/>
  <c r="N50" i="91"/>
  <c r="L50" i="91"/>
  <c r="B50" i="91"/>
  <c r="Z49" i="91"/>
  <c r="X49" i="91"/>
  <c r="L49" i="91"/>
  <c r="N49" i="91" s="1"/>
  <c r="B49" i="91"/>
  <c r="Z48" i="91"/>
  <c r="X48" i="91"/>
  <c r="T48" i="91"/>
  <c r="R48" i="91"/>
  <c r="P48" i="91"/>
  <c r="L48" i="91"/>
  <c r="H48" i="91"/>
  <c r="D48" i="91"/>
  <c r="B48" i="91"/>
  <c r="X47" i="91"/>
  <c r="Z47" i="91" s="1"/>
  <c r="R47" i="91"/>
  <c r="N47" i="91"/>
  <c r="L47" i="91"/>
  <c r="B47" i="91"/>
  <c r="X46" i="91"/>
  <c r="Z46" i="91" s="1"/>
  <c r="N46" i="91"/>
  <c r="L46" i="91"/>
  <c r="B46" i="91"/>
  <c r="X45" i="91"/>
  <c r="Z45" i="91" s="1"/>
  <c r="L45" i="91"/>
  <c r="N45" i="91" s="1"/>
  <c r="B45" i="91"/>
  <c r="Z44" i="91"/>
  <c r="T44" i="91"/>
  <c r="R44" i="91"/>
  <c r="P44" i="91"/>
  <c r="X44" i="91" s="1"/>
  <c r="L44" i="91"/>
  <c r="J44" i="91"/>
  <c r="H44" i="91"/>
  <c r="N44" i="91" s="1"/>
  <c r="D44" i="91"/>
  <c r="B44" i="91"/>
  <c r="X43" i="91"/>
  <c r="Z43" i="91" s="1"/>
  <c r="N43" i="91"/>
  <c r="L43" i="91"/>
  <c r="F43" i="91"/>
  <c r="B43" i="91"/>
  <c r="X42" i="91"/>
  <c r="T42" i="91"/>
  <c r="Z42" i="91" s="1"/>
  <c r="P42" i="91"/>
  <c r="H42" i="91"/>
  <c r="D42" i="91"/>
  <c r="B42" i="91"/>
  <c r="Z41" i="91"/>
  <c r="X41" i="91"/>
  <c r="N41" i="91"/>
  <c r="L41" i="91"/>
  <c r="B41" i="91"/>
  <c r="T40" i="91"/>
  <c r="Z40" i="91" s="1"/>
  <c r="R40" i="91"/>
  <c r="P40" i="91"/>
  <c r="N40" i="91"/>
  <c r="H40" i="91"/>
  <c r="D40" i="91"/>
  <c r="L40" i="91" s="1"/>
  <c r="B40" i="91"/>
  <c r="Z39" i="91"/>
  <c r="X39" i="91"/>
  <c r="R39" i="91"/>
  <c r="N39" i="91"/>
  <c r="L39" i="91"/>
  <c r="J39" i="91"/>
  <c r="F39" i="91"/>
  <c r="B39" i="91"/>
  <c r="Z38" i="91"/>
  <c r="X38" i="91"/>
  <c r="N38" i="91"/>
  <c r="L38" i="91"/>
  <c r="J38" i="91"/>
  <c r="B38" i="91"/>
  <c r="Z37" i="91"/>
  <c r="X37" i="91"/>
  <c r="N37" i="91"/>
  <c r="L37" i="91"/>
  <c r="B37" i="91"/>
  <c r="Z36" i="91"/>
  <c r="X36" i="91"/>
  <c r="R36" i="91"/>
  <c r="N36" i="91"/>
  <c r="L36" i="91"/>
  <c r="F36" i="91"/>
  <c r="B36" i="91"/>
  <c r="Z35" i="91"/>
  <c r="X35" i="91"/>
  <c r="R35" i="91"/>
  <c r="N35" i="91"/>
  <c r="L35" i="91"/>
  <c r="F35" i="91"/>
  <c r="B35" i="91"/>
  <c r="Z34" i="91"/>
  <c r="X34" i="91"/>
  <c r="R34" i="91"/>
  <c r="N34" i="91"/>
  <c r="L34" i="91"/>
  <c r="B34" i="91"/>
  <c r="Z33" i="91"/>
  <c r="X33" i="91"/>
  <c r="R33" i="91"/>
  <c r="N33" i="91"/>
  <c r="L33" i="91"/>
  <c r="B33" i="91"/>
  <c r="Z32" i="91"/>
  <c r="X32" i="91"/>
  <c r="R32" i="91"/>
  <c r="N32" i="91"/>
  <c r="L32" i="91"/>
  <c r="F32" i="91"/>
  <c r="B32" i="91"/>
  <c r="X31" i="91"/>
  <c r="Z31" i="91" s="1"/>
  <c r="R31" i="91"/>
  <c r="L31" i="91"/>
  <c r="N31" i="91" s="1"/>
  <c r="J31" i="91"/>
  <c r="F31" i="91"/>
  <c r="B31" i="91"/>
  <c r="Z30" i="91"/>
  <c r="X30" i="91"/>
  <c r="N30" i="91"/>
  <c r="L30" i="91"/>
  <c r="J30" i="91"/>
  <c r="B30" i="91"/>
  <c r="Z29" i="91"/>
  <c r="T29" i="91"/>
  <c r="R29" i="91"/>
  <c r="P29" i="91"/>
  <c r="X29" i="91" s="1"/>
  <c r="H29" i="91"/>
  <c r="D29" i="91"/>
  <c r="B29" i="91"/>
  <c r="Z28" i="91"/>
  <c r="X28" i="91"/>
  <c r="R28" i="91"/>
  <c r="N28" i="91"/>
  <c r="L28" i="91"/>
  <c r="F28" i="91"/>
  <c r="B28" i="91"/>
  <c r="X27" i="91"/>
  <c r="Z27" i="91" s="1"/>
  <c r="R27" i="91"/>
  <c r="L27" i="91"/>
  <c r="N27" i="91" s="1"/>
  <c r="F27" i="91"/>
  <c r="B27" i="91"/>
  <c r="X26" i="91"/>
  <c r="Z26" i="91" s="1"/>
  <c r="L26" i="91"/>
  <c r="N26" i="91" s="1"/>
  <c r="B26" i="91"/>
  <c r="Z25" i="91"/>
  <c r="X25" i="91"/>
  <c r="R25" i="91"/>
  <c r="N25" i="91"/>
  <c r="L25" i="91"/>
  <c r="F25" i="91"/>
  <c r="B25" i="91"/>
  <c r="Z24" i="91"/>
  <c r="X24" i="91"/>
  <c r="R24" i="91"/>
  <c r="N24" i="91"/>
  <c r="L24" i="91"/>
  <c r="F24" i="91"/>
  <c r="B24" i="91"/>
  <c r="X23" i="91"/>
  <c r="Z23" i="91" s="1"/>
  <c r="R23" i="91"/>
  <c r="L23" i="91"/>
  <c r="N23" i="91" s="1"/>
  <c r="J23" i="91"/>
  <c r="F23" i="91"/>
  <c r="B23" i="91"/>
  <c r="X22" i="91"/>
  <c r="Z22" i="91" s="1"/>
  <c r="R22" i="91"/>
  <c r="L22" i="91"/>
  <c r="N22" i="91" s="1"/>
  <c r="B22" i="91"/>
  <c r="X21" i="91"/>
  <c r="Z21" i="91" s="1"/>
  <c r="R21" i="91"/>
  <c r="N21" i="91"/>
  <c r="L21" i="91"/>
  <c r="B21" i="91"/>
  <c r="Z20" i="91"/>
  <c r="X20" i="91"/>
  <c r="R20" i="91"/>
  <c r="N20" i="91"/>
  <c r="L20" i="91"/>
  <c r="F20" i="91"/>
  <c r="B20" i="91"/>
  <c r="T19" i="91"/>
  <c r="P19" i="91"/>
  <c r="L19" i="91"/>
  <c r="N19" i="91" s="1"/>
  <c r="H19" i="91"/>
  <c r="F19" i="91"/>
  <c r="D19" i="91"/>
  <c r="B19" i="91"/>
  <c r="T18" i="91"/>
  <c r="R18" i="91"/>
  <c r="P18" i="91"/>
  <c r="X18" i="91" s="1"/>
  <c r="H18" i="91"/>
  <c r="F18" i="91"/>
  <c r="D18" i="91"/>
  <c r="R16" i="91"/>
  <c r="F16" i="91"/>
  <c r="T14" i="91"/>
  <c r="Z14" i="91" s="1"/>
  <c r="R14" i="91"/>
  <c r="P14" i="91"/>
  <c r="P16" i="91" s="1"/>
  <c r="P58" i="91" s="1"/>
  <c r="H14" i="91"/>
  <c r="N14" i="91" s="1"/>
  <c r="F14" i="91"/>
  <c r="D14" i="91"/>
  <c r="T12" i="91"/>
  <c r="P12" i="91"/>
  <c r="R37" i="91" s="1"/>
  <c r="H12" i="91"/>
  <c r="J34" i="91" s="1"/>
  <c r="D12" i="91"/>
  <c r="F56" i="91" s="1"/>
  <c r="D6" i="91"/>
  <c r="D4" i="91"/>
  <c r="R47" i="90"/>
  <c r="R44" i="90"/>
  <c r="J44" i="90"/>
  <c r="Z42" i="90"/>
  <c r="X42" i="90"/>
  <c r="R42" i="90"/>
  <c r="N42" i="90"/>
  <c r="L42" i="90"/>
  <c r="F42" i="90"/>
  <c r="R40" i="90"/>
  <c r="Z38" i="90"/>
  <c r="T38" i="90"/>
  <c r="X38" i="90" s="1"/>
  <c r="R38" i="90"/>
  <c r="P38" i="90"/>
  <c r="L38" i="90"/>
  <c r="H38" i="90"/>
  <c r="N38" i="90" s="1"/>
  <c r="D38" i="90"/>
  <c r="Z36" i="90"/>
  <c r="X36" i="90"/>
  <c r="R36" i="90"/>
  <c r="N36" i="90"/>
  <c r="L36" i="90"/>
  <c r="F36" i="90"/>
  <c r="B36" i="90"/>
  <c r="T35" i="90"/>
  <c r="Z35" i="90" s="1"/>
  <c r="P35" i="90"/>
  <c r="N35" i="90"/>
  <c r="H35" i="90"/>
  <c r="F35" i="90"/>
  <c r="D35" i="90"/>
  <c r="L35" i="90" s="1"/>
  <c r="B35" i="90"/>
  <c r="Z34" i="90"/>
  <c r="X34" i="90"/>
  <c r="V34" i="90"/>
  <c r="N34" i="90"/>
  <c r="L34" i="90"/>
  <c r="B34" i="90"/>
  <c r="Z33" i="90"/>
  <c r="X33" i="90"/>
  <c r="N33" i="90"/>
  <c r="L33" i="90"/>
  <c r="B33" i="90"/>
  <c r="T32" i="90"/>
  <c r="Z32" i="90" s="1"/>
  <c r="R32" i="90"/>
  <c r="P32" i="90"/>
  <c r="N32" i="90"/>
  <c r="L32" i="90"/>
  <c r="J32" i="90"/>
  <c r="H32" i="90"/>
  <c r="D32" i="90"/>
  <c r="B32" i="90"/>
  <c r="Z31" i="90"/>
  <c r="X31" i="90"/>
  <c r="V31" i="90"/>
  <c r="R31" i="90"/>
  <c r="N31" i="90"/>
  <c r="L31" i="90"/>
  <c r="F31" i="90"/>
  <c r="B31" i="90"/>
  <c r="Z30" i="90"/>
  <c r="X30" i="90"/>
  <c r="V30" i="90"/>
  <c r="T30" i="90"/>
  <c r="P30" i="90"/>
  <c r="H30" i="90"/>
  <c r="L30" i="90" s="1"/>
  <c r="F30" i="90"/>
  <c r="D30" i="90"/>
  <c r="B30" i="90"/>
  <c r="Z29" i="90"/>
  <c r="X29" i="90"/>
  <c r="R29" i="90"/>
  <c r="L29" i="90"/>
  <c r="N29" i="90" s="1"/>
  <c r="B29" i="90"/>
  <c r="T28" i="90"/>
  <c r="R28" i="90"/>
  <c r="P28" i="90"/>
  <c r="H28" i="90"/>
  <c r="D28" i="90"/>
  <c r="L28" i="90" s="1"/>
  <c r="B28" i="90"/>
  <c r="Z27" i="90"/>
  <c r="X27" i="90"/>
  <c r="V27" i="90"/>
  <c r="R27" i="90"/>
  <c r="N27" i="90"/>
  <c r="L27" i="90"/>
  <c r="F27" i="90"/>
  <c r="B27" i="90"/>
  <c r="X26" i="90"/>
  <c r="V26" i="90"/>
  <c r="T26" i="90"/>
  <c r="Z26" i="90" s="1"/>
  <c r="R26" i="90"/>
  <c r="P26" i="90"/>
  <c r="N26" i="90"/>
  <c r="H26" i="90"/>
  <c r="F26" i="90"/>
  <c r="D26" i="90"/>
  <c r="L26" i="90" s="1"/>
  <c r="B26" i="90"/>
  <c r="Z25" i="90"/>
  <c r="X25" i="90"/>
  <c r="N25" i="90"/>
  <c r="L25" i="90"/>
  <c r="F25" i="90"/>
  <c r="B25" i="90"/>
  <c r="Z24" i="90"/>
  <c r="X24" i="90"/>
  <c r="R24" i="90"/>
  <c r="N24" i="90"/>
  <c r="L24" i="90"/>
  <c r="F24" i="90"/>
  <c r="B24" i="90"/>
  <c r="Z23" i="90"/>
  <c r="X23" i="90"/>
  <c r="V23" i="90"/>
  <c r="R23" i="90"/>
  <c r="N23" i="90"/>
  <c r="L23" i="90"/>
  <c r="F23" i="90"/>
  <c r="B23" i="90"/>
  <c r="Z22" i="90"/>
  <c r="X22" i="90"/>
  <c r="R22" i="90"/>
  <c r="N22" i="90"/>
  <c r="L22" i="90"/>
  <c r="B22" i="90"/>
  <c r="Z21" i="90"/>
  <c r="X21" i="90"/>
  <c r="R21" i="90"/>
  <c r="N21" i="90"/>
  <c r="L21" i="90"/>
  <c r="B21" i="90"/>
  <c r="T20" i="90"/>
  <c r="R20" i="90"/>
  <c r="P20" i="90"/>
  <c r="H20" i="90"/>
  <c r="N20" i="90" s="1"/>
  <c r="F20" i="90"/>
  <c r="D20" i="90"/>
  <c r="L20" i="90" s="1"/>
  <c r="B20" i="90"/>
  <c r="V19" i="90"/>
  <c r="T19" i="90"/>
  <c r="R19" i="90"/>
  <c r="P19" i="90"/>
  <c r="H19" i="90"/>
  <c r="F19" i="90"/>
  <c r="D19" i="90"/>
  <c r="L19" i="90" s="1"/>
  <c r="N19" i="90" s="1"/>
  <c r="V17" i="90"/>
  <c r="F17" i="90"/>
  <c r="D17" i="90"/>
  <c r="Z15" i="90"/>
  <c r="X15" i="90"/>
  <c r="V15" i="90"/>
  <c r="R15" i="90"/>
  <c r="N15" i="90"/>
  <c r="L15" i="90"/>
  <c r="F15" i="90"/>
  <c r="B15" i="90"/>
  <c r="X14" i="90"/>
  <c r="V14" i="90"/>
  <c r="T14" i="90"/>
  <c r="Z14" i="90" s="1"/>
  <c r="R14" i="90"/>
  <c r="P14" i="90"/>
  <c r="H14" i="90"/>
  <c r="N14" i="90" s="1"/>
  <c r="F14" i="90"/>
  <c r="D14" i="90"/>
  <c r="L14" i="90" s="1"/>
  <c r="X12" i="90"/>
  <c r="T12" i="90"/>
  <c r="V35" i="90" s="1"/>
  <c r="P12" i="90"/>
  <c r="R34" i="90" s="1"/>
  <c r="L12" i="90"/>
  <c r="H12" i="90"/>
  <c r="J22" i="90" s="1"/>
  <c r="D12" i="90"/>
  <c r="F22" i="90" s="1"/>
  <c r="D6" i="90"/>
  <c r="D4" i="90"/>
  <c r="J37" i="89"/>
  <c r="R34" i="89"/>
  <c r="J34" i="89"/>
  <c r="Z32" i="89"/>
  <c r="X32" i="89"/>
  <c r="R32" i="89"/>
  <c r="N32" i="89"/>
  <c r="L32" i="89"/>
  <c r="J32" i="89"/>
  <c r="J30" i="89"/>
  <c r="T28" i="89"/>
  <c r="X28" i="89" s="1"/>
  <c r="R28" i="89"/>
  <c r="P28" i="89"/>
  <c r="J28" i="89"/>
  <c r="H28" i="89"/>
  <c r="N28" i="89" s="1"/>
  <c r="D28" i="89"/>
  <c r="L28" i="89" s="1"/>
  <c r="Z26" i="89"/>
  <c r="X26" i="89"/>
  <c r="R26" i="89"/>
  <c r="N26" i="89"/>
  <c r="L26" i="89"/>
  <c r="J26" i="89"/>
  <c r="F26" i="89"/>
  <c r="B26" i="89"/>
  <c r="V25" i="89"/>
  <c r="T25" i="89"/>
  <c r="Z25" i="89" s="1"/>
  <c r="P25" i="89"/>
  <c r="X25" i="89" s="1"/>
  <c r="N25" i="89"/>
  <c r="H25" i="89"/>
  <c r="F25" i="89"/>
  <c r="D25" i="89"/>
  <c r="L25" i="89" s="1"/>
  <c r="B25" i="89"/>
  <c r="Z24" i="89"/>
  <c r="X24" i="89"/>
  <c r="V24" i="89"/>
  <c r="N24" i="89"/>
  <c r="L24" i="89"/>
  <c r="J24" i="89"/>
  <c r="B24" i="89"/>
  <c r="Z23" i="89"/>
  <c r="T23" i="89"/>
  <c r="P23" i="89"/>
  <c r="X23" i="89" s="1"/>
  <c r="J23" i="89"/>
  <c r="H23" i="89"/>
  <c r="D23" i="89"/>
  <c r="B23" i="89"/>
  <c r="Z22" i="89"/>
  <c r="X22" i="89"/>
  <c r="N22" i="89"/>
  <c r="L22" i="89"/>
  <c r="F22" i="89"/>
  <c r="B22" i="89"/>
  <c r="V21" i="89"/>
  <c r="T21" i="89"/>
  <c r="P21" i="89"/>
  <c r="N21" i="89"/>
  <c r="H21" i="89"/>
  <c r="F21" i="89"/>
  <c r="D21" i="89"/>
  <c r="L21" i="89" s="1"/>
  <c r="B21" i="89"/>
  <c r="X20" i="89"/>
  <c r="Z20" i="89" s="1"/>
  <c r="V20" i="89"/>
  <c r="L20" i="89"/>
  <c r="N20" i="89" s="1"/>
  <c r="J20" i="89"/>
  <c r="B20" i="89"/>
  <c r="X19" i="89"/>
  <c r="Z19" i="89" s="1"/>
  <c r="T19" i="89"/>
  <c r="P19" i="89"/>
  <c r="J19" i="89"/>
  <c r="H19" i="89"/>
  <c r="D19" i="89"/>
  <c r="L19" i="89" s="1"/>
  <c r="B19" i="89"/>
  <c r="Z18" i="89"/>
  <c r="T18" i="89"/>
  <c r="P18" i="89"/>
  <c r="X18" i="89" s="1"/>
  <c r="J18" i="89"/>
  <c r="H18" i="89"/>
  <c r="D18" i="89"/>
  <c r="L18" i="89" s="1"/>
  <c r="N18" i="89" s="1"/>
  <c r="Z16" i="89"/>
  <c r="J16" i="89"/>
  <c r="H16" i="89"/>
  <c r="H30" i="89" s="1"/>
  <c r="D16" i="89"/>
  <c r="L16" i="89" s="1"/>
  <c r="T14" i="89"/>
  <c r="T16" i="89" s="1"/>
  <c r="T30" i="89" s="1"/>
  <c r="T34" i="89" s="1"/>
  <c r="P14" i="89"/>
  <c r="N14" i="89"/>
  <c r="J14" i="89"/>
  <c r="H14" i="89"/>
  <c r="D14" i="89"/>
  <c r="L14" i="89" s="1"/>
  <c r="Z12" i="89"/>
  <c r="T12" i="89"/>
  <c r="V23" i="89" s="1"/>
  <c r="P12" i="89"/>
  <c r="R23" i="89" s="1"/>
  <c r="N12" i="89"/>
  <c r="H12" i="89"/>
  <c r="J25" i="89" s="1"/>
  <c r="D12" i="89"/>
  <c r="D6" i="89"/>
  <c r="D4" i="89"/>
  <c r="V65" i="88"/>
  <c r="V62" i="88"/>
  <c r="Z60" i="88"/>
  <c r="X60" i="88"/>
  <c r="V60" i="88"/>
  <c r="N60" i="88"/>
  <c r="L60" i="88"/>
  <c r="J60" i="88"/>
  <c r="V58" i="88"/>
  <c r="F58" i="88"/>
  <c r="X56" i="88"/>
  <c r="Z56" i="88" s="1"/>
  <c r="V56" i="88"/>
  <c r="P56" i="88"/>
  <c r="D56" i="88"/>
  <c r="D53" i="88" s="1"/>
  <c r="B56" i="88"/>
  <c r="X55" i="88"/>
  <c r="Z55" i="88" s="1"/>
  <c r="V55" i="88"/>
  <c r="P55" i="88"/>
  <c r="L55" i="88"/>
  <c r="N55" i="88" s="1"/>
  <c r="J55" i="88"/>
  <c r="D55" i="88"/>
  <c r="B55" i="88"/>
  <c r="Z54" i="88"/>
  <c r="R54" i="88"/>
  <c r="P54" i="88"/>
  <c r="X54" i="88" s="1"/>
  <c r="L54" i="88"/>
  <c r="N54" i="88" s="1"/>
  <c r="J54" i="88"/>
  <c r="D54" i="88"/>
  <c r="B54" i="88"/>
  <c r="X53" i="88"/>
  <c r="Z53" i="88" s="1"/>
  <c r="T53" i="88"/>
  <c r="P53" i="88"/>
  <c r="J53" i="88"/>
  <c r="H53" i="88"/>
  <c r="Z51" i="88"/>
  <c r="X51" i="88"/>
  <c r="N51" i="88"/>
  <c r="L51" i="88"/>
  <c r="B51" i="88"/>
  <c r="Z50" i="88"/>
  <c r="T50" i="88"/>
  <c r="P50" i="88"/>
  <c r="X50" i="88" s="1"/>
  <c r="N50" i="88"/>
  <c r="L50" i="88"/>
  <c r="J50" i="88"/>
  <c r="H50" i="88"/>
  <c r="D50" i="88"/>
  <c r="B50" i="88"/>
  <c r="X49" i="88"/>
  <c r="Z49" i="88" s="1"/>
  <c r="V49" i="88"/>
  <c r="R49" i="88"/>
  <c r="N49" i="88"/>
  <c r="L49" i="88"/>
  <c r="J49" i="88"/>
  <c r="B49" i="88"/>
  <c r="V48" i="88"/>
  <c r="T48" i="88"/>
  <c r="P48" i="88"/>
  <c r="X48" i="88" s="1"/>
  <c r="Z48" i="88" s="1"/>
  <c r="H48" i="88"/>
  <c r="L48" i="88" s="1"/>
  <c r="D48" i="88"/>
  <c r="B48" i="88"/>
  <c r="Z47" i="88"/>
  <c r="X47" i="88"/>
  <c r="N47" i="88"/>
  <c r="L47" i="88"/>
  <c r="B47" i="88"/>
  <c r="Z46" i="88"/>
  <c r="T46" i="88"/>
  <c r="X46" i="88" s="1"/>
  <c r="P46" i="88"/>
  <c r="L46" i="88"/>
  <c r="J46" i="88"/>
  <c r="H46" i="88"/>
  <c r="D46" i="88"/>
  <c r="B46" i="88"/>
  <c r="Z45" i="88"/>
  <c r="X45" i="88"/>
  <c r="V45" i="88"/>
  <c r="R45" i="88"/>
  <c r="N45" i="88"/>
  <c r="L45" i="88"/>
  <c r="J45" i="88"/>
  <c r="B45" i="88"/>
  <c r="Z44" i="88"/>
  <c r="X44" i="88"/>
  <c r="V44" i="88"/>
  <c r="N44" i="88"/>
  <c r="L44" i="88"/>
  <c r="J44" i="88"/>
  <c r="B44" i="88"/>
  <c r="Z43" i="88"/>
  <c r="T43" i="88"/>
  <c r="R43" i="88"/>
  <c r="P43" i="88"/>
  <c r="X43" i="88" s="1"/>
  <c r="J43" i="88"/>
  <c r="H43" i="88"/>
  <c r="N43" i="88" s="1"/>
  <c r="D43" i="88"/>
  <c r="L43" i="88" s="1"/>
  <c r="B43" i="88"/>
  <c r="Z42" i="88"/>
  <c r="X42" i="88"/>
  <c r="R42" i="88"/>
  <c r="N42" i="88"/>
  <c r="L42" i="88"/>
  <c r="B42" i="88"/>
  <c r="V41" i="88"/>
  <c r="T41" i="88"/>
  <c r="P41" i="88"/>
  <c r="X41" i="88" s="1"/>
  <c r="L41" i="88"/>
  <c r="N41" i="88" s="1"/>
  <c r="H41" i="88"/>
  <c r="D41" i="88"/>
  <c r="B41" i="88"/>
  <c r="X40" i="88"/>
  <c r="Z40" i="88" s="1"/>
  <c r="V40" i="88"/>
  <c r="N40" i="88"/>
  <c r="L40" i="88"/>
  <c r="J40" i="88"/>
  <c r="B40" i="88"/>
  <c r="T39" i="88"/>
  <c r="R39" i="88"/>
  <c r="P39" i="88"/>
  <c r="X39" i="88" s="1"/>
  <c r="Z39" i="88" s="1"/>
  <c r="J39" i="88"/>
  <c r="H39" i="88"/>
  <c r="D39" i="88"/>
  <c r="B39" i="88"/>
  <c r="Z38" i="88"/>
  <c r="X38" i="88"/>
  <c r="R38" i="88"/>
  <c r="N38" i="88"/>
  <c r="L38" i="88"/>
  <c r="B38" i="88"/>
  <c r="Z37" i="88"/>
  <c r="X37" i="88"/>
  <c r="V37" i="88"/>
  <c r="R37" i="88"/>
  <c r="N37" i="88"/>
  <c r="L37" i="88"/>
  <c r="J37" i="88"/>
  <c r="B37" i="88"/>
  <c r="Z36" i="88"/>
  <c r="X36" i="88"/>
  <c r="V36" i="88"/>
  <c r="N36" i="88"/>
  <c r="L36" i="88"/>
  <c r="J36" i="88"/>
  <c r="B36" i="88"/>
  <c r="Z35" i="88"/>
  <c r="X35" i="88"/>
  <c r="N35" i="88"/>
  <c r="L35" i="88"/>
  <c r="B35" i="88"/>
  <c r="Z34" i="88"/>
  <c r="X34" i="88"/>
  <c r="N34" i="88"/>
  <c r="L34" i="88"/>
  <c r="B34" i="88"/>
  <c r="Z33" i="88"/>
  <c r="X33" i="88"/>
  <c r="V33" i="88"/>
  <c r="N33" i="88"/>
  <c r="L33" i="88"/>
  <c r="J33" i="88"/>
  <c r="F33" i="88"/>
  <c r="B33" i="88"/>
  <c r="Z32" i="88"/>
  <c r="X32" i="88"/>
  <c r="V32" i="88"/>
  <c r="N32" i="88"/>
  <c r="L32" i="88"/>
  <c r="J32" i="88"/>
  <c r="B32" i="88"/>
  <c r="Z31" i="88"/>
  <c r="X31" i="88"/>
  <c r="N31" i="88"/>
  <c r="L31" i="88"/>
  <c r="B31" i="88"/>
  <c r="Z30" i="88"/>
  <c r="X30" i="88"/>
  <c r="R30" i="88"/>
  <c r="N30" i="88"/>
  <c r="L30" i="88"/>
  <c r="B30" i="88"/>
  <c r="X29" i="88"/>
  <c r="Z29" i="88" s="1"/>
  <c r="V29" i="88"/>
  <c r="L29" i="88"/>
  <c r="N29" i="88" s="1"/>
  <c r="J29" i="88"/>
  <c r="F29" i="88"/>
  <c r="B29" i="88"/>
  <c r="V28" i="88"/>
  <c r="T28" i="88"/>
  <c r="P28" i="88"/>
  <c r="X28" i="88" s="1"/>
  <c r="Z28" i="88" s="1"/>
  <c r="J28" i="88"/>
  <c r="H28" i="88"/>
  <c r="D28" i="88"/>
  <c r="B28" i="88"/>
  <c r="Z27" i="88"/>
  <c r="X27" i="88"/>
  <c r="N27" i="88"/>
  <c r="L27" i="88"/>
  <c r="B27" i="88"/>
  <c r="Z26" i="88"/>
  <c r="X26" i="88"/>
  <c r="R26" i="88"/>
  <c r="N26" i="88"/>
  <c r="L26" i="88"/>
  <c r="F26" i="88"/>
  <c r="B26" i="88"/>
  <c r="Z25" i="88"/>
  <c r="X25" i="88"/>
  <c r="V25" i="88"/>
  <c r="R25" i="88"/>
  <c r="N25" i="88"/>
  <c r="L25" i="88"/>
  <c r="J25" i="88"/>
  <c r="F25" i="88"/>
  <c r="B25" i="88"/>
  <c r="X24" i="88"/>
  <c r="Z24" i="88" s="1"/>
  <c r="V24" i="88"/>
  <c r="L24" i="88"/>
  <c r="N24" i="88" s="1"/>
  <c r="J24" i="88"/>
  <c r="B24" i="88"/>
  <c r="Z23" i="88"/>
  <c r="X23" i="88"/>
  <c r="N23" i="88"/>
  <c r="L23" i="88"/>
  <c r="B23" i="88"/>
  <c r="Z22" i="88"/>
  <c r="X22" i="88"/>
  <c r="N22" i="88"/>
  <c r="L22" i="88"/>
  <c r="J22" i="88"/>
  <c r="B22" i="88"/>
  <c r="X21" i="88"/>
  <c r="Z21" i="88" s="1"/>
  <c r="V21" i="88"/>
  <c r="L21" i="88"/>
  <c r="N21" i="88" s="1"/>
  <c r="J21" i="88"/>
  <c r="F21" i="88"/>
  <c r="B21" i="88"/>
  <c r="X20" i="88"/>
  <c r="Z20" i="88" s="1"/>
  <c r="V20" i="88"/>
  <c r="L20" i="88"/>
  <c r="N20" i="88" s="1"/>
  <c r="J20" i="88"/>
  <c r="B20" i="88"/>
  <c r="Z19" i="88"/>
  <c r="X19" i="88"/>
  <c r="T19" i="88"/>
  <c r="R19" i="88"/>
  <c r="P19" i="88"/>
  <c r="J19" i="88"/>
  <c r="H19" i="88"/>
  <c r="D19" i="88"/>
  <c r="L19" i="88" s="1"/>
  <c r="B19" i="88"/>
  <c r="T18" i="88"/>
  <c r="Z18" i="88" s="1"/>
  <c r="R18" i="88"/>
  <c r="P18" i="88"/>
  <c r="X18" i="88" s="1"/>
  <c r="J18" i="88"/>
  <c r="H18" i="88"/>
  <c r="H58" i="88" s="1"/>
  <c r="D18" i="88"/>
  <c r="R16" i="88"/>
  <c r="J16" i="88"/>
  <c r="T14" i="88"/>
  <c r="T16" i="88" s="1"/>
  <c r="T58" i="88" s="1"/>
  <c r="R14" i="88"/>
  <c r="P14" i="88"/>
  <c r="N14" i="88"/>
  <c r="J14" i="88"/>
  <c r="H14" i="88"/>
  <c r="H16" i="88" s="1"/>
  <c r="N16" i="88" s="1"/>
  <c r="D14" i="88"/>
  <c r="Z12" i="88"/>
  <c r="T12" i="88"/>
  <c r="V51" i="88" s="1"/>
  <c r="P12" i="88"/>
  <c r="R53" i="88" s="1"/>
  <c r="N12" i="88"/>
  <c r="H12" i="88"/>
  <c r="J56" i="88" s="1"/>
  <c r="D12" i="88"/>
  <c r="F65" i="88" s="1"/>
  <c r="D6" i="88"/>
  <c r="D4" i="88"/>
  <c r="V35" i="87"/>
  <c r="V32" i="87"/>
  <c r="Z30" i="87"/>
  <c r="X30" i="87"/>
  <c r="V30" i="87"/>
  <c r="N30" i="87"/>
  <c r="L30" i="87"/>
  <c r="J30" i="87"/>
  <c r="V28" i="87"/>
  <c r="X26" i="87"/>
  <c r="V26" i="87"/>
  <c r="T26" i="87"/>
  <c r="Z26" i="87" s="1"/>
  <c r="P26" i="87"/>
  <c r="N26" i="87"/>
  <c r="H26" i="87"/>
  <c r="D26" i="87"/>
  <c r="L26" i="87" s="1"/>
  <c r="Z24" i="87"/>
  <c r="X24" i="87"/>
  <c r="V24" i="87"/>
  <c r="N24" i="87"/>
  <c r="L24" i="87"/>
  <c r="J24" i="87"/>
  <c r="B24" i="87"/>
  <c r="Z23" i="87"/>
  <c r="X23" i="87"/>
  <c r="T23" i="87"/>
  <c r="P23" i="87"/>
  <c r="J23" i="87"/>
  <c r="H23" i="87"/>
  <c r="D23" i="87"/>
  <c r="B23" i="87"/>
  <c r="Z22" i="87"/>
  <c r="X22" i="87"/>
  <c r="N22" i="87"/>
  <c r="L22" i="87"/>
  <c r="B22" i="87"/>
  <c r="V21" i="87"/>
  <c r="T21" i="87"/>
  <c r="P21" i="87"/>
  <c r="N21" i="87"/>
  <c r="H21" i="87"/>
  <c r="D21" i="87"/>
  <c r="L21" i="87" s="1"/>
  <c r="B21" i="87"/>
  <c r="V20" i="87"/>
  <c r="T20" i="87"/>
  <c r="Z20" i="87" s="1"/>
  <c r="P20" i="87"/>
  <c r="X20" i="87" s="1"/>
  <c r="H20" i="87"/>
  <c r="N20" i="87" s="1"/>
  <c r="D20" i="87"/>
  <c r="V18" i="87"/>
  <c r="J18" i="87"/>
  <c r="X16" i="87"/>
  <c r="V16" i="87"/>
  <c r="T16" i="87"/>
  <c r="Z16" i="87" s="1"/>
  <c r="P16" i="87"/>
  <c r="H16" i="87"/>
  <c r="N16" i="87" s="1"/>
  <c r="D16" i="87"/>
  <c r="Z14" i="87"/>
  <c r="P14" i="87"/>
  <c r="X14" i="87" s="1"/>
  <c r="N14" i="87"/>
  <c r="D14" i="87"/>
  <c r="L14" i="87" s="1"/>
  <c r="B14" i="87"/>
  <c r="Z13" i="87"/>
  <c r="P13" i="87"/>
  <c r="X13" i="87" s="1"/>
  <c r="N13" i="87"/>
  <c r="L13" i="87"/>
  <c r="D13" i="87"/>
  <c r="B13" i="87"/>
  <c r="Z12" i="87"/>
  <c r="T12" i="87"/>
  <c r="V23" i="87" s="1"/>
  <c r="N12" i="87"/>
  <c r="H12" i="87"/>
  <c r="J32" i="87" s="1"/>
  <c r="D12" i="87"/>
  <c r="D6" i="87"/>
  <c r="D4" i="87"/>
  <c r="F93" i="86"/>
  <c r="Z88" i="86"/>
  <c r="X88" i="86"/>
  <c r="N88" i="86"/>
  <c r="L88" i="86"/>
  <c r="Z84" i="86"/>
  <c r="X84" i="86"/>
  <c r="P84" i="86"/>
  <c r="N84" i="86"/>
  <c r="D84" i="86"/>
  <c r="B84" i="86"/>
  <c r="T83" i="86"/>
  <c r="Z83" i="86" s="1"/>
  <c r="P83" i="86"/>
  <c r="N83" i="86"/>
  <c r="H83" i="86"/>
  <c r="F83" i="86"/>
  <c r="Z81" i="86"/>
  <c r="X81" i="86"/>
  <c r="N81" i="86"/>
  <c r="L81" i="86"/>
  <c r="J81" i="86"/>
  <c r="B81" i="86"/>
  <c r="T80" i="86"/>
  <c r="Z80" i="86" s="1"/>
  <c r="P80" i="86"/>
  <c r="X80" i="86" s="1"/>
  <c r="N80" i="86"/>
  <c r="H80" i="86"/>
  <c r="D80" i="86"/>
  <c r="B80" i="86"/>
  <c r="Z79" i="86"/>
  <c r="X79" i="86"/>
  <c r="N79" i="86"/>
  <c r="L79" i="86"/>
  <c r="B79" i="86"/>
  <c r="Z78" i="86"/>
  <c r="X78" i="86"/>
  <c r="N78" i="86"/>
  <c r="L78" i="86"/>
  <c r="F78" i="86"/>
  <c r="B78" i="86"/>
  <c r="T77" i="86"/>
  <c r="Z77" i="86" s="1"/>
  <c r="P77" i="86"/>
  <c r="X77" i="86" s="1"/>
  <c r="N77" i="86"/>
  <c r="H77" i="86"/>
  <c r="F77" i="86"/>
  <c r="D77" i="86"/>
  <c r="L77" i="86" s="1"/>
  <c r="B77" i="86"/>
  <c r="Z76" i="86"/>
  <c r="X76" i="86"/>
  <c r="N76" i="86"/>
  <c r="L76" i="86"/>
  <c r="J76" i="86"/>
  <c r="B76" i="86"/>
  <c r="Z75" i="86"/>
  <c r="X75" i="86"/>
  <c r="N75" i="86"/>
  <c r="L75" i="86"/>
  <c r="B75" i="86"/>
  <c r="Z74" i="86"/>
  <c r="X74" i="86"/>
  <c r="N74" i="86"/>
  <c r="L74" i="86"/>
  <c r="B74" i="86"/>
  <c r="Z73" i="86"/>
  <c r="X73" i="86"/>
  <c r="N73" i="86"/>
  <c r="L73" i="86"/>
  <c r="B73" i="86"/>
  <c r="Z72" i="86"/>
  <c r="X72" i="86"/>
  <c r="V72" i="86"/>
  <c r="N72" i="86"/>
  <c r="L72" i="86"/>
  <c r="B72" i="86"/>
  <c r="Z71" i="86"/>
  <c r="X71" i="86"/>
  <c r="N71" i="86"/>
  <c r="L71" i="86"/>
  <c r="B71" i="86"/>
  <c r="Z70" i="86"/>
  <c r="X70" i="86"/>
  <c r="N70" i="86"/>
  <c r="L70" i="86"/>
  <c r="F70" i="86"/>
  <c r="B70" i="86"/>
  <c r="Z69" i="86"/>
  <c r="X69" i="86"/>
  <c r="N69" i="86"/>
  <c r="L69" i="86"/>
  <c r="J69" i="86"/>
  <c r="F69" i="86"/>
  <c r="B69" i="86"/>
  <c r="Z68" i="86"/>
  <c r="X68" i="86"/>
  <c r="N68" i="86"/>
  <c r="L68" i="86"/>
  <c r="J68" i="86"/>
  <c r="B68" i="86"/>
  <c r="Z67" i="86"/>
  <c r="X67" i="86"/>
  <c r="N67" i="86"/>
  <c r="L67" i="86"/>
  <c r="B67" i="86"/>
  <c r="T66" i="86"/>
  <c r="Z66" i="86" s="1"/>
  <c r="P66" i="86"/>
  <c r="N66" i="86"/>
  <c r="L66" i="86"/>
  <c r="H66" i="86"/>
  <c r="D66" i="86"/>
  <c r="B66" i="86"/>
  <c r="Z65" i="86"/>
  <c r="X65" i="86"/>
  <c r="N65" i="86"/>
  <c r="L65" i="86"/>
  <c r="F65" i="86"/>
  <c r="B65" i="86"/>
  <c r="Z64" i="86"/>
  <c r="X64" i="86"/>
  <c r="N64" i="86"/>
  <c r="L64" i="86"/>
  <c r="B64" i="86"/>
  <c r="Z63" i="86"/>
  <c r="X63" i="86"/>
  <c r="T63" i="86"/>
  <c r="P63" i="86"/>
  <c r="H63" i="86"/>
  <c r="D63" i="86"/>
  <c r="B63" i="86"/>
  <c r="Z62" i="86"/>
  <c r="X62" i="86"/>
  <c r="N62" i="86"/>
  <c r="L62" i="86"/>
  <c r="B62" i="86"/>
  <c r="Z61" i="86"/>
  <c r="X61" i="86"/>
  <c r="N61" i="86"/>
  <c r="L61" i="86"/>
  <c r="F61" i="86"/>
  <c r="B61" i="86"/>
  <c r="Z60" i="86"/>
  <c r="X60" i="86"/>
  <c r="T60" i="86"/>
  <c r="P60" i="86"/>
  <c r="H60" i="86"/>
  <c r="F60" i="86"/>
  <c r="D60" i="86"/>
  <c r="B60" i="86"/>
  <c r="Z59" i="86"/>
  <c r="X59" i="86"/>
  <c r="N59" i="86"/>
  <c r="L59" i="86"/>
  <c r="B59" i="86"/>
  <c r="Z58" i="86"/>
  <c r="X58" i="86"/>
  <c r="N58" i="86"/>
  <c r="L58" i="86"/>
  <c r="B58" i="86"/>
  <c r="Z57" i="86"/>
  <c r="X57" i="86"/>
  <c r="N57" i="86"/>
  <c r="L57" i="86"/>
  <c r="B57" i="86"/>
  <c r="Z56" i="86"/>
  <c r="X56" i="86"/>
  <c r="T56" i="86"/>
  <c r="P56" i="86"/>
  <c r="H56" i="86"/>
  <c r="L56" i="86" s="1"/>
  <c r="F56" i="86"/>
  <c r="D56" i="86"/>
  <c r="B56" i="86"/>
  <c r="X55" i="86"/>
  <c r="Z55" i="86" s="1"/>
  <c r="N55" i="86"/>
  <c r="L55" i="86"/>
  <c r="B55" i="86"/>
  <c r="Z54" i="86"/>
  <c r="T54" i="86"/>
  <c r="X54" i="86" s="1"/>
  <c r="P54" i="86"/>
  <c r="H54" i="86"/>
  <c r="N54" i="86" s="1"/>
  <c r="D54" i="86"/>
  <c r="L54" i="86" s="1"/>
  <c r="B54" i="86"/>
  <c r="Z53" i="86"/>
  <c r="X53" i="86"/>
  <c r="N53" i="86"/>
  <c r="L53" i="86"/>
  <c r="F53" i="86"/>
  <c r="B53" i="86"/>
  <c r="X52" i="86"/>
  <c r="T52" i="86"/>
  <c r="Z52" i="86" s="1"/>
  <c r="P52" i="86"/>
  <c r="H52" i="86"/>
  <c r="N52" i="86" s="1"/>
  <c r="F52" i="86"/>
  <c r="D52" i="86"/>
  <c r="L52" i="86" s="1"/>
  <c r="B52" i="86"/>
  <c r="Z51" i="86"/>
  <c r="X51" i="86"/>
  <c r="N51" i="86"/>
  <c r="L51" i="86"/>
  <c r="B51" i="86"/>
  <c r="T50" i="86"/>
  <c r="Z50" i="86" s="1"/>
  <c r="P50" i="86"/>
  <c r="N50" i="86"/>
  <c r="H50" i="86"/>
  <c r="D50" i="86"/>
  <c r="L50" i="86" s="1"/>
  <c r="B50" i="86"/>
  <c r="Z49" i="86"/>
  <c r="X49" i="86"/>
  <c r="N49" i="86"/>
  <c r="L49" i="86"/>
  <c r="J49" i="86"/>
  <c r="F49" i="86"/>
  <c r="B49" i="86"/>
  <c r="Z48" i="86"/>
  <c r="X48" i="86"/>
  <c r="N48" i="86"/>
  <c r="L48" i="86"/>
  <c r="J48" i="86"/>
  <c r="B48" i="86"/>
  <c r="Z47" i="86"/>
  <c r="X47" i="86"/>
  <c r="T47" i="86"/>
  <c r="P47" i="86"/>
  <c r="H47" i="86"/>
  <c r="D47" i="86"/>
  <c r="B47" i="86"/>
  <c r="Z46" i="86"/>
  <c r="X46" i="86"/>
  <c r="N46" i="86"/>
  <c r="L46" i="86"/>
  <c r="F46" i="86"/>
  <c r="B46" i="86"/>
  <c r="T45" i="86"/>
  <c r="P45" i="86"/>
  <c r="N45" i="86"/>
  <c r="H45" i="86"/>
  <c r="F45" i="86"/>
  <c r="D45" i="86"/>
  <c r="L45" i="86" s="1"/>
  <c r="B45" i="86"/>
  <c r="Z44" i="86"/>
  <c r="X44" i="86"/>
  <c r="N44" i="86"/>
  <c r="L44" i="86"/>
  <c r="J44" i="86"/>
  <c r="B44" i="86"/>
  <c r="Z43" i="86"/>
  <c r="X43" i="86"/>
  <c r="T43" i="86"/>
  <c r="P43" i="86"/>
  <c r="H43" i="86"/>
  <c r="N43" i="86" s="1"/>
  <c r="D43" i="86"/>
  <c r="L43" i="86" s="1"/>
  <c r="B43" i="86"/>
  <c r="Z42" i="86"/>
  <c r="X42" i="86"/>
  <c r="N42" i="86"/>
  <c r="L42" i="86"/>
  <c r="F42" i="86"/>
  <c r="B42" i="86"/>
  <c r="Z41" i="86"/>
  <c r="X41" i="86"/>
  <c r="N41" i="86"/>
  <c r="L41" i="86"/>
  <c r="J41" i="86"/>
  <c r="F41" i="86"/>
  <c r="B41" i="86"/>
  <c r="Z40" i="86"/>
  <c r="X40" i="86"/>
  <c r="N40" i="86"/>
  <c r="L40" i="86"/>
  <c r="J40" i="86"/>
  <c r="B40" i="86"/>
  <c r="Z39" i="86"/>
  <c r="X39" i="86"/>
  <c r="N39" i="86"/>
  <c r="L39" i="86"/>
  <c r="B39" i="86"/>
  <c r="Z38" i="86"/>
  <c r="X38" i="86"/>
  <c r="N38" i="86"/>
  <c r="L38" i="86"/>
  <c r="B38" i="86"/>
  <c r="Z37" i="86"/>
  <c r="X37" i="86"/>
  <c r="N37" i="86"/>
  <c r="L37" i="86"/>
  <c r="B37" i="86"/>
  <c r="Z36" i="86"/>
  <c r="X36" i="86"/>
  <c r="N36" i="86"/>
  <c r="L36" i="86"/>
  <c r="B36" i="86"/>
  <c r="Z35" i="86"/>
  <c r="X35" i="86"/>
  <c r="N35" i="86"/>
  <c r="L35" i="86"/>
  <c r="B35" i="86"/>
  <c r="Z34" i="86"/>
  <c r="X34" i="86"/>
  <c r="N34" i="86"/>
  <c r="L34" i="86"/>
  <c r="B34" i="86"/>
  <c r="Z33" i="86"/>
  <c r="X33" i="86"/>
  <c r="N33" i="86"/>
  <c r="L33" i="86"/>
  <c r="B33" i="86"/>
  <c r="Z32" i="86"/>
  <c r="X32" i="86"/>
  <c r="T32" i="86"/>
  <c r="P32" i="86"/>
  <c r="L32" i="86"/>
  <c r="J32" i="86"/>
  <c r="H32" i="86"/>
  <c r="N32" i="86" s="1"/>
  <c r="D32" i="86"/>
  <c r="B32" i="86"/>
  <c r="Z31" i="86"/>
  <c r="X31" i="86"/>
  <c r="N31" i="86"/>
  <c r="L31" i="86"/>
  <c r="B31" i="86"/>
  <c r="Z30" i="86"/>
  <c r="X30" i="86"/>
  <c r="N30" i="86"/>
  <c r="L30" i="86"/>
  <c r="B30" i="86"/>
  <c r="Z29" i="86"/>
  <c r="X29" i="86"/>
  <c r="N29" i="86"/>
  <c r="L29" i="86"/>
  <c r="B29" i="86"/>
  <c r="Z28" i="86"/>
  <c r="X28" i="86"/>
  <c r="N28" i="86"/>
  <c r="L28" i="86"/>
  <c r="F28" i="86"/>
  <c r="B28" i="86"/>
  <c r="Z27" i="86"/>
  <c r="X27" i="86"/>
  <c r="N27" i="86"/>
  <c r="L27" i="86"/>
  <c r="J27" i="86"/>
  <c r="F27" i="86"/>
  <c r="B27" i="86"/>
  <c r="Z26" i="86"/>
  <c r="X26" i="86"/>
  <c r="N26" i="86"/>
  <c r="L26" i="86"/>
  <c r="J26" i="86"/>
  <c r="F26" i="86"/>
  <c r="B26" i="86"/>
  <c r="Z25" i="86"/>
  <c r="X25" i="86"/>
  <c r="N25" i="86"/>
  <c r="L25" i="86"/>
  <c r="J25" i="86"/>
  <c r="B25" i="86"/>
  <c r="Z24" i="86"/>
  <c r="X24" i="86"/>
  <c r="N24" i="86"/>
  <c r="L24" i="86"/>
  <c r="B24" i="86"/>
  <c r="T23" i="86"/>
  <c r="P23" i="86"/>
  <c r="N23" i="86"/>
  <c r="H23" i="86"/>
  <c r="F23" i="86"/>
  <c r="D23" i="86"/>
  <c r="L23" i="86" s="1"/>
  <c r="B23" i="86"/>
  <c r="T22" i="86"/>
  <c r="P22" i="86"/>
  <c r="X22" i="86" s="1"/>
  <c r="H22" i="86"/>
  <c r="N22" i="86" s="1"/>
  <c r="D22" i="86"/>
  <c r="L22" i="86" s="1"/>
  <c r="J20" i="86"/>
  <c r="H20" i="86"/>
  <c r="F20" i="86"/>
  <c r="D20" i="86"/>
  <c r="Z18" i="86"/>
  <c r="X18" i="86"/>
  <c r="N18" i="86"/>
  <c r="L18" i="86"/>
  <c r="J18" i="86"/>
  <c r="F18" i="86"/>
  <c r="B18" i="86"/>
  <c r="Z17" i="86"/>
  <c r="X17" i="86"/>
  <c r="N17" i="86"/>
  <c r="L17" i="86"/>
  <c r="J17" i="86"/>
  <c r="B17" i="86"/>
  <c r="T16" i="86"/>
  <c r="Z16" i="86" s="1"/>
  <c r="P16" i="86"/>
  <c r="H16" i="86"/>
  <c r="N16" i="86" s="1"/>
  <c r="F16" i="86"/>
  <c r="D16" i="86"/>
  <c r="L16" i="86" s="1"/>
  <c r="Z14" i="86"/>
  <c r="X14" i="86"/>
  <c r="P14" i="86"/>
  <c r="N14" i="86"/>
  <c r="D14" i="86"/>
  <c r="L14" i="86" s="1"/>
  <c r="B14" i="86"/>
  <c r="Z13" i="86"/>
  <c r="P13" i="86"/>
  <c r="X13" i="86" s="1"/>
  <c r="N13" i="86"/>
  <c r="L13" i="86"/>
  <c r="D13" i="86"/>
  <c r="B13" i="86"/>
  <c r="T12" i="86"/>
  <c r="V45" i="86" s="1"/>
  <c r="L12" i="86"/>
  <c r="H12" i="86"/>
  <c r="J63" i="86" s="1"/>
  <c r="D12" i="86"/>
  <c r="F90" i="86" s="1"/>
  <c r="D6" i="86"/>
  <c r="D4" i="86"/>
  <c r="X102" i="85"/>
  <c r="Z102" i="85" s="1"/>
  <c r="L102" i="85"/>
  <c r="N102" i="85" s="1"/>
  <c r="T98" i="85"/>
  <c r="Z98" i="85" s="1"/>
  <c r="P98" i="85"/>
  <c r="X98" i="85" s="1"/>
  <c r="H98" i="85"/>
  <c r="N98" i="85" s="1"/>
  <c r="D98" i="85"/>
  <c r="L98" i="85" s="1"/>
  <c r="Z96" i="85"/>
  <c r="X96" i="85"/>
  <c r="L96" i="85"/>
  <c r="N96" i="85" s="1"/>
  <c r="B96" i="85"/>
  <c r="T95" i="85"/>
  <c r="P95" i="85"/>
  <c r="X95" i="85" s="1"/>
  <c r="Z95" i="85" s="1"/>
  <c r="N95" i="85"/>
  <c r="L95" i="85"/>
  <c r="H95" i="85"/>
  <c r="D95" i="85"/>
  <c r="B95" i="85"/>
  <c r="Z94" i="85"/>
  <c r="X94" i="85"/>
  <c r="N94" i="85"/>
  <c r="L94" i="85"/>
  <c r="B94" i="85"/>
  <c r="Z93" i="85"/>
  <c r="X93" i="85"/>
  <c r="V93" i="85"/>
  <c r="N93" i="85"/>
  <c r="L93" i="85"/>
  <c r="B93" i="85"/>
  <c r="Z92" i="85"/>
  <c r="X92" i="85"/>
  <c r="T92" i="85"/>
  <c r="P92" i="85"/>
  <c r="H92" i="85"/>
  <c r="N92" i="85" s="1"/>
  <c r="D92" i="85"/>
  <c r="B92" i="85"/>
  <c r="Z91" i="85"/>
  <c r="X91" i="85"/>
  <c r="N91" i="85"/>
  <c r="L91" i="85"/>
  <c r="B91" i="85"/>
  <c r="Z90" i="85"/>
  <c r="X90" i="85"/>
  <c r="V90" i="85"/>
  <c r="T90" i="85"/>
  <c r="P90" i="85"/>
  <c r="H90" i="85"/>
  <c r="N90" i="85" s="1"/>
  <c r="D90" i="85"/>
  <c r="B90" i="85"/>
  <c r="Z89" i="85"/>
  <c r="X89" i="85"/>
  <c r="N89" i="85"/>
  <c r="L89" i="85"/>
  <c r="B89" i="85"/>
  <c r="X88" i="85"/>
  <c r="Z88" i="85" s="1"/>
  <c r="V88" i="85"/>
  <c r="N88" i="85"/>
  <c r="L88" i="85"/>
  <c r="B88" i="85"/>
  <c r="T87" i="85"/>
  <c r="P87" i="85"/>
  <c r="H87" i="85"/>
  <c r="D87" i="85"/>
  <c r="L87" i="85" s="1"/>
  <c r="B87" i="85"/>
  <c r="X86" i="85"/>
  <c r="Z86" i="85" s="1"/>
  <c r="N86" i="85"/>
  <c r="L86" i="85"/>
  <c r="B86" i="85"/>
  <c r="Z85" i="85"/>
  <c r="X85" i="85"/>
  <c r="N85" i="85"/>
  <c r="L85" i="85"/>
  <c r="B85" i="85"/>
  <c r="X84" i="85"/>
  <c r="Z84" i="85" s="1"/>
  <c r="V84" i="85"/>
  <c r="N84" i="85"/>
  <c r="L84" i="85"/>
  <c r="B84" i="85"/>
  <c r="X83" i="85"/>
  <c r="Z83" i="85" s="1"/>
  <c r="N83" i="85"/>
  <c r="L83" i="85"/>
  <c r="B83" i="85"/>
  <c r="X82" i="85"/>
  <c r="Z82" i="85" s="1"/>
  <c r="L82" i="85"/>
  <c r="N82" i="85" s="1"/>
  <c r="B82" i="85"/>
  <c r="X81" i="85"/>
  <c r="Z81" i="85" s="1"/>
  <c r="V81" i="85"/>
  <c r="N81" i="85"/>
  <c r="L81" i="85"/>
  <c r="B81" i="85"/>
  <c r="Z80" i="85"/>
  <c r="X80" i="85"/>
  <c r="N80" i="85"/>
  <c r="L80" i="85"/>
  <c r="J80" i="85"/>
  <c r="B80" i="85"/>
  <c r="Z79" i="85"/>
  <c r="X79" i="85"/>
  <c r="N79" i="85"/>
  <c r="L79" i="85"/>
  <c r="J79" i="85"/>
  <c r="B79" i="85"/>
  <c r="T78" i="85"/>
  <c r="P78" i="85"/>
  <c r="X78" i="85" s="1"/>
  <c r="L78" i="85"/>
  <c r="N78" i="85" s="1"/>
  <c r="H78" i="85"/>
  <c r="D78" i="85"/>
  <c r="B78" i="85"/>
  <c r="Z77" i="85"/>
  <c r="X77" i="85"/>
  <c r="V77" i="85"/>
  <c r="N77" i="85"/>
  <c r="L77" i="85"/>
  <c r="B77" i="85"/>
  <c r="Z76" i="85"/>
  <c r="X76" i="85"/>
  <c r="T76" i="85"/>
  <c r="P76" i="85"/>
  <c r="J76" i="85"/>
  <c r="H76" i="85"/>
  <c r="D76" i="85"/>
  <c r="B76" i="85"/>
  <c r="Z75" i="85"/>
  <c r="X75" i="85"/>
  <c r="N75" i="85"/>
  <c r="L75" i="85"/>
  <c r="B75" i="85"/>
  <c r="X74" i="85"/>
  <c r="Z74" i="85" s="1"/>
  <c r="L74" i="85"/>
  <c r="N74" i="85" s="1"/>
  <c r="B74" i="85"/>
  <c r="Z73" i="85"/>
  <c r="X73" i="85"/>
  <c r="N73" i="85"/>
  <c r="L73" i="85"/>
  <c r="B73" i="85"/>
  <c r="Z72" i="85"/>
  <c r="X72" i="85"/>
  <c r="N72" i="85"/>
  <c r="L72" i="85"/>
  <c r="B72" i="85"/>
  <c r="Z71" i="85"/>
  <c r="X71" i="85"/>
  <c r="N71" i="85"/>
  <c r="L71" i="85"/>
  <c r="B71" i="85"/>
  <c r="X70" i="85"/>
  <c r="T70" i="85"/>
  <c r="P70" i="85"/>
  <c r="H70" i="85"/>
  <c r="D70" i="85"/>
  <c r="L70" i="85" s="1"/>
  <c r="N70" i="85" s="1"/>
  <c r="B70" i="85"/>
  <c r="Z69" i="85"/>
  <c r="X69" i="85"/>
  <c r="N69" i="85"/>
  <c r="L69" i="85"/>
  <c r="B69" i="85"/>
  <c r="Z68" i="85"/>
  <c r="X68" i="85"/>
  <c r="N68" i="85"/>
  <c r="L68" i="85"/>
  <c r="F68" i="85"/>
  <c r="B68" i="85"/>
  <c r="Z67" i="85"/>
  <c r="X67" i="85"/>
  <c r="N67" i="85"/>
  <c r="L67" i="85"/>
  <c r="B67" i="85"/>
  <c r="T66" i="85"/>
  <c r="P66" i="85"/>
  <c r="X66" i="85" s="1"/>
  <c r="H66" i="85"/>
  <c r="N66" i="85" s="1"/>
  <c r="D66" i="85"/>
  <c r="L66" i="85" s="1"/>
  <c r="B66" i="85"/>
  <c r="Z65" i="85"/>
  <c r="X65" i="85"/>
  <c r="V65" i="85"/>
  <c r="N65" i="85"/>
  <c r="L65" i="85"/>
  <c r="J65" i="85"/>
  <c r="B65" i="85"/>
  <c r="T64" i="85"/>
  <c r="Z64" i="85" s="1"/>
  <c r="P64" i="85"/>
  <c r="X64" i="85" s="1"/>
  <c r="L64" i="85"/>
  <c r="N64" i="85" s="1"/>
  <c r="J64" i="85"/>
  <c r="H64" i="85"/>
  <c r="D64" i="85"/>
  <c r="B64" i="85"/>
  <c r="Z63" i="85"/>
  <c r="X63" i="85"/>
  <c r="V63" i="85"/>
  <c r="N63" i="85"/>
  <c r="L63" i="85"/>
  <c r="B63" i="85"/>
  <c r="T62" i="85"/>
  <c r="P62" i="85"/>
  <c r="L62" i="85"/>
  <c r="H62" i="85"/>
  <c r="D62" i="85"/>
  <c r="B62" i="85"/>
  <c r="Z61" i="85"/>
  <c r="X61" i="85"/>
  <c r="N61" i="85"/>
  <c r="L61" i="85"/>
  <c r="B61" i="85"/>
  <c r="X60" i="85"/>
  <c r="Z60" i="85" s="1"/>
  <c r="T60" i="85"/>
  <c r="P60" i="85"/>
  <c r="H60" i="85"/>
  <c r="N60" i="85" s="1"/>
  <c r="D60" i="85"/>
  <c r="L60" i="85" s="1"/>
  <c r="B60" i="85"/>
  <c r="Z59" i="85"/>
  <c r="X59" i="85"/>
  <c r="N59" i="85"/>
  <c r="L59" i="85"/>
  <c r="B59" i="85"/>
  <c r="T58" i="85"/>
  <c r="P58" i="85"/>
  <c r="X58" i="85" s="1"/>
  <c r="J58" i="85"/>
  <c r="H58" i="85"/>
  <c r="D58" i="85"/>
  <c r="L58" i="85" s="1"/>
  <c r="N58" i="85" s="1"/>
  <c r="B58" i="85"/>
  <c r="Z57" i="85"/>
  <c r="X57" i="85"/>
  <c r="N57" i="85"/>
  <c r="L57" i="85"/>
  <c r="J57" i="85"/>
  <c r="B57" i="85"/>
  <c r="V56" i="85"/>
  <c r="T56" i="85"/>
  <c r="P56" i="85"/>
  <c r="X56" i="85" s="1"/>
  <c r="Z56" i="85" s="1"/>
  <c r="N56" i="85"/>
  <c r="L56" i="85"/>
  <c r="H56" i="85"/>
  <c r="D56" i="85"/>
  <c r="B56" i="85"/>
  <c r="Z55" i="85"/>
  <c r="X55" i="85"/>
  <c r="L55" i="85"/>
  <c r="N55" i="85" s="1"/>
  <c r="B55" i="85"/>
  <c r="Z54" i="85"/>
  <c r="X54" i="85"/>
  <c r="N54" i="85"/>
  <c r="L54" i="85"/>
  <c r="B54" i="85"/>
  <c r="T53" i="85"/>
  <c r="Z53" i="85" s="1"/>
  <c r="P53" i="85"/>
  <c r="X53" i="85" s="1"/>
  <c r="N53" i="85"/>
  <c r="L53" i="85"/>
  <c r="H53" i="85"/>
  <c r="D53" i="85"/>
  <c r="B53" i="85"/>
  <c r="X52" i="85"/>
  <c r="Z52" i="85" s="1"/>
  <c r="V52" i="85"/>
  <c r="N52" i="85"/>
  <c r="L52" i="85"/>
  <c r="J52" i="85"/>
  <c r="B52" i="85"/>
  <c r="Z51" i="85"/>
  <c r="X51" i="85"/>
  <c r="T51" i="85"/>
  <c r="P51" i="85"/>
  <c r="H51" i="85"/>
  <c r="D51" i="85"/>
  <c r="B51" i="85"/>
  <c r="Z50" i="85"/>
  <c r="X50" i="85"/>
  <c r="V50" i="85"/>
  <c r="N50" i="85"/>
  <c r="L50" i="85"/>
  <c r="B50" i="85"/>
  <c r="T49" i="85"/>
  <c r="P49" i="85"/>
  <c r="H49" i="85"/>
  <c r="D49" i="85"/>
  <c r="L49" i="85" s="1"/>
  <c r="B49" i="85"/>
  <c r="Z48" i="85"/>
  <c r="X48" i="85"/>
  <c r="V48" i="85"/>
  <c r="L48" i="85"/>
  <c r="N48" i="85" s="1"/>
  <c r="J48" i="85"/>
  <c r="B48" i="85"/>
  <c r="T47" i="85"/>
  <c r="Z47" i="85" s="1"/>
  <c r="P47" i="85"/>
  <c r="X47" i="85" s="1"/>
  <c r="H47" i="85"/>
  <c r="D47" i="85"/>
  <c r="L47" i="85" s="1"/>
  <c r="B47" i="85"/>
  <c r="Z46" i="85"/>
  <c r="X46" i="85"/>
  <c r="N46" i="85"/>
  <c r="L46" i="85"/>
  <c r="B46" i="85"/>
  <c r="Z45" i="85"/>
  <c r="X45" i="85"/>
  <c r="N45" i="85"/>
  <c r="L45" i="85"/>
  <c r="J45" i="85"/>
  <c r="B45" i="85"/>
  <c r="Z44" i="85"/>
  <c r="X44" i="85"/>
  <c r="V44" i="85"/>
  <c r="N44" i="85"/>
  <c r="L44" i="85"/>
  <c r="J44" i="85"/>
  <c r="B44" i="85"/>
  <c r="X43" i="85"/>
  <c r="Z43" i="85" s="1"/>
  <c r="L43" i="85"/>
  <c r="N43" i="85" s="1"/>
  <c r="B43" i="85"/>
  <c r="Z42" i="85"/>
  <c r="X42" i="85"/>
  <c r="V42" i="85"/>
  <c r="N42" i="85"/>
  <c r="L42" i="85"/>
  <c r="B42" i="85"/>
  <c r="X41" i="85"/>
  <c r="Z41" i="85" s="1"/>
  <c r="V41" i="85"/>
  <c r="N41" i="85"/>
  <c r="L41" i="85"/>
  <c r="B41" i="85"/>
  <c r="X40" i="85"/>
  <c r="Z40" i="85" s="1"/>
  <c r="V40" i="85"/>
  <c r="N40" i="85"/>
  <c r="L40" i="85"/>
  <c r="J40" i="85"/>
  <c r="B40" i="85"/>
  <c r="Z39" i="85"/>
  <c r="X39" i="85"/>
  <c r="N39" i="85"/>
  <c r="L39" i="85"/>
  <c r="B39" i="85"/>
  <c r="Z38" i="85"/>
  <c r="X38" i="85"/>
  <c r="N38" i="85"/>
  <c r="L38" i="85"/>
  <c r="B38" i="85"/>
  <c r="Z37" i="85"/>
  <c r="X37" i="85"/>
  <c r="N37" i="85"/>
  <c r="L37" i="85"/>
  <c r="J37" i="85"/>
  <c r="B37" i="85"/>
  <c r="V36" i="85"/>
  <c r="T36" i="85"/>
  <c r="P36" i="85"/>
  <c r="X36" i="85" s="1"/>
  <c r="Z36" i="85" s="1"/>
  <c r="N36" i="85"/>
  <c r="L36" i="85"/>
  <c r="H36" i="85"/>
  <c r="D36" i="85"/>
  <c r="B36" i="85"/>
  <c r="Z35" i="85"/>
  <c r="X35" i="85"/>
  <c r="N35" i="85"/>
  <c r="L35" i="85"/>
  <c r="B35" i="85"/>
  <c r="Z34" i="85"/>
  <c r="X34" i="85"/>
  <c r="N34" i="85"/>
  <c r="L34" i="85"/>
  <c r="B34" i="85"/>
  <c r="Z33" i="85"/>
  <c r="X33" i="85"/>
  <c r="L33" i="85"/>
  <c r="N33" i="85" s="1"/>
  <c r="J33" i="85"/>
  <c r="B33" i="85"/>
  <c r="Z32" i="85"/>
  <c r="X32" i="85"/>
  <c r="V32" i="85"/>
  <c r="N32" i="85"/>
  <c r="L32" i="85"/>
  <c r="J32" i="85"/>
  <c r="B32" i="85"/>
  <c r="X31" i="85"/>
  <c r="Z31" i="85" s="1"/>
  <c r="N31" i="85"/>
  <c r="L31" i="85"/>
  <c r="B31" i="85"/>
  <c r="Z30" i="85"/>
  <c r="X30" i="85"/>
  <c r="V30" i="85"/>
  <c r="N30" i="85"/>
  <c r="L30" i="85"/>
  <c r="B30" i="85"/>
  <c r="X29" i="85"/>
  <c r="Z29" i="85" s="1"/>
  <c r="V29" i="85"/>
  <c r="N29" i="85"/>
  <c r="L29" i="85"/>
  <c r="B29" i="85"/>
  <c r="X28" i="85"/>
  <c r="Z28" i="85" s="1"/>
  <c r="V28" i="85"/>
  <c r="N28" i="85"/>
  <c r="L28" i="85"/>
  <c r="J28" i="85"/>
  <c r="B28" i="85"/>
  <c r="X27" i="85"/>
  <c r="Z27" i="85" s="1"/>
  <c r="V27" i="85"/>
  <c r="L27" i="85"/>
  <c r="N27" i="85" s="1"/>
  <c r="B27" i="85"/>
  <c r="Z26" i="85"/>
  <c r="X26" i="85"/>
  <c r="T26" i="85"/>
  <c r="P26" i="85"/>
  <c r="L26" i="85"/>
  <c r="N26" i="85" s="1"/>
  <c r="J26" i="85"/>
  <c r="H26" i="85"/>
  <c r="D26" i="85"/>
  <c r="B26" i="85"/>
  <c r="T25" i="85"/>
  <c r="P25" i="85"/>
  <c r="H25" i="85"/>
  <c r="D25" i="85"/>
  <c r="L25" i="85" s="1"/>
  <c r="T23" i="85"/>
  <c r="Z21" i="85"/>
  <c r="X21" i="85"/>
  <c r="V21" i="85"/>
  <c r="N21" i="85"/>
  <c r="L21" i="85"/>
  <c r="B21" i="85"/>
  <c r="Z20" i="85"/>
  <c r="X20" i="85"/>
  <c r="V20" i="85"/>
  <c r="N20" i="85"/>
  <c r="L20" i="85"/>
  <c r="J20" i="85"/>
  <c r="B20" i="85"/>
  <c r="Z19" i="85"/>
  <c r="X19" i="85"/>
  <c r="V19" i="85"/>
  <c r="L19" i="85"/>
  <c r="N19" i="85" s="1"/>
  <c r="B19" i="85"/>
  <c r="Z18" i="85"/>
  <c r="X18" i="85"/>
  <c r="T18" i="85"/>
  <c r="P18" i="85"/>
  <c r="L18" i="85"/>
  <c r="N18" i="85" s="1"/>
  <c r="J18" i="85"/>
  <c r="H18" i="85"/>
  <c r="D18" i="85"/>
  <c r="Z16" i="85"/>
  <c r="P16" i="85"/>
  <c r="X16" i="85" s="1"/>
  <c r="N16" i="85"/>
  <c r="L16" i="85"/>
  <c r="D16" i="85"/>
  <c r="B16" i="85"/>
  <c r="X15" i="85"/>
  <c r="Z15" i="85" s="1"/>
  <c r="P15" i="85"/>
  <c r="L15" i="85"/>
  <c r="N15" i="85" s="1"/>
  <c r="D15" i="85"/>
  <c r="B15" i="85"/>
  <c r="Z14" i="85"/>
  <c r="P14" i="85"/>
  <c r="X14" i="85" s="1"/>
  <c r="N14" i="85"/>
  <c r="D14" i="85"/>
  <c r="L14" i="85" s="1"/>
  <c r="B14" i="85"/>
  <c r="Z13" i="85"/>
  <c r="X13" i="85"/>
  <c r="P13" i="85"/>
  <c r="D13" i="85"/>
  <c r="L13" i="85" s="1"/>
  <c r="N13" i="85" s="1"/>
  <c r="B13" i="85"/>
  <c r="T12" i="85"/>
  <c r="V73" i="85" s="1"/>
  <c r="H12" i="85"/>
  <c r="D12" i="85"/>
  <c r="D6" i="85"/>
  <c r="D4" i="85"/>
  <c r="V86" i="84"/>
  <c r="V83" i="84"/>
  <c r="Z81" i="84"/>
  <c r="X81" i="84"/>
  <c r="V81" i="84"/>
  <c r="N81" i="84"/>
  <c r="L81" i="84"/>
  <c r="J81" i="84"/>
  <c r="V79" i="84"/>
  <c r="Z77" i="84"/>
  <c r="X77" i="84"/>
  <c r="V77" i="84"/>
  <c r="T77" i="84"/>
  <c r="P77" i="84"/>
  <c r="H77" i="84"/>
  <c r="N77" i="84" s="1"/>
  <c r="D77" i="84"/>
  <c r="Z75" i="84"/>
  <c r="X75" i="84"/>
  <c r="V75" i="84"/>
  <c r="N75" i="84"/>
  <c r="L75" i="84"/>
  <c r="J75" i="84"/>
  <c r="B75" i="84"/>
  <c r="T74" i="84"/>
  <c r="Z74" i="84" s="1"/>
  <c r="P74" i="84"/>
  <c r="X74" i="84" s="1"/>
  <c r="H74" i="84"/>
  <c r="N74" i="84" s="1"/>
  <c r="D74" i="84"/>
  <c r="L74" i="84" s="1"/>
  <c r="B74" i="84"/>
  <c r="Z73" i="84"/>
  <c r="X73" i="84"/>
  <c r="N73" i="84"/>
  <c r="L73" i="84"/>
  <c r="B73" i="84"/>
  <c r="T72" i="84"/>
  <c r="Z72" i="84" s="1"/>
  <c r="P72" i="84"/>
  <c r="X72" i="84" s="1"/>
  <c r="N72" i="84"/>
  <c r="L72" i="84"/>
  <c r="H72" i="84"/>
  <c r="D72" i="84"/>
  <c r="B72" i="84"/>
  <c r="Z71" i="84"/>
  <c r="X71" i="84"/>
  <c r="V71" i="84"/>
  <c r="N71" i="84"/>
  <c r="L71" i="84"/>
  <c r="B71" i="84"/>
  <c r="Z70" i="84"/>
  <c r="X70" i="84"/>
  <c r="T70" i="84"/>
  <c r="P70" i="84"/>
  <c r="J70" i="84"/>
  <c r="H70" i="84"/>
  <c r="D70" i="84"/>
  <c r="B70" i="84"/>
  <c r="Z69" i="84"/>
  <c r="X69" i="84"/>
  <c r="V69" i="84"/>
  <c r="N69" i="84"/>
  <c r="L69" i="84"/>
  <c r="B69" i="84"/>
  <c r="Z68" i="84"/>
  <c r="X68" i="84"/>
  <c r="V68" i="84"/>
  <c r="N68" i="84"/>
  <c r="L68" i="84"/>
  <c r="B68" i="84"/>
  <c r="Z67" i="84"/>
  <c r="X67" i="84"/>
  <c r="V67" i="84"/>
  <c r="N67" i="84"/>
  <c r="L67" i="84"/>
  <c r="B67" i="84"/>
  <c r="Z66" i="84"/>
  <c r="X66" i="84"/>
  <c r="T66" i="84"/>
  <c r="P66" i="84"/>
  <c r="J66" i="84"/>
  <c r="H66" i="84"/>
  <c r="D66" i="84"/>
  <c r="B66" i="84"/>
  <c r="Z65" i="84"/>
  <c r="X65" i="84"/>
  <c r="V65" i="84"/>
  <c r="N65" i="84"/>
  <c r="L65" i="84"/>
  <c r="B65" i="84"/>
  <c r="V64" i="84"/>
  <c r="T64" i="84"/>
  <c r="P64" i="84"/>
  <c r="H64" i="84"/>
  <c r="N64" i="84" s="1"/>
  <c r="D64" i="84"/>
  <c r="L64" i="84" s="1"/>
  <c r="B64" i="84"/>
  <c r="Z63" i="84"/>
  <c r="X63" i="84"/>
  <c r="V63" i="84"/>
  <c r="N63" i="84"/>
  <c r="L63" i="84"/>
  <c r="B63" i="84"/>
  <c r="T62" i="84"/>
  <c r="Z62" i="84" s="1"/>
  <c r="P62" i="84"/>
  <c r="X62" i="84" s="1"/>
  <c r="H62" i="84"/>
  <c r="N62" i="84" s="1"/>
  <c r="D62" i="84"/>
  <c r="L62" i="84" s="1"/>
  <c r="B62" i="84"/>
  <c r="Z61" i="84"/>
  <c r="X61" i="84"/>
  <c r="N61" i="84"/>
  <c r="L61" i="84"/>
  <c r="B61" i="84"/>
  <c r="T60" i="84"/>
  <c r="Z60" i="84" s="1"/>
  <c r="P60" i="84"/>
  <c r="X60" i="84" s="1"/>
  <c r="N60" i="84"/>
  <c r="H60" i="84"/>
  <c r="D60" i="84"/>
  <c r="L60" i="84" s="1"/>
  <c r="B60" i="84"/>
  <c r="Z59" i="84"/>
  <c r="X59" i="84"/>
  <c r="V59" i="84"/>
  <c r="N59" i="84"/>
  <c r="L59" i="84"/>
  <c r="B59" i="84"/>
  <c r="Z58" i="84"/>
  <c r="X58" i="84"/>
  <c r="N58" i="84"/>
  <c r="L58" i="84"/>
  <c r="B58" i="84"/>
  <c r="Z57" i="84"/>
  <c r="X57" i="84"/>
  <c r="T57" i="84"/>
  <c r="P57" i="84"/>
  <c r="N57" i="84"/>
  <c r="L57" i="84"/>
  <c r="H57" i="84"/>
  <c r="D57" i="84"/>
  <c r="B57" i="84"/>
  <c r="Z56" i="84"/>
  <c r="X56" i="84"/>
  <c r="V56" i="84"/>
  <c r="N56" i="84"/>
  <c r="L56" i="84"/>
  <c r="B56" i="84"/>
  <c r="Z55" i="84"/>
  <c r="X55" i="84"/>
  <c r="V55" i="84"/>
  <c r="T55" i="84"/>
  <c r="P55" i="84"/>
  <c r="N55" i="84"/>
  <c r="H55" i="84"/>
  <c r="F55" i="84"/>
  <c r="D55" i="84"/>
  <c r="B55" i="84"/>
  <c r="Z54" i="84"/>
  <c r="X54" i="84"/>
  <c r="N54" i="84"/>
  <c r="L54" i="84"/>
  <c r="B54" i="84"/>
  <c r="Z53" i="84"/>
  <c r="V53" i="84"/>
  <c r="T53" i="84"/>
  <c r="R53" i="84"/>
  <c r="P53" i="84"/>
  <c r="N53" i="84"/>
  <c r="J53" i="84"/>
  <c r="H53" i="84"/>
  <c r="D53" i="84"/>
  <c r="L53" i="84" s="1"/>
  <c r="B53" i="84"/>
  <c r="Z52" i="84"/>
  <c r="X52" i="84"/>
  <c r="N52" i="84"/>
  <c r="L52" i="84"/>
  <c r="F52" i="84"/>
  <c r="B52" i="84"/>
  <c r="Z51" i="84"/>
  <c r="V51" i="84"/>
  <c r="T51" i="84"/>
  <c r="P51" i="84"/>
  <c r="X51" i="84" s="1"/>
  <c r="N51" i="84"/>
  <c r="L51" i="84"/>
  <c r="H51" i="84"/>
  <c r="D51" i="84"/>
  <c r="B51" i="84"/>
  <c r="Z50" i="84"/>
  <c r="X50" i="84"/>
  <c r="L50" i="84"/>
  <c r="N50" i="84" s="1"/>
  <c r="B50" i="84"/>
  <c r="Z49" i="84"/>
  <c r="X49" i="84"/>
  <c r="T49" i="84"/>
  <c r="R49" i="84"/>
  <c r="P49" i="84"/>
  <c r="L49" i="84"/>
  <c r="N49" i="84" s="1"/>
  <c r="J49" i="84"/>
  <c r="H49" i="84"/>
  <c r="D49" i="84"/>
  <c r="B49" i="84"/>
  <c r="Z48" i="84"/>
  <c r="X48" i="84"/>
  <c r="V48" i="84"/>
  <c r="N48" i="84"/>
  <c r="L48" i="84"/>
  <c r="F48" i="84"/>
  <c r="B48" i="84"/>
  <c r="Z47" i="84"/>
  <c r="X47" i="84"/>
  <c r="V47" i="84"/>
  <c r="T47" i="84"/>
  <c r="P47" i="84"/>
  <c r="H47" i="84"/>
  <c r="N47" i="84" s="1"/>
  <c r="D47" i="84"/>
  <c r="B47" i="84"/>
  <c r="Z46" i="84"/>
  <c r="X46" i="84"/>
  <c r="N46" i="84"/>
  <c r="L46" i="84"/>
  <c r="B46" i="84"/>
  <c r="V45" i="84"/>
  <c r="T45" i="84"/>
  <c r="Z45" i="84" s="1"/>
  <c r="P45" i="84"/>
  <c r="N45" i="84"/>
  <c r="J45" i="84"/>
  <c r="H45" i="84"/>
  <c r="D45" i="84"/>
  <c r="L45" i="84" s="1"/>
  <c r="B45" i="84"/>
  <c r="Z44" i="84"/>
  <c r="X44" i="84"/>
  <c r="N44" i="84"/>
  <c r="L44" i="84"/>
  <c r="J44" i="84"/>
  <c r="B44" i="84"/>
  <c r="Z43" i="84"/>
  <c r="X43" i="84"/>
  <c r="V43" i="84"/>
  <c r="N43" i="84"/>
  <c r="L43" i="84"/>
  <c r="J43" i="84"/>
  <c r="B43" i="84"/>
  <c r="Z42" i="84"/>
  <c r="X42" i="84"/>
  <c r="N42" i="84"/>
  <c r="L42" i="84"/>
  <c r="B42" i="84"/>
  <c r="Z41" i="84"/>
  <c r="X41" i="84"/>
  <c r="V41" i="84"/>
  <c r="N41" i="84"/>
  <c r="L41" i="84"/>
  <c r="B41" i="84"/>
  <c r="Z40" i="84"/>
  <c r="X40" i="84"/>
  <c r="V40" i="84"/>
  <c r="N40" i="84"/>
  <c r="L40" i="84"/>
  <c r="B40" i="84"/>
  <c r="Z39" i="84"/>
  <c r="X39" i="84"/>
  <c r="V39" i="84"/>
  <c r="N39" i="84"/>
  <c r="L39" i="84"/>
  <c r="J39" i="84"/>
  <c r="B39" i="84"/>
  <c r="Z38" i="84"/>
  <c r="X38" i="84"/>
  <c r="N38" i="84"/>
  <c r="L38" i="84"/>
  <c r="B38" i="84"/>
  <c r="Z37" i="84"/>
  <c r="X37" i="84"/>
  <c r="N37" i="84"/>
  <c r="L37" i="84"/>
  <c r="B37" i="84"/>
  <c r="Z36" i="84"/>
  <c r="X36" i="84"/>
  <c r="N36" i="84"/>
  <c r="L36" i="84"/>
  <c r="B36" i="84"/>
  <c r="Z35" i="84"/>
  <c r="X35" i="84"/>
  <c r="V35" i="84"/>
  <c r="N35" i="84"/>
  <c r="L35" i="84"/>
  <c r="B35" i="84"/>
  <c r="T34" i="84"/>
  <c r="Z34" i="84" s="1"/>
  <c r="P34" i="84"/>
  <c r="X34" i="84" s="1"/>
  <c r="H34" i="84"/>
  <c r="N34" i="84" s="1"/>
  <c r="D34" i="84"/>
  <c r="B34" i="84"/>
  <c r="Z33" i="84"/>
  <c r="X33" i="84"/>
  <c r="N33" i="84"/>
  <c r="L33" i="84"/>
  <c r="B33" i="84"/>
  <c r="Z32" i="84"/>
  <c r="X32" i="84"/>
  <c r="N32" i="84"/>
  <c r="L32" i="84"/>
  <c r="B32" i="84"/>
  <c r="Z31" i="84"/>
  <c r="X31" i="84"/>
  <c r="V31" i="84"/>
  <c r="N31" i="84"/>
  <c r="L31" i="84"/>
  <c r="B31" i="84"/>
  <c r="Z30" i="84"/>
  <c r="X30" i="84"/>
  <c r="N30" i="84"/>
  <c r="L30" i="84"/>
  <c r="B30" i="84"/>
  <c r="Z29" i="84"/>
  <c r="X29" i="84"/>
  <c r="V29" i="84"/>
  <c r="R29" i="84"/>
  <c r="N29" i="84"/>
  <c r="L29" i="84"/>
  <c r="B29" i="84"/>
  <c r="Z28" i="84"/>
  <c r="X28" i="84"/>
  <c r="V28" i="84"/>
  <c r="N28" i="84"/>
  <c r="L28" i="84"/>
  <c r="B28" i="84"/>
  <c r="Z27" i="84"/>
  <c r="X27" i="84"/>
  <c r="V27" i="84"/>
  <c r="N27" i="84"/>
  <c r="L27" i="84"/>
  <c r="J27" i="84"/>
  <c r="B27" i="84"/>
  <c r="Z26" i="84"/>
  <c r="X26" i="84"/>
  <c r="V26" i="84"/>
  <c r="N26" i="84"/>
  <c r="L26" i="84"/>
  <c r="B26" i="84"/>
  <c r="Z25" i="84"/>
  <c r="X25" i="84"/>
  <c r="N25" i="84"/>
  <c r="L25" i="84"/>
  <c r="F25" i="84"/>
  <c r="B25" i="84"/>
  <c r="T24" i="84"/>
  <c r="Z24" i="84" s="1"/>
  <c r="P24" i="84"/>
  <c r="X24" i="84" s="1"/>
  <c r="N24" i="84"/>
  <c r="H24" i="84"/>
  <c r="D24" i="84"/>
  <c r="L24" i="84" s="1"/>
  <c r="B24" i="84"/>
  <c r="V23" i="84"/>
  <c r="T23" i="84"/>
  <c r="P23" i="84"/>
  <c r="X23" i="84" s="1"/>
  <c r="Z23" i="84" s="1"/>
  <c r="H23" i="84"/>
  <c r="N23" i="84" s="1"/>
  <c r="D23" i="84"/>
  <c r="L23" i="84" s="1"/>
  <c r="V21" i="84"/>
  <c r="Z19" i="84"/>
  <c r="X19" i="84"/>
  <c r="V19" i="84"/>
  <c r="N19" i="84"/>
  <c r="L19" i="84"/>
  <c r="J19" i="84"/>
  <c r="B19" i="84"/>
  <c r="Z18" i="84"/>
  <c r="X18" i="84"/>
  <c r="V18" i="84"/>
  <c r="N18" i="84"/>
  <c r="L18" i="84"/>
  <c r="B18" i="84"/>
  <c r="Z17" i="84"/>
  <c r="X17" i="84"/>
  <c r="T17" i="84"/>
  <c r="P17" i="84"/>
  <c r="N17" i="84"/>
  <c r="L17" i="84"/>
  <c r="H17" i="84"/>
  <c r="D17" i="84"/>
  <c r="Z15" i="84"/>
  <c r="P15" i="84"/>
  <c r="X15" i="84" s="1"/>
  <c r="N15" i="84"/>
  <c r="L15" i="84"/>
  <c r="D15" i="84"/>
  <c r="B15" i="84"/>
  <c r="Z14" i="84"/>
  <c r="X14" i="84"/>
  <c r="P14" i="84"/>
  <c r="N14" i="84"/>
  <c r="L14" i="84"/>
  <c r="D14" i="84"/>
  <c r="B14" i="84"/>
  <c r="Z13" i="84"/>
  <c r="P13" i="84"/>
  <c r="X13" i="84" s="1"/>
  <c r="N13" i="84"/>
  <c r="D13" i="84"/>
  <c r="L13" i="84" s="1"/>
  <c r="B13" i="84"/>
  <c r="Z12" i="84"/>
  <c r="T12" i="84"/>
  <c r="V70" i="84" s="1"/>
  <c r="P12" i="84"/>
  <c r="R69" i="84" s="1"/>
  <c r="H12" i="84"/>
  <c r="D12" i="84"/>
  <c r="D6" i="84"/>
  <c r="D4" i="84"/>
  <c r="Z82" i="83"/>
  <c r="X82" i="83"/>
  <c r="N82" i="83"/>
  <c r="L82" i="83"/>
  <c r="Z78" i="83"/>
  <c r="X78" i="83"/>
  <c r="T78" i="83"/>
  <c r="P78" i="83"/>
  <c r="H78" i="83"/>
  <c r="D78" i="83"/>
  <c r="Z76" i="83"/>
  <c r="X76" i="83"/>
  <c r="N76" i="83"/>
  <c r="L76" i="83"/>
  <c r="B76" i="83"/>
  <c r="T75" i="83"/>
  <c r="Z75" i="83" s="1"/>
  <c r="P75" i="83"/>
  <c r="N75" i="83"/>
  <c r="H75" i="83"/>
  <c r="D75" i="83"/>
  <c r="L75" i="83" s="1"/>
  <c r="B75" i="83"/>
  <c r="Z74" i="83"/>
  <c r="X74" i="83"/>
  <c r="N74" i="83"/>
  <c r="L74" i="83"/>
  <c r="J74" i="83"/>
  <c r="B74" i="83"/>
  <c r="Z73" i="83"/>
  <c r="X73" i="83"/>
  <c r="V73" i="83"/>
  <c r="N73" i="83"/>
  <c r="L73" i="83"/>
  <c r="J73" i="83"/>
  <c r="B73" i="83"/>
  <c r="T72" i="83"/>
  <c r="P72" i="83"/>
  <c r="H72" i="83"/>
  <c r="N72" i="83" s="1"/>
  <c r="D72" i="83"/>
  <c r="B72" i="83"/>
  <c r="Z71" i="83"/>
  <c r="X71" i="83"/>
  <c r="N71" i="83"/>
  <c r="L71" i="83"/>
  <c r="B71" i="83"/>
  <c r="Z70" i="83"/>
  <c r="X70" i="83"/>
  <c r="N70" i="83"/>
  <c r="L70" i="83"/>
  <c r="B70" i="83"/>
  <c r="Z69" i="83"/>
  <c r="X69" i="83"/>
  <c r="V69" i="83"/>
  <c r="N69" i="83"/>
  <c r="L69" i="83"/>
  <c r="B69" i="83"/>
  <c r="Z68" i="83"/>
  <c r="X68" i="83"/>
  <c r="N68" i="83"/>
  <c r="L68" i="83"/>
  <c r="B68" i="83"/>
  <c r="Z67" i="83"/>
  <c r="X67" i="83"/>
  <c r="V67" i="83"/>
  <c r="N67" i="83"/>
  <c r="L67" i="83"/>
  <c r="B67" i="83"/>
  <c r="Z66" i="83"/>
  <c r="X66" i="83"/>
  <c r="V66" i="83"/>
  <c r="N66" i="83"/>
  <c r="L66" i="83"/>
  <c r="B66" i="83"/>
  <c r="Z65" i="83"/>
  <c r="X65" i="83"/>
  <c r="V65" i="83"/>
  <c r="N65" i="83"/>
  <c r="L65" i="83"/>
  <c r="B65" i="83"/>
  <c r="Z64" i="83"/>
  <c r="X64" i="83"/>
  <c r="N64" i="83"/>
  <c r="L64" i="83"/>
  <c r="B64" i="83"/>
  <c r="Z63" i="83"/>
  <c r="X63" i="83"/>
  <c r="T63" i="83"/>
  <c r="P63" i="83"/>
  <c r="N63" i="83"/>
  <c r="L63" i="83"/>
  <c r="J63" i="83"/>
  <c r="H63" i="83"/>
  <c r="D63" i="83"/>
  <c r="B63" i="83"/>
  <c r="Z62" i="83"/>
  <c r="X62" i="83"/>
  <c r="V62" i="83"/>
  <c r="N62" i="83"/>
  <c r="L62" i="83"/>
  <c r="B62" i="83"/>
  <c r="Z61" i="83"/>
  <c r="X61" i="83"/>
  <c r="V61" i="83"/>
  <c r="N61" i="83"/>
  <c r="L61" i="83"/>
  <c r="B61" i="83"/>
  <c r="Z60" i="83"/>
  <c r="T60" i="83"/>
  <c r="P60" i="83"/>
  <c r="X60" i="83" s="1"/>
  <c r="L60" i="83"/>
  <c r="J60" i="83"/>
  <c r="H60" i="83"/>
  <c r="N60" i="83" s="1"/>
  <c r="D60" i="83"/>
  <c r="B60" i="83"/>
  <c r="Z59" i="83"/>
  <c r="X59" i="83"/>
  <c r="V59" i="83"/>
  <c r="N59" i="83"/>
  <c r="L59" i="83"/>
  <c r="B59" i="83"/>
  <c r="Z58" i="83"/>
  <c r="X58" i="83"/>
  <c r="V58" i="83"/>
  <c r="N58" i="83"/>
  <c r="L58" i="83"/>
  <c r="B58" i="83"/>
  <c r="Z57" i="83"/>
  <c r="X57" i="83"/>
  <c r="V57" i="83"/>
  <c r="N57" i="83"/>
  <c r="L57" i="83"/>
  <c r="J57" i="83"/>
  <c r="B57" i="83"/>
  <c r="Z56" i="83"/>
  <c r="X56" i="83"/>
  <c r="N56" i="83"/>
  <c r="L56" i="83"/>
  <c r="B56" i="83"/>
  <c r="Z55" i="83"/>
  <c r="X55" i="83"/>
  <c r="T55" i="83"/>
  <c r="P55" i="83"/>
  <c r="N55" i="83"/>
  <c r="L55" i="83"/>
  <c r="H55" i="83"/>
  <c r="D55" i="83"/>
  <c r="B55" i="83"/>
  <c r="Z54" i="83"/>
  <c r="X54" i="83"/>
  <c r="V54" i="83"/>
  <c r="N54" i="83"/>
  <c r="L54" i="83"/>
  <c r="B54" i="83"/>
  <c r="Z53" i="83"/>
  <c r="X53" i="83"/>
  <c r="V53" i="83"/>
  <c r="T53" i="83"/>
  <c r="P53" i="83"/>
  <c r="N53" i="83"/>
  <c r="H53" i="83"/>
  <c r="D53" i="83"/>
  <c r="B53" i="83"/>
  <c r="Z52" i="83"/>
  <c r="X52" i="83"/>
  <c r="N52" i="83"/>
  <c r="L52" i="83"/>
  <c r="B52" i="83"/>
  <c r="V51" i="83"/>
  <c r="T51" i="83"/>
  <c r="Z51" i="83" s="1"/>
  <c r="P51" i="83"/>
  <c r="X51" i="83" s="1"/>
  <c r="N51" i="83"/>
  <c r="H51" i="83"/>
  <c r="D51" i="83"/>
  <c r="L51" i="83" s="1"/>
  <c r="B51" i="83"/>
  <c r="Z50" i="83"/>
  <c r="X50" i="83"/>
  <c r="L50" i="83"/>
  <c r="N50" i="83" s="1"/>
  <c r="J50" i="83"/>
  <c r="B50" i="83"/>
  <c r="V49" i="83"/>
  <c r="T49" i="83"/>
  <c r="P49" i="83"/>
  <c r="X49" i="83" s="1"/>
  <c r="Z49" i="83" s="1"/>
  <c r="N49" i="83"/>
  <c r="L49" i="83"/>
  <c r="H49" i="83"/>
  <c r="D49" i="83"/>
  <c r="B49" i="83"/>
  <c r="Z48" i="83"/>
  <c r="X48" i="83"/>
  <c r="N48" i="83"/>
  <c r="L48" i="83"/>
  <c r="B48" i="83"/>
  <c r="Z47" i="83"/>
  <c r="X47" i="83"/>
  <c r="T47" i="83"/>
  <c r="P47" i="83"/>
  <c r="N47" i="83"/>
  <c r="L47" i="83"/>
  <c r="H47" i="83"/>
  <c r="D47" i="83"/>
  <c r="B47" i="83"/>
  <c r="Z46" i="83"/>
  <c r="X46" i="83"/>
  <c r="V46" i="83"/>
  <c r="N46" i="83"/>
  <c r="L46" i="83"/>
  <c r="B46" i="83"/>
  <c r="Z45" i="83"/>
  <c r="X45" i="83"/>
  <c r="V45" i="83"/>
  <c r="T45" i="83"/>
  <c r="P45" i="83"/>
  <c r="H45" i="83"/>
  <c r="N45" i="83" s="1"/>
  <c r="D45" i="83"/>
  <c r="B45" i="83"/>
  <c r="Z44" i="83"/>
  <c r="X44" i="83"/>
  <c r="N44" i="83"/>
  <c r="L44" i="83"/>
  <c r="B44" i="83"/>
  <c r="Z43" i="83"/>
  <c r="V43" i="83"/>
  <c r="T43" i="83"/>
  <c r="P43" i="83"/>
  <c r="X43" i="83" s="1"/>
  <c r="N43" i="83"/>
  <c r="J43" i="83"/>
  <c r="H43" i="83"/>
  <c r="D43" i="83"/>
  <c r="L43" i="83" s="1"/>
  <c r="B43" i="83"/>
  <c r="Z42" i="83"/>
  <c r="X42" i="83"/>
  <c r="N42" i="83"/>
  <c r="L42" i="83"/>
  <c r="F42" i="83"/>
  <c r="B42" i="83"/>
  <c r="Z41" i="83"/>
  <c r="X41" i="83"/>
  <c r="V41" i="83"/>
  <c r="N41" i="83"/>
  <c r="L41" i="83"/>
  <c r="B41" i="83"/>
  <c r="Z40" i="83"/>
  <c r="X40" i="83"/>
  <c r="N40" i="83"/>
  <c r="L40" i="83"/>
  <c r="B40" i="83"/>
  <c r="Z39" i="83"/>
  <c r="X39" i="83"/>
  <c r="V39" i="83"/>
  <c r="N39" i="83"/>
  <c r="L39" i="83"/>
  <c r="B39" i="83"/>
  <c r="Z38" i="83"/>
  <c r="X38" i="83"/>
  <c r="V38" i="83"/>
  <c r="N38" i="83"/>
  <c r="L38" i="83"/>
  <c r="B38" i="83"/>
  <c r="Z37" i="83"/>
  <c r="X37" i="83"/>
  <c r="V37" i="83"/>
  <c r="N37" i="83"/>
  <c r="L37" i="83"/>
  <c r="B37" i="83"/>
  <c r="Z36" i="83"/>
  <c r="X36" i="83"/>
  <c r="N36" i="83"/>
  <c r="L36" i="83"/>
  <c r="B36" i="83"/>
  <c r="Z35" i="83"/>
  <c r="X35" i="83"/>
  <c r="N35" i="83"/>
  <c r="L35" i="83"/>
  <c r="F35" i="83"/>
  <c r="B35" i="83"/>
  <c r="Z34" i="83"/>
  <c r="X34" i="83"/>
  <c r="N34" i="83"/>
  <c r="L34" i="83"/>
  <c r="B34" i="83"/>
  <c r="Z33" i="83"/>
  <c r="X33" i="83"/>
  <c r="V33" i="83"/>
  <c r="N33" i="83"/>
  <c r="L33" i="83"/>
  <c r="B33" i="83"/>
  <c r="X32" i="83"/>
  <c r="T32" i="83"/>
  <c r="Z32" i="83" s="1"/>
  <c r="P32" i="83"/>
  <c r="H32" i="83"/>
  <c r="N32" i="83" s="1"/>
  <c r="D32" i="83"/>
  <c r="B32" i="83"/>
  <c r="Z31" i="83"/>
  <c r="X31" i="83"/>
  <c r="N31" i="83"/>
  <c r="L31" i="83"/>
  <c r="F31" i="83"/>
  <c r="B31" i="83"/>
  <c r="Z30" i="83"/>
  <c r="X30" i="83"/>
  <c r="N30" i="83"/>
  <c r="L30" i="83"/>
  <c r="B30" i="83"/>
  <c r="Z29" i="83"/>
  <c r="X29" i="83"/>
  <c r="V29" i="83"/>
  <c r="N29" i="83"/>
  <c r="L29" i="83"/>
  <c r="F29" i="83"/>
  <c r="B29" i="83"/>
  <c r="Z28" i="83"/>
  <c r="X28" i="83"/>
  <c r="N28" i="83"/>
  <c r="L28" i="83"/>
  <c r="B28" i="83"/>
  <c r="Z27" i="83"/>
  <c r="X27" i="83"/>
  <c r="V27" i="83"/>
  <c r="N27" i="83"/>
  <c r="L27" i="83"/>
  <c r="B27" i="83"/>
  <c r="Z26" i="83"/>
  <c r="X26" i="83"/>
  <c r="V26" i="83"/>
  <c r="N26" i="83"/>
  <c r="L26" i="83"/>
  <c r="B26" i="83"/>
  <c r="Z25" i="83"/>
  <c r="X25" i="83"/>
  <c r="V25" i="83"/>
  <c r="N25" i="83"/>
  <c r="L25" i="83"/>
  <c r="B25" i="83"/>
  <c r="Z24" i="83"/>
  <c r="X24" i="83"/>
  <c r="V24" i="83"/>
  <c r="N24" i="83"/>
  <c r="L24" i="83"/>
  <c r="B24" i="83"/>
  <c r="Z23" i="83"/>
  <c r="X23" i="83"/>
  <c r="N23" i="83"/>
  <c r="L23" i="83"/>
  <c r="J23" i="83"/>
  <c r="B23" i="83"/>
  <c r="Z22" i="83"/>
  <c r="T22" i="83"/>
  <c r="P22" i="83"/>
  <c r="X22" i="83" s="1"/>
  <c r="N22" i="83"/>
  <c r="L22" i="83"/>
  <c r="J22" i="83"/>
  <c r="H22" i="83"/>
  <c r="D22" i="83"/>
  <c r="B22" i="83"/>
  <c r="V21" i="83"/>
  <c r="T21" i="83"/>
  <c r="P21" i="83"/>
  <c r="X21" i="83" s="1"/>
  <c r="H21" i="83"/>
  <c r="D21" i="83"/>
  <c r="V19" i="83"/>
  <c r="Z17" i="83"/>
  <c r="X17" i="83"/>
  <c r="V17" i="83"/>
  <c r="N17" i="83"/>
  <c r="L17" i="83"/>
  <c r="B17" i="83"/>
  <c r="Z16" i="83"/>
  <c r="V16" i="83"/>
  <c r="T16" i="83"/>
  <c r="P16" i="83"/>
  <c r="X16" i="83" s="1"/>
  <c r="H16" i="83"/>
  <c r="N16" i="83" s="1"/>
  <c r="D16" i="83"/>
  <c r="Z14" i="83"/>
  <c r="X14" i="83"/>
  <c r="P14" i="83"/>
  <c r="N14" i="83"/>
  <c r="D14" i="83"/>
  <c r="L14" i="83" s="1"/>
  <c r="B14" i="83"/>
  <c r="Z13" i="83"/>
  <c r="P13" i="83"/>
  <c r="X13" i="83" s="1"/>
  <c r="N13" i="83"/>
  <c r="L13" i="83"/>
  <c r="D13" i="83"/>
  <c r="B13" i="83"/>
  <c r="Z12" i="83"/>
  <c r="T12" i="83"/>
  <c r="V84" i="83" s="1"/>
  <c r="P12" i="83"/>
  <c r="H12" i="83"/>
  <c r="D12" i="83"/>
  <c r="F53" i="83" s="1"/>
  <c r="D6" i="83"/>
  <c r="D4" i="83"/>
  <c r="R86" i="82"/>
  <c r="R83" i="82"/>
  <c r="J83" i="82"/>
  <c r="Z81" i="82"/>
  <c r="X81" i="82"/>
  <c r="N81" i="82"/>
  <c r="L81" i="82"/>
  <c r="T77" i="82"/>
  <c r="P77" i="82"/>
  <c r="N77" i="82"/>
  <c r="J77" i="82"/>
  <c r="H77" i="82"/>
  <c r="D77" i="82"/>
  <c r="L77" i="82" s="1"/>
  <c r="Z75" i="82"/>
  <c r="X75" i="82"/>
  <c r="N75" i="82"/>
  <c r="L75" i="82"/>
  <c r="F75" i="82"/>
  <c r="B75" i="82"/>
  <c r="T74" i="82"/>
  <c r="Z74" i="82" s="1"/>
  <c r="P74" i="82"/>
  <c r="X74" i="82" s="1"/>
  <c r="N74" i="82"/>
  <c r="H74" i="82"/>
  <c r="D74" i="82"/>
  <c r="L74" i="82" s="1"/>
  <c r="B74" i="82"/>
  <c r="Z73" i="82"/>
  <c r="X73" i="82"/>
  <c r="N73" i="82"/>
  <c r="L73" i="82"/>
  <c r="J73" i="82"/>
  <c r="B73" i="82"/>
  <c r="Z72" i="82"/>
  <c r="X72" i="82"/>
  <c r="N72" i="82"/>
  <c r="L72" i="82"/>
  <c r="B72" i="82"/>
  <c r="T71" i="82"/>
  <c r="Z71" i="82" s="1"/>
  <c r="R71" i="82"/>
  <c r="P71" i="82"/>
  <c r="X71" i="82" s="1"/>
  <c r="N71" i="82"/>
  <c r="L71" i="82"/>
  <c r="H71" i="82"/>
  <c r="D71" i="82"/>
  <c r="B71" i="82"/>
  <c r="Z70" i="82"/>
  <c r="X70" i="82"/>
  <c r="V70" i="82"/>
  <c r="N70" i="82"/>
  <c r="L70" i="82"/>
  <c r="F70" i="82"/>
  <c r="B70" i="82"/>
  <c r="Z69" i="82"/>
  <c r="X69" i="82"/>
  <c r="N69" i="82"/>
  <c r="L69" i="82"/>
  <c r="J69" i="82"/>
  <c r="B69" i="82"/>
  <c r="Z68" i="82"/>
  <c r="X68" i="82"/>
  <c r="N68" i="82"/>
  <c r="L68" i="82"/>
  <c r="B68" i="82"/>
  <c r="Z67" i="82"/>
  <c r="X67" i="82"/>
  <c r="N67" i="82"/>
  <c r="L67" i="82"/>
  <c r="J67" i="82"/>
  <c r="F67" i="82"/>
  <c r="B67" i="82"/>
  <c r="Z66" i="82"/>
  <c r="X66" i="82"/>
  <c r="R66" i="82"/>
  <c r="N66" i="82"/>
  <c r="L66" i="82"/>
  <c r="J66" i="82"/>
  <c r="B66" i="82"/>
  <c r="Z65" i="82"/>
  <c r="X65" i="82"/>
  <c r="V65" i="82"/>
  <c r="N65" i="82"/>
  <c r="L65" i="82"/>
  <c r="B65" i="82"/>
  <c r="X64" i="82"/>
  <c r="T64" i="82"/>
  <c r="Z64" i="82" s="1"/>
  <c r="R64" i="82"/>
  <c r="P64" i="82"/>
  <c r="H64" i="82"/>
  <c r="N64" i="82" s="1"/>
  <c r="D64" i="82"/>
  <c r="L64" i="82" s="1"/>
  <c r="B64" i="82"/>
  <c r="Z63" i="82"/>
  <c r="X63" i="82"/>
  <c r="N63" i="82"/>
  <c r="L63" i="82"/>
  <c r="J63" i="82"/>
  <c r="F63" i="82"/>
  <c r="B63" i="82"/>
  <c r="Z62" i="82"/>
  <c r="X62" i="82"/>
  <c r="R62" i="82"/>
  <c r="N62" i="82"/>
  <c r="L62" i="82"/>
  <c r="J62" i="82"/>
  <c r="B62" i="82"/>
  <c r="Z61" i="82"/>
  <c r="X61" i="82"/>
  <c r="V61" i="82"/>
  <c r="N61" i="82"/>
  <c r="L61" i="82"/>
  <c r="B61" i="82"/>
  <c r="Z60" i="82"/>
  <c r="X60" i="82"/>
  <c r="N60" i="82"/>
  <c r="L60" i="82"/>
  <c r="B60" i="82"/>
  <c r="V59" i="82"/>
  <c r="T59" i="82"/>
  <c r="Z59" i="82" s="1"/>
  <c r="P59" i="82"/>
  <c r="X59" i="82" s="1"/>
  <c r="N59" i="82"/>
  <c r="J59" i="82"/>
  <c r="H59" i="82"/>
  <c r="D59" i="82"/>
  <c r="L59" i="82" s="1"/>
  <c r="B59" i="82"/>
  <c r="Z58" i="82"/>
  <c r="X58" i="82"/>
  <c r="R58" i="82"/>
  <c r="N58" i="82"/>
  <c r="L58" i="82"/>
  <c r="J58" i="82"/>
  <c r="B58" i="82"/>
  <c r="Z57" i="82"/>
  <c r="V57" i="82"/>
  <c r="T57" i="82"/>
  <c r="P57" i="82"/>
  <c r="X57" i="82" s="1"/>
  <c r="N57" i="82"/>
  <c r="J57" i="82"/>
  <c r="H57" i="82"/>
  <c r="L57" i="82" s="1"/>
  <c r="F57" i="82"/>
  <c r="D57" i="82"/>
  <c r="B57" i="82"/>
  <c r="Z56" i="82"/>
  <c r="X56" i="82"/>
  <c r="N56" i="82"/>
  <c r="L56" i="82"/>
  <c r="B56" i="82"/>
  <c r="Z55" i="82"/>
  <c r="X55" i="82"/>
  <c r="V55" i="82"/>
  <c r="N55" i="82"/>
  <c r="L55" i="82"/>
  <c r="J55" i="82"/>
  <c r="F55" i="82"/>
  <c r="B55" i="82"/>
  <c r="T54" i="82"/>
  <c r="Z54" i="82" s="1"/>
  <c r="P54" i="82"/>
  <c r="N54" i="82"/>
  <c r="H54" i="82"/>
  <c r="D54" i="82"/>
  <c r="L54" i="82" s="1"/>
  <c r="B54" i="82"/>
  <c r="Z53" i="82"/>
  <c r="X53" i="82"/>
  <c r="N53" i="82"/>
  <c r="L53" i="82"/>
  <c r="J53" i="82"/>
  <c r="B53" i="82"/>
  <c r="Z52" i="82"/>
  <c r="T52" i="82"/>
  <c r="P52" i="82"/>
  <c r="X52" i="82" s="1"/>
  <c r="L52" i="82"/>
  <c r="J52" i="82"/>
  <c r="H52" i="82"/>
  <c r="N52" i="82" s="1"/>
  <c r="D52" i="82"/>
  <c r="B52" i="82"/>
  <c r="Z51" i="82"/>
  <c r="X51" i="82"/>
  <c r="V51" i="82"/>
  <c r="R51" i="82"/>
  <c r="N51" i="82"/>
  <c r="L51" i="82"/>
  <c r="J51" i="82"/>
  <c r="B51" i="82"/>
  <c r="X50" i="82"/>
  <c r="V50" i="82"/>
  <c r="T50" i="82"/>
  <c r="Z50" i="82" s="1"/>
  <c r="P50" i="82"/>
  <c r="L50" i="82"/>
  <c r="H50" i="82"/>
  <c r="N50" i="82" s="1"/>
  <c r="F50" i="82"/>
  <c r="D50" i="82"/>
  <c r="B50" i="82"/>
  <c r="Z49" i="82"/>
  <c r="X49" i="82"/>
  <c r="V49" i="82"/>
  <c r="N49" i="82"/>
  <c r="L49" i="82"/>
  <c r="B49" i="82"/>
  <c r="X48" i="82"/>
  <c r="T48" i="82"/>
  <c r="Z48" i="82" s="1"/>
  <c r="R48" i="82"/>
  <c r="P48" i="82"/>
  <c r="H48" i="82"/>
  <c r="N48" i="82" s="1"/>
  <c r="D48" i="82"/>
  <c r="L48" i="82" s="1"/>
  <c r="B48" i="82"/>
  <c r="Z47" i="82"/>
  <c r="X47" i="82"/>
  <c r="V47" i="82"/>
  <c r="N47" i="82"/>
  <c r="L47" i="82"/>
  <c r="J47" i="82"/>
  <c r="F47" i="82"/>
  <c r="B47" i="82"/>
  <c r="X46" i="82"/>
  <c r="Z46" i="82" s="1"/>
  <c r="R46" i="82"/>
  <c r="L46" i="82"/>
  <c r="N46" i="82" s="1"/>
  <c r="J46" i="82"/>
  <c r="B46" i="82"/>
  <c r="V45" i="82"/>
  <c r="T45" i="82"/>
  <c r="P45" i="82"/>
  <c r="X45" i="82" s="1"/>
  <c r="Z45" i="82" s="1"/>
  <c r="J45" i="82"/>
  <c r="H45" i="82"/>
  <c r="L45" i="82" s="1"/>
  <c r="N45" i="82" s="1"/>
  <c r="F45" i="82"/>
  <c r="D45" i="82"/>
  <c r="B45" i="82"/>
  <c r="Z44" i="82"/>
  <c r="X44" i="82"/>
  <c r="N44" i="82"/>
  <c r="L44" i="82"/>
  <c r="B44" i="82"/>
  <c r="Z43" i="82"/>
  <c r="V43" i="82"/>
  <c r="T43" i="82"/>
  <c r="X43" i="82" s="1"/>
  <c r="R43" i="82"/>
  <c r="P43" i="82"/>
  <c r="N43" i="82"/>
  <c r="L43" i="82"/>
  <c r="H43" i="82"/>
  <c r="D43" i="82"/>
  <c r="B43" i="82"/>
  <c r="Z42" i="82"/>
  <c r="X42" i="82"/>
  <c r="V42" i="82"/>
  <c r="N42" i="82"/>
  <c r="L42" i="82"/>
  <c r="F42" i="82"/>
  <c r="B42" i="82"/>
  <c r="Z41" i="82"/>
  <c r="X41" i="82"/>
  <c r="T41" i="82"/>
  <c r="P41" i="82"/>
  <c r="J41" i="82"/>
  <c r="H41" i="82"/>
  <c r="N41" i="82" s="1"/>
  <c r="D41" i="82"/>
  <c r="B41" i="82"/>
  <c r="Z40" i="82"/>
  <c r="X40" i="82"/>
  <c r="N40" i="82"/>
  <c r="L40" i="82"/>
  <c r="B40" i="82"/>
  <c r="Z39" i="82"/>
  <c r="X39" i="82"/>
  <c r="V39" i="82"/>
  <c r="R39" i="82"/>
  <c r="N39" i="82"/>
  <c r="L39" i="82"/>
  <c r="J39" i="82"/>
  <c r="B39" i="82"/>
  <c r="Z38" i="82"/>
  <c r="X38" i="82"/>
  <c r="V38" i="82"/>
  <c r="N38" i="82"/>
  <c r="L38" i="82"/>
  <c r="F38" i="82"/>
  <c r="B38" i="82"/>
  <c r="Z37" i="82"/>
  <c r="X37" i="82"/>
  <c r="N37" i="82"/>
  <c r="L37" i="82"/>
  <c r="J37" i="82"/>
  <c r="B37" i="82"/>
  <c r="Z36" i="82"/>
  <c r="X36" i="82"/>
  <c r="N36" i="82"/>
  <c r="L36" i="82"/>
  <c r="B36" i="82"/>
  <c r="Z35" i="82"/>
  <c r="X35" i="82"/>
  <c r="V35" i="82"/>
  <c r="N35" i="82"/>
  <c r="L35" i="82"/>
  <c r="J35" i="82"/>
  <c r="F35" i="82"/>
  <c r="B35" i="82"/>
  <c r="Z34" i="82"/>
  <c r="X34" i="82"/>
  <c r="R34" i="82"/>
  <c r="N34" i="82"/>
  <c r="L34" i="82"/>
  <c r="J34" i="82"/>
  <c r="B34" i="82"/>
  <c r="Z33" i="82"/>
  <c r="X33" i="82"/>
  <c r="V33" i="82"/>
  <c r="N33" i="82"/>
  <c r="L33" i="82"/>
  <c r="J33" i="82"/>
  <c r="B33" i="82"/>
  <c r="Z32" i="82"/>
  <c r="X32" i="82"/>
  <c r="N32" i="82"/>
  <c r="L32" i="82"/>
  <c r="B32" i="82"/>
  <c r="Z31" i="82"/>
  <c r="X31" i="82"/>
  <c r="V31" i="82"/>
  <c r="R31" i="82"/>
  <c r="N31" i="82"/>
  <c r="L31" i="82"/>
  <c r="J31" i="82"/>
  <c r="B31" i="82"/>
  <c r="X30" i="82"/>
  <c r="V30" i="82"/>
  <c r="T30" i="82"/>
  <c r="Z30" i="82" s="1"/>
  <c r="P30" i="82"/>
  <c r="L30" i="82"/>
  <c r="H30" i="82"/>
  <c r="N30" i="82" s="1"/>
  <c r="F30" i="82"/>
  <c r="D30" i="82"/>
  <c r="B30" i="82"/>
  <c r="Z29" i="82"/>
  <c r="X29" i="82"/>
  <c r="V29" i="82"/>
  <c r="N29" i="82"/>
  <c r="L29" i="82"/>
  <c r="J29" i="82"/>
  <c r="B29" i="82"/>
  <c r="Z28" i="82"/>
  <c r="X28" i="82"/>
  <c r="N28" i="82"/>
  <c r="L28" i="82"/>
  <c r="B28" i="82"/>
  <c r="Z27" i="82"/>
  <c r="X27" i="82"/>
  <c r="V27" i="82"/>
  <c r="R27" i="82"/>
  <c r="N27" i="82"/>
  <c r="L27" i="82"/>
  <c r="J27" i="82"/>
  <c r="B27" i="82"/>
  <c r="Z26" i="82"/>
  <c r="X26" i="82"/>
  <c r="V26" i="82"/>
  <c r="N26" i="82"/>
  <c r="L26" i="82"/>
  <c r="J26" i="82"/>
  <c r="F26" i="82"/>
  <c r="B26" i="82"/>
  <c r="Z25" i="82"/>
  <c r="X25" i="82"/>
  <c r="V25" i="82"/>
  <c r="N25" i="82"/>
  <c r="L25" i="82"/>
  <c r="J25" i="82"/>
  <c r="B25" i="82"/>
  <c r="Z24" i="82"/>
  <c r="X24" i="82"/>
  <c r="N24" i="82"/>
  <c r="L24" i="82"/>
  <c r="B24" i="82"/>
  <c r="Z23" i="82"/>
  <c r="X23" i="82"/>
  <c r="V23" i="82"/>
  <c r="N23" i="82"/>
  <c r="L23" i="82"/>
  <c r="J23" i="82"/>
  <c r="F23" i="82"/>
  <c r="B23" i="82"/>
  <c r="Z22" i="82"/>
  <c r="X22" i="82"/>
  <c r="V22" i="82"/>
  <c r="R22" i="82"/>
  <c r="N22" i="82"/>
  <c r="L22" i="82"/>
  <c r="J22" i="82"/>
  <c r="B22" i="82"/>
  <c r="Z21" i="82"/>
  <c r="V21" i="82"/>
  <c r="T21" i="82"/>
  <c r="P21" i="82"/>
  <c r="X21" i="82" s="1"/>
  <c r="N21" i="82"/>
  <c r="J21" i="82"/>
  <c r="H21" i="82"/>
  <c r="F21" i="82"/>
  <c r="D21" i="82"/>
  <c r="L21" i="82" s="1"/>
  <c r="B21" i="82"/>
  <c r="T20" i="82"/>
  <c r="Z20" i="82" s="1"/>
  <c r="P20" i="82"/>
  <c r="X20" i="82" s="1"/>
  <c r="J20" i="82"/>
  <c r="H20" i="82"/>
  <c r="D20" i="82"/>
  <c r="T18" i="82"/>
  <c r="Z18" i="82" s="1"/>
  <c r="R18" i="82"/>
  <c r="J18" i="82"/>
  <c r="H18" i="82"/>
  <c r="Z16" i="82"/>
  <c r="X16" i="82"/>
  <c r="N16" i="82"/>
  <c r="L16" i="82"/>
  <c r="B16" i="82"/>
  <c r="Z15" i="82"/>
  <c r="V15" i="82"/>
  <c r="T15" i="82"/>
  <c r="R15" i="82"/>
  <c r="P15" i="82"/>
  <c r="X15" i="82" s="1"/>
  <c r="N15" i="82"/>
  <c r="L15" i="82"/>
  <c r="J15" i="82"/>
  <c r="H15" i="82"/>
  <c r="D15" i="82"/>
  <c r="Z13" i="82"/>
  <c r="P13" i="82"/>
  <c r="X13" i="82" s="1"/>
  <c r="N13" i="82"/>
  <c r="L13" i="82"/>
  <c r="D13" i="82"/>
  <c r="B13" i="82"/>
  <c r="Z12" i="82"/>
  <c r="X12" i="82"/>
  <c r="T12" i="82"/>
  <c r="V77" i="82" s="1"/>
  <c r="P12" i="82"/>
  <c r="R77" i="82" s="1"/>
  <c r="N12" i="82"/>
  <c r="H12" i="82"/>
  <c r="J86" i="82" s="1"/>
  <c r="D12" i="82"/>
  <c r="F74" i="82" s="1"/>
  <c r="D6" i="82"/>
  <c r="D4" i="82"/>
  <c r="Z91" i="81"/>
  <c r="X91" i="81"/>
  <c r="N91" i="81"/>
  <c r="L91" i="81"/>
  <c r="Z87" i="81"/>
  <c r="X87" i="81"/>
  <c r="P87" i="81"/>
  <c r="N87" i="81"/>
  <c r="L87" i="81"/>
  <c r="D87" i="81"/>
  <c r="B87" i="81"/>
  <c r="Z86" i="81"/>
  <c r="P86" i="81"/>
  <c r="X86" i="81" s="1"/>
  <c r="L86" i="81"/>
  <c r="N86" i="81" s="1"/>
  <c r="D86" i="81"/>
  <c r="B86" i="81"/>
  <c r="T85" i="81"/>
  <c r="P85" i="81"/>
  <c r="X85" i="81" s="1"/>
  <c r="Z85" i="81" s="1"/>
  <c r="H85" i="81"/>
  <c r="N85" i="81" s="1"/>
  <c r="D85" i="81"/>
  <c r="L85" i="81" s="1"/>
  <c r="X83" i="81"/>
  <c r="Z83" i="81" s="1"/>
  <c r="N83" i="81"/>
  <c r="L83" i="81"/>
  <c r="B83" i="81"/>
  <c r="T82" i="81"/>
  <c r="P82" i="81"/>
  <c r="X82" i="81" s="1"/>
  <c r="Z82" i="81" s="1"/>
  <c r="H82" i="81"/>
  <c r="D82" i="81"/>
  <c r="L82" i="81" s="1"/>
  <c r="N82" i="81" s="1"/>
  <c r="B82" i="81"/>
  <c r="Z81" i="81"/>
  <c r="X81" i="81"/>
  <c r="N81" i="81"/>
  <c r="L81" i="81"/>
  <c r="B81" i="81"/>
  <c r="Z80" i="81"/>
  <c r="T80" i="81"/>
  <c r="P80" i="81"/>
  <c r="X80" i="81" s="1"/>
  <c r="N80" i="81"/>
  <c r="H80" i="81"/>
  <c r="L80" i="81" s="1"/>
  <c r="D80" i="81"/>
  <c r="B80" i="81"/>
  <c r="Z79" i="81"/>
  <c r="X79" i="81"/>
  <c r="N79" i="81"/>
  <c r="L79" i="81"/>
  <c r="B79" i="81"/>
  <c r="Z78" i="81"/>
  <c r="T78" i="81"/>
  <c r="P78" i="81"/>
  <c r="X78" i="81" s="1"/>
  <c r="N78" i="81"/>
  <c r="L78" i="81"/>
  <c r="H78" i="81"/>
  <c r="D78" i="81"/>
  <c r="B78" i="81"/>
  <c r="X77" i="81"/>
  <c r="Z77" i="81" s="1"/>
  <c r="L77" i="81"/>
  <c r="N77" i="81" s="1"/>
  <c r="B77" i="81"/>
  <c r="X76" i="81"/>
  <c r="Z76" i="81" s="1"/>
  <c r="T76" i="81"/>
  <c r="P76" i="81"/>
  <c r="H76" i="81"/>
  <c r="N76" i="81" s="1"/>
  <c r="D76" i="81"/>
  <c r="L76" i="81" s="1"/>
  <c r="B76" i="81"/>
  <c r="Z75" i="81"/>
  <c r="X75" i="81"/>
  <c r="N75" i="81"/>
  <c r="L75" i="81"/>
  <c r="B75" i="81"/>
  <c r="Z74" i="81"/>
  <c r="X74" i="81"/>
  <c r="N74" i="81"/>
  <c r="L74" i="81"/>
  <c r="B74" i="81"/>
  <c r="Z73" i="81"/>
  <c r="X73" i="81"/>
  <c r="N73" i="81"/>
  <c r="L73" i="81"/>
  <c r="B73" i="81"/>
  <c r="Z72" i="81"/>
  <c r="X72" i="81"/>
  <c r="N72" i="81"/>
  <c r="L72" i="81"/>
  <c r="B72" i="81"/>
  <c r="Z71" i="81"/>
  <c r="X71" i="81"/>
  <c r="N71" i="81"/>
  <c r="L71" i="81"/>
  <c r="B71" i="81"/>
  <c r="Z70" i="81"/>
  <c r="X70" i="81"/>
  <c r="N70" i="81"/>
  <c r="L70" i="81"/>
  <c r="F70" i="81"/>
  <c r="B70" i="81"/>
  <c r="Z69" i="81"/>
  <c r="X69" i="81"/>
  <c r="N69" i="81"/>
  <c r="L69" i="81"/>
  <c r="B69" i="81"/>
  <c r="Z68" i="81"/>
  <c r="T68" i="81"/>
  <c r="P68" i="81"/>
  <c r="X68" i="81" s="1"/>
  <c r="N68" i="81"/>
  <c r="H68" i="81"/>
  <c r="D68" i="81"/>
  <c r="L68" i="81" s="1"/>
  <c r="B68" i="81"/>
  <c r="Z67" i="81"/>
  <c r="X67" i="81"/>
  <c r="N67" i="81"/>
  <c r="L67" i="81"/>
  <c r="B67" i="81"/>
  <c r="Z66" i="81"/>
  <c r="X66" i="81"/>
  <c r="N66" i="81"/>
  <c r="L66" i="81"/>
  <c r="B66" i="81"/>
  <c r="T65" i="81"/>
  <c r="P65" i="81"/>
  <c r="N65" i="81"/>
  <c r="H65" i="81"/>
  <c r="D65" i="81"/>
  <c r="L65" i="81" s="1"/>
  <c r="B65" i="81"/>
  <c r="Z64" i="81"/>
  <c r="X64" i="81"/>
  <c r="N64" i="81"/>
  <c r="L64" i="81"/>
  <c r="B64" i="81"/>
  <c r="Z63" i="81"/>
  <c r="X63" i="81"/>
  <c r="L63" i="81"/>
  <c r="N63" i="81" s="1"/>
  <c r="B63" i="81"/>
  <c r="Z62" i="81"/>
  <c r="X62" i="81"/>
  <c r="N62" i="81"/>
  <c r="L62" i="81"/>
  <c r="B62" i="81"/>
  <c r="X61" i="81"/>
  <c r="Z61" i="81" s="1"/>
  <c r="L61" i="81"/>
  <c r="N61" i="81" s="1"/>
  <c r="B61" i="81"/>
  <c r="V60" i="81"/>
  <c r="T60" i="81"/>
  <c r="P60" i="81"/>
  <c r="X60" i="81" s="1"/>
  <c r="Z60" i="81" s="1"/>
  <c r="H60" i="81"/>
  <c r="L60" i="81" s="1"/>
  <c r="N60" i="81" s="1"/>
  <c r="D60" i="81"/>
  <c r="B60" i="81"/>
  <c r="Z59" i="81"/>
  <c r="X59" i="81"/>
  <c r="N59" i="81"/>
  <c r="L59" i="81"/>
  <c r="B59" i="81"/>
  <c r="Z58" i="81"/>
  <c r="X58" i="81"/>
  <c r="N58" i="81"/>
  <c r="L58" i="81"/>
  <c r="B58" i="81"/>
  <c r="Z57" i="81"/>
  <c r="X57" i="81"/>
  <c r="N57" i="81"/>
  <c r="L57" i="81"/>
  <c r="B57" i="81"/>
  <c r="Z56" i="81"/>
  <c r="X56" i="81"/>
  <c r="N56" i="81"/>
  <c r="L56" i="81"/>
  <c r="B56" i="81"/>
  <c r="X55" i="81"/>
  <c r="T55" i="81"/>
  <c r="Z55" i="81" s="1"/>
  <c r="P55" i="81"/>
  <c r="H55" i="81"/>
  <c r="N55" i="81" s="1"/>
  <c r="D55" i="81"/>
  <c r="B55" i="81"/>
  <c r="Z54" i="81"/>
  <c r="X54" i="81"/>
  <c r="N54" i="81"/>
  <c r="L54" i="81"/>
  <c r="B54" i="81"/>
  <c r="T53" i="81"/>
  <c r="P53" i="81"/>
  <c r="X53" i="81" s="1"/>
  <c r="H53" i="81"/>
  <c r="D53" i="81"/>
  <c r="L53" i="81" s="1"/>
  <c r="N53" i="81" s="1"/>
  <c r="B53" i="81"/>
  <c r="Z52" i="81"/>
  <c r="X52" i="81"/>
  <c r="N52" i="81"/>
  <c r="L52" i="81"/>
  <c r="B52" i="81"/>
  <c r="Z51" i="81"/>
  <c r="T51" i="81"/>
  <c r="P51" i="81"/>
  <c r="X51" i="81" s="1"/>
  <c r="L51" i="81"/>
  <c r="H51" i="81"/>
  <c r="N51" i="81" s="1"/>
  <c r="D51" i="81"/>
  <c r="B51" i="81"/>
  <c r="Z50" i="81"/>
  <c r="X50" i="81"/>
  <c r="N50" i="81"/>
  <c r="L50" i="81"/>
  <c r="B50" i="81"/>
  <c r="X49" i="81"/>
  <c r="T49" i="81"/>
  <c r="Z49" i="81" s="1"/>
  <c r="P49" i="81"/>
  <c r="H49" i="81"/>
  <c r="N49" i="81" s="1"/>
  <c r="D49" i="81"/>
  <c r="B49" i="81"/>
  <c r="Z48" i="81"/>
  <c r="X48" i="81"/>
  <c r="N48" i="81"/>
  <c r="L48" i="81"/>
  <c r="B48" i="81"/>
  <c r="T47" i="81"/>
  <c r="P47" i="81"/>
  <c r="H47" i="81"/>
  <c r="N47" i="81" s="1"/>
  <c r="D47" i="81"/>
  <c r="L47" i="81" s="1"/>
  <c r="B47" i="81"/>
  <c r="Z46" i="81"/>
  <c r="X46" i="81"/>
  <c r="N46" i="81"/>
  <c r="L46" i="81"/>
  <c r="B46" i="81"/>
  <c r="Z45" i="81"/>
  <c r="X45" i="81"/>
  <c r="N45" i="81"/>
  <c r="L45" i="81"/>
  <c r="B45" i="81"/>
  <c r="Z44" i="81"/>
  <c r="T44" i="81"/>
  <c r="P44" i="81"/>
  <c r="X44" i="81" s="1"/>
  <c r="H44" i="81"/>
  <c r="L44" i="81" s="1"/>
  <c r="N44" i="81" s="1"/>
  <c r="D44" i="81"/>
  <c r="B44" i="81"/>
  <c r="Z43" i="81"/>
  <c r="X43" i="81"/>
  <c r="N43" i="81"/>
  <c r="L43" i="81"/>
  <c r="B43" i="81"/>
  <c r="Z42" i="81"/>
  <c r="V42" i="81"/>
  <c r="T42" i="81"/>
  <c r="X42" i="81" s="1"/>
  <c r="P42" i="81"/>
  <c r="N42" i="81"/>
  <c r="L42" i="81"/>
  <c r="H42" i="81"/>
  <c r="D42" i="81"/>
  <c r="B42" i="81"/>
  <c r="Z41" i="81"/>
  <c r="X41" i="81"/>
  <c r="N41" i="81"/>
  <c r="L41" i="81"/>
  <c r="B41" i="81"/>
  <c r="Z40" i="81"/>
  <c r="X40" i="81"/>
  <c r="T40" i="81"/>
  <c r="P40" i="81"/>
  <c r="H40" i="81"/>
  <c r="N40" i="81" s="1"/>
  <c r="D40" i="81"/>
  <c r="B40" i="81"/>
  <c r="Z39" i="81"/>
  <c r="X39" i="81"/>
  <c r="N39" i="81"/>
  <c r="L39" i="81"/>
  <c r="B39" i="81"/>
  <c r="Z38" i="81"/>
  <c r="X38" i="81"/>
  <c r="N38" i="81"/>
  <c r="L38" i="81"/>
  <c r="J38" i="81"/>
  <c r="B38" i="81"/>
  <c r="Z37" i="81"/>
  <c r="X37" i="81"/>
  <c r="N37" i="81"/>
  <c r="L37" i="81"/>
  <c r="B37" i="81"/>
  <c r="Z36" i="81"/>
  <c r="X36" i="81"/>
  <c r="N36" i="81"/>
  <c r="L36" i="81"/>
  <c r="B36" i="81"/>
  <c r="Z35" i="81"/>
  <c r="X35" i="81"/>
  <c r="N35" i="81"/>
  <c r="L35" i="81"/>
  <c r="B35" i="81"/>
  <c r="Z34" i="81"/>
  <c r="X34" i="81"/>
  <c r="V34" i="81"/>
  <c r="N34" i="81"/>
  <c r="L34" i="81"/>
  <c r="B34" i="81"/>
  <c r="Z33" i="81"/>
  <c r="X33" i="81"/>
  <c r="R33" i="81"/>
  <c r="N33" i="81"/>
  <c r="L33" i="81"/>
  <c r="B33" i="81"/>
  <c r="Z32" i="81"/>
  <c r="X32" i="81"/>
  <c r="V32" i="81"/>
  <c r="N32" i="81"/>
  <c r="L32" i="81"/>
  <c r="B32" i="81"/>
  <c r="Z31" i="81"/>
  <c r="X31" i="81"/>
  <c r="N31" i="81"/>
  <c r="L31" i="81"/>
  <c r="B31" i="81"/>
  <c r="Z30" i="81"/>
  <c r="X30" i="81"/>
  <c r="V30" i="81"/>
  <c r="N30" i="81"/>
  <c r="L30" i="81"/>
  <c r="B30" i="81"/>
  <c r="V29" i="81"/>
  <c r="T29" i="81"/>
  <c r="Z29" i="81" s="1"/>
  <c r="P29" i="81"/>
  <c r="X29" i="81" s="1"/>
  <c r="L29" i="81"/>
  <c r="H29" i="81"/>
  <c r="N29" i="81" s="1"/>
  <c r="D29" i="81"/>
  <c r="B29" i="81"/>
  <c r="Z28" i="81"/>
  <c r="X28" i="81"/>
  <c r="N28" i="81"/>
  <c r="L28" i="81"/>
  <c r="B28" i="81"/>
  <c r="Z27" i="81"/>
  <c r="X27" i="81"/>
  <c r="R27" i="81"/>
  <c r="N27" i="81"/>
  <c r="L27" i="81"/>
  <c r="B27" i="81"/>
  <c r="Z26" i="81"/>
  <c r="X26" i="81"/>
  <c r="V26" i="81"/>
  <c r="R26" i="81"/>
  <c r="N26" i="81"/>
  <c r="L26" i="81"/>
  <c r="B26" i="81"/>
  <c r="Z25" i="81"/>
  <c r="X25" i="81"/>
  <c r="V25" i="81"/>
  <c r="R25" i="81"/>
  <c r="N25" i="81"/>
  <c r="L25" i="81"/>
  <c r="B25" i="81"/>
  <c r="Z24" i="81"/>
  <c r="X24" i="81"/>
  <c r="V24" i="81"/>
  <c r="N24" i="81"/>
  <c r="L24" i="81"/>
  <c r="J24" i="81"/>
  <c r="B24" i="81"/>
  <c r="Z23" i="81"/>
  <c r="X23" i="81"/>
  <c r="N23" i="81"/>
  <c r="L23" i="81"/>
  <c r="B23" i="81"/>
  <c r="Z22" i="81"/>
  <c r="X22" i="81"/>
  <c r="N22" i="81"/>
  <c r="L22" i="81"/>
  <c r="F22" i="81"/>
  <c r="B22" i="81"/>
  <c r="Z21" i="81"/>
  <c r="X21" i="81"/>
  <c r="R21" i="81"/>
  <c r="N21" i="81"/>
  <c r="L21" i="81"/>
  <c r="J21" i="81"/>
  <c r="B21" i="81"/>
  <c r="Z20" i="81"/>
  <c r="X20" i="81"/>
  <c r="V20" i="81"/>
  <c r="N20" i="81"/>
  <c r="L20" i="81"/>
  <c r="J20" i="81"/>
  <c r="B20" i="81"/>
  <c r="T19" i="81"/>
  <c r="Z19" i="81" s="1"/>
  <c r="R19" i="81"/>
  <c r="P19" i="81"/>
  <c r="X19" i="81" s="1"/>
  <c r="L19" i="81"/>
  <c r="N19" i="81" s="1"/>
  <c r="H19" i="81"/>
  <c r="D19" i="81"/>
  <c r="B19" i="81"/>
  <c r="V18" i="81"/>
  <c r="T18" i="81"/>
  <c r="P18" i="81"/>
  <c r="J18" i="81"/>
  <c r="H18" i="81"/>
  <c r="D18" i="81"/>
  <c r="L18" i="81" s="1"/>
  <c r="R16" i="81"/>
  <c r="P16" i="81"/>
  <c r="V14" i="81"/>
  <c r="T14" i="81"/>
  <c r="P14" i="81"/>
  <c r="J14" i="81"/>
  <c r="H14" i="81"/>
  <c r="N14" i="81" s="1"/>
  <c r="D14" i="81"/>
  <c r="L14" i="81" s="1"/>
  <c r="T12" i="81"/>
  <c r="V77" i="81" s="1"/>
  <c r="P12" i="81"/>
  <c r="R39" i="81" s="1"/>
  <c r="N12" i="81"/>
  <c r="H12" i="81"/>
  <c r="D12" i="81"/>
  <c r="F39" i="81" s="1"/>
  <c r="D6" i="81"/>
  <c r="D4" i="81"/>
  <c r="Z34" i="80"/>
  <c r="X34" i="80"/>
  <c r="N34" i="80"/>
  <c r="L34" i="80"/>
  <c r="Z30" i="80"/>
  <c r="X30" i="80"/>
  <c r="T30" i="80"/>
  <c r="P30" i="80"/>
  <c r="H30" i="80"/>
  <c r="D30" i="80"/>
  <c r="Z28" i="80"/>
  <c r="X28" i="80"/>
  <c r="N28" i="80"/>
  <c r="L28" i="80"/>
  <c r="B28" i="80"/>
  <c r="X27" i="80"/>
  <c r="T27" i="80"/>
  <c r="Z27" i="80" s="1"/>
  <c r="P27" i="80"/>
  <c r="H27" i="80"/>
  <c r="N27" i="80" s="1"/>
  <c r="D27" i="80"/>
  <c r="L27" i="80" s="1"/>
  <c r="B27" i="80"/>
  <c r="Z26" i="80"/>
  <c r="X26" i="80"/>
  <c r="N26" i="80"/>
  <c r="L26" i="80"/>
  <c r="F26" i="80"/>
  <c r="B26" i="80"/>
  <c r="T25" i="80"/>
  <c r="Z25" i="80" s="1"/>
  <c r="P25" i="80"/>
  <c r="X25" i="80" s="1"/>
  <c r="N25" i="80"/>
  <c r="H25" i="80"/>
  <c r="D25" i="80"/>
  <c r="L25" i="80" s="1"/>
  <c r="B25" i="80"/>
  <c r="Z24" i="80"/>
  <c r="X24" i="80"/>
  <c r="N24" i="80"/>
  <c r="L24" i="80"/>
  <c r="B24" i="80"/>
  <c r="Z23" i="80"/>
  <c r="T23" i="80"/>
  <c r="P23" i="80"/>
  <c r="X23" i="80" s="1"/>
  <c r="N23" i="80"/>
  <c r="L23" i="80"/>
  <c r="J23" i="80"/>
  <c r="H23" i="80"/>
  <c r="D23" i="80"/>
  <c r="B23" i="80"/>
  <c r="X22" i="80"/>
  <c r="Z22" i="80" s="1"/>
  <c r="L22" i="80"/>
  <c r="N22" i="80" s="1"/>
  <c r="B22" i="80"/>
  <c r="V21" i="80"/>
  <c r="T21" i="80"/>
  <c r="P21" i="80"/>
  <c r="X21" i="80" s="1"/>
  <c r="Z21" i="80" s="1"/>
  <c r="L21" i="80"/>
  <c r="J21" i="80"/>
  <c r="H21" i="80"/>
  <c r="N21" i="80" s="1"/>
  <c r="F21" i="80"/>
  <c r="D21" i="80"/>
  <c r="B21" i="80"/>
  <c r="Z20" i="80"/>
  <c r="X20" i="80"/>
  <c r="N20" i="80"/>
  <c r="L20" i="80"/>
  <c r="B20" i="80"/>
  <c r="X19" i="80"/>
  <c r="V19" i="80"/>
  <c r="T19" i="80"/>
  <c r="Z19" i="80" s="1"/>
  <c r="P19" i="80"/>
  <c r="H19" i="80"/>
  <c r="N19" i="80" s="1"/>
  <c r="D19" i="80"/>
  <c r="L19" i="80" s="1"/>
  <c r="B19" i="80"/>
  <c r="T18" i="80"/>
  <c r="P18" i="80"/>
  <c r="L18" i="80"/>
  <c r="H18" i="80"/>
  <c r="D18" i="80"/>
  <c r="T16" i="80"/>
  <c r="H16" i="80"/>
  <c r="N16" i="80" s="1"/>
  <c r="D16" i="80"/>
  <c r="T14" i="80"/>
  <c r="Z14" i="80" s="1"/>
  <c r="P14" i="80"/>
  <c r="X14" i="80" s="1"/>
  <c r="L14" i="80"/>
  <c r="H14" i="80"/>
  <c r="N14" i="80" s="1"/>
  <c r="D14" i="80"/>
  <c r="T12" i="80"/>
  <c r="V36" i="80" s="1"/>
  <c r="P12" i="80"/>
  <c r="R27" i="80" s="1"/>
  <c r="N12" i="80"/>
  <c r="H12" i="80"/>
  <c r="J34" i="80" s="1"/>
  <c r="D12" i="80"/>
  <c r="F36" i="80" s="1"/>
  <c r="D6" i="80"/>
  <c r="D4" i="80"/>
  <c r="Z93" i="79"/>
  <c r="X93" i="79"/>
  <c r="N93" i="79"/>
  <c r="L93" i="79"/>
  <c r="T89" i="79"/>
  <c r="Z89" i="79" s="1"/>
  <c r="P89" i="79"/>
  <c r="X89" i="79" s="1"/>
  <c r="H89" i="79"/>
  <c r="N89" i="79" s="1"/>
  <c r="D89" i="79"/>
  <c r="L89" i="79" s="1"/>
  <c r="Z87" i="79"/>
  <c r="X87" i="79"/>
  <c r="N87" i="79"/>
  <c r="L87" i="79"/>
  <c r="B87" i="79"/>
  <c r="Z86" i="79"/>
  <c r="T86" i="79"/>
  <c r="X86" i="79" s="1"/>
  <c r="P86" i="79"/>
  <c r="N86" i="79"/>
  <c r="J86" i="79"/>
  <c r="H86" i="79"/>
  <c r="D86" i="79"/>
  <c r="L86" i="79" s="1"/>
  <c r="B86" i="79"/>
  <c r="Z85" i="79"/>
  <c r="X85" i="79"/>
  <c r="N85" i="79"/>
  <c r="L85" i="79"/>
  <c r="B85" i="79"/>
  <c r="V84" i="79"/>
  <c r="T84" i="79"/>
  <c r="Z84" i="79" s="1"/>
  <c r="P84" i="79"/>
  <c r="X84" i="79" s="1"/>
  <c r="N84" i="79"/>
  <c r="H84" i="79"/>
  <c r="F84" i="79"/>
  <c r="D84" i="79"/>
  <c r="L84" i="79" s="1"/>
  <c r="B84" i="79"/>
  <c r="Z83" i="79"/>
  <c r="X83" i="79"/>
  <c r="N83" i="79"/>
  <c r="L83" i="79"/>
  <c r="B83" i="79"/>
  <c r="Z82" i="79"/>
  <c r="T82" i="79"/>
  <c r="P82" i="79"/>
  <c r="X82" i="79" s="1"/>
  <c r="L82" i="79"/>
  <c r="H82" i="79"/>
  <c r="N82" i="79" s="1"/>
  <c r="D82" i="79"/>
  <c r="B82" i="79"/>
  <c r="Z81" i="79"/>
  <c r="X81" i="79"/>
  <c r="N81" i="79"/>
  <c r="L81" i="79"/>
  <c r="F81" i="79"/>
  <c r="B81" i="79"/>
  <c r="T80" i="79"/>
  <c r="Z80" i="79" s="1"/>
  <c r="P80" i="79"/>
  <c r="X80" i="79" s="1"/>
  <c r="N80" i="79"/>
  <c r="H80" i="79"/>
  <c r="D80" i="79"/>
  <c r="L80" i="79" s="1"/>
  <c r="B80" i="79"/>
  <c r="Z79" i="79"/>
  <c r="X79" i="79"/>
  <c r="N79" i="79"/>
  <c r="L79" i="79"/>
  <c r="B79" i="79"/>
  <c r="Z78" i="79"/>
  <c r="X78" i="79"/>
  <c r="N78" i="79"/>
  <c r="L78" i="79"/>
  <c r="B78" i="79"/>
  <c r="Z77" i="79"/>
  <c r="X77" i="79"/>
  <c r="N77" i="79"/>
  <c r="L77" i="79"/>
  <c r="F77" i="79"/>
  <c r="B77" i="79"/>
  <c r="Z76" i="79"/>
  <c r="X76" i="79"/>
  <c r="N76" i="79"/>
  <c r="L76" i="79"/>
  <c r="J76" i="79"/>
  <c r="B76" i="79"/>
  <c r="Z75" i="79"/>
  <c r="X75" i="79"/>
  <c r="N75" i="79"/>
  <c r="L75" i="79"/>
  <c r="B75" i="79"/>
  <c r="Z74" i="79"/>
  <c r="X74" i="79"/>
  <c r="N74" i="79"/>
  <c r="L74" i="79"/>
  <c r="B74" i="79"/>
  <c r="Z73" i="79"/>
  <c r="X73" i="79"/>
  <c r="N73" i="79"/>
  <c r="L73" i="79"/>
  <c r="B73" i="79"/>
  <c r="Z72" i="79"/>
  <c r="X72" i="79"/>
  <c r="V72" i="79"/>
  <c r="N72" i="79"/>
  <c r="L72" i="79"/>
  <c r="B72" i="79"/>
  <c r="Z71" i="79"/>
  <c r="X71" i="79"/>
  <c r="N71" i="79"/>
  <c r="L71" i="79"/>
  <c r="B71" i="79"/>
  <c r="Z70" i="79"/>
  <c r="T70" i="79"/>
  <c r="P70" i="79"/>
  <c r="X70" i="79" s="1"/>
  <c r="J70" i="79"/>
  <c r="H70" i="79"/>
  <c r="N70" i="79" s="1"/>
  <c r="D70" i="79"/>
  <c r="L70" i="79" s="1"/>
  <c r="B70" i="79"/>
  <c r="Z69" i="79"/>
  <c r="X69" i="79"/>
  <c r="N69" i="79"/>
  <c r="L69" i="79"/>
  <c r="B69" i="79"/>
  <c r="V68" i="79"/>
  <c r="T68" i="79"/>
  <c r="Z68" i="79" s="1"/>
  <c r="P68" i="79"/>
  <c r="X68" i="79" s="1"/>
  <c r="L68" i="79"/>
  <c r="H68" i="79"/>
  <c r="N68" i="79" s="1"/>
  <c r="F68" i="79"/>
  <c r="D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Z64" i="79"/>
  <c r="X64" i="79"/>
  <c r="V64" i="79"/>
  <c r="N64" i="79"/>
  <c r="L64" i="79"/>
  <c r="B64" i="79"/>
  <c r="X63" i="79"/>
  <c r="T63" i="79"/>
  <c r="Z63" i="79" s="1"/>
  <c r="P63" i="79"/>
  <c r="H63" i="79"/>
  <c r="N63" i="79" s="1"/>
  <c r="D63" i="79"/>
  <c r="L63" i="79" s="1"/>
  <c r="B63" i="79"/>
  <c r="Z62" i="79"/>
  <c r="X62" i="79"/>
  <c r="N62" i="79"/>
  <c r="L62" i="79"/>
  <c r="B62" i="79"/>
  <c r="T61" i="79"/>
  <c r="Z61" i="79" s="1"/>
  <c r="P61" i="79"/>
  <c r="X61" i="79" s="1"/>
  <c r="H61" i="79"/>
  <c r="N61" i="79" s="1"/>
  <c r="D61" i="79"/>
  <c r="L61" i="79" s="1"/>
  <c r="B61" i="79"/>
  <c r="Z60" i="79"/>
  <c r="X60" i="79"/>
  <c r="N60" i="79"/>
  <c r="L60" i="79"/>
  <c r="J60" i="79"/>
  <c r="B60" i="79"/>
  <c r="Z59" i="79"/>
  <c r="X59" i="79"/>
  <c r="N59" i="79"/>
  <c r="L59" i="79"/>
  <c r="B59" i="79"/>
  <c r="Z58" i="79"/>
  <c r="T58" i="79"/>
  <c r="P58" i="79"/>
  <c r="X58" i="79" s="1"/>
  <c r="N58" i="79"/>
  <c r="L58" i="79"/>
  <c r="H58" i="79"/>
  <c r="D58" i="79"/>
  <c r="B58" i="79"/>
  <c r="X57" i="79"/>
  <c r="Z57" i="79" s="1"/>
  <c r="N57" i="79"/>
  <c r="L57" i="79"/>
  <c r="F57" i="79"/>
  <c r="B57" i="79"/>
  <c r="T56" i="79"/>
  <c r="P56" i="79"/>
  <c r="X56" i="79" s="1"/>
  <c r="N56" i="79"/>
  <c r="H56" i="79"/>
  <c r="D56" i="79"/>
  <c r="L56" i="79" s="1"/>
  <c r="B56" i="79"/>
  <c r="Z55" i="79"/>
  <c r="X55" i="79"/>
  <c r="N55" i="79"/>
  <c r="L55" i="79"/>
  <c r="B55" i="79"/>
  <c r="Z54" i="79"/>
  <c r="T54" i="79"/>
  <c r="P54" i="79"/>
  <c r="X54" i="79" s="1"/>
  <c r="L54" i="79"/>
  <c r="J54" i="79"/>
  <c r="H54" i="79"/>
  <c r="N54" i="79" s="1"/>
  <c r="D54" i="79"/>
  <c r="B54" i="79"/>
  <c r="Z53" i="79"/>
  <c r="X53" i="79"/>
  <c r="N53" i="79"/>
  <c r="L53" i="79"/>
  <c r="B53" i="79"/>
  <c r="X52" i="79"/>
  <c r="V52" i="79"/>
  <c r="T52" i="79"/>
  <c r="Z52" i="79" s="1"/>
  <c r="P52" i="79"/>
  <c r="H52" i="79"/>
  <c r="F52" i="79"/>
  <c r="D52" i="79"/>
  <c r="L52" i="79" s="1"/>
  <c r="B52" i="79"/>
  <c r="Z51" i="79"/>
  <c r="X51" i="79"/>
  <c r="N51" i="79"/>
  <c r="L51" i="79"/>
  <c r="B51" i="79"/>
  <c r="T50" i="79"/>
  <c r="Z50" i="79" s="1"/>
  <c r="P50" i="79"/>
  <c r="X50" i="79" s="1"/>
  <c r="H50" i="79"/>
  <c r="N50" i="79" s="1"/>
  <c r="D50" i="79"/>
  <c r="L50" i="79" s="1"/>
  <c r="B50" i="79"/>
  <c r="Z49" i="79"/>
  <c r="X49" i="79"/>
  <c r="N49" i="79"/>
  <c r="L49" i="79"/>
  <c r="F49" i="79"/>
  <c r="B49" i="79"/>
  <c r="Z48" i="79"/>
  <c r="X48" i="79"/>
  <c r="N48" i="79"/>
  <c r="L48" i="79"/>
  <c r="J48" i="79"/>
  <c r="B48" i="79"/>
  <c r="T47" i="79"/>
  <c r="P47" i="79"/>
  <c r="X47" i="79" s="1"/>
  <c r="Z47" i="79" s="1"/>
  <c r="L47" i="79"/>
  <c r="N47" i="79" s="1"/>
  <c r="H47" i="79"/>
  <c r="D47" i="79"/>
  <c r="B47" i="79"/>
  <c r="Z46" i="79"/>
  <c r="X46" i="79"/>
  <c r="N46" i="79"/>
  <c r="L46" i="79"/>
  <c r="B46" i="79"/>
  <c r="Z45" i="79"/>
  <c r="T45" i="79"/>
  <c r="P45" i="79"/>
  <c r="X45" i="79" s="1"/>
  <c r="L45" i="79"/>
  <c r="H45" i="79"/>
  <c r="N45" i="79" s="1"/>
  <c r="D45" i="79"/>
  <c r="B45" i="79"/>
  <c r="Z44" i="79"/>
  <c r="X44" i="79"/>
  <c r="V44" i="79"/>
  <c r="N44" i="79"/>
  <c r="L44" i="79"/>
  <c r="B44" i="79"/>
  <c r="X43" i="79"/>
  <c r="T43" i="79"/>
  <c r="Z43" i="79" s="1"/>
  <c r="P43" i="79"/>
  <c r="H43" i="79"/>
  <c r="N43" i="79" s="1"/>
  <c r="D43" i="79"/>
  <c r="B43" i="79"/>
  <c r="Z42" i="79"/>
  <c r="X42" i="79"/>
  <c r="N42" i="79"/>
  <c r="L42" i="79"/>
  <c r="B42" i="79"/>
  <c r="Z41" i="79"/>
  <c r="X41" i="79"/>
  <c r="N41" i="79"/>
  <c r="L41" i="79"/>
  <c r="B41" i="79"/>
  <c r="Z40" i="79"/>
  <c r="X40" i="79"/>
  <c r="V40" i="79"/>
  <c r="N40" i="79"/>
  <c r="L40" i="79"/>
  <c r="B40" i="79"/>
  <c r="Z39" i="79"/>
  <c r="X39" i="79"/>
  <c r="N39" i="79"/>
  <c r="L39" i="79"/>
  <c r="B39" i="79"/>
  <c r="Z38" i="79"/>
  <c r="X38" i="79"/>
  <c r="N38" i="79"/>
  <c r="L38" i="79"/>
  <c r="B38" i="79"/>
  <c r="Z37" i="79"/>
  <c r="X37" i="79"/>
  <c r="N37" i="79"/>
  <c r="L37" i="79"/>
  <c r="F37" i="79"/>
  <c r="B37" i="79"/>
  <c r="Z36" i="79"/>
  <c r="X36" i="79"/>
  <c r="N36" i="79"/>
  <c r="L36" i="79"/>
  <c r="J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V32" i="79"/>
  <c r="T32" i="79"/>
  <c r="Z32" i="79" s="1"/>
  <c r="P32" i="79"/>
  <c r="X32" i="79" s="1"/>
  <c r="H32" i="79"/>
  <c r="N32" i="79" s="1"/>
  <c r="F32" i="79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V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F25" i="79"/>
  <c r="B25" i="79"/>
  <c r="Z24" i="79"/>
  <c r="X24" i="79"/>
  <c r="N24" i="79"/>
  <c r="L24" i="79"/>
  <c r="J24" i="79"/>
  <c r="B24" i="79"/>
  <c r="T23" i="79"/>
  <c r="Z23" i="79" s="1"/>
  <c r="P23" i="79"/>
  <c r="X23" i="79" s="1"/>
  <c r="N23" i="79"/>
  <c r="L23" i="79"/>
  <c r="H23" i="79"/>
  <c r="D23" i="79"/>
  <c r="B23" i="79"/>
  <c r="T22" i="79"/>
  <c r="P22" i="79"/>
  <c r="J22" i="79"/>
  <c r="H22" i="79"/>
  <c r="N22" i="79" s="1"/>
  <c r="D22" i="79"/>
  <c r="L22" i="79" s="1"/>
  <c r="Z18" i="79"/>
  <c r="X18" i="79"/>
  <c r="N18" i="79"/>
  <c r="L18" i="79"/>
  <c r="B18" i="79"/>
  <c r="Z17" i="79"/>
  <c r="X17" i="79"/>
  <c r="V17" i="79"/>
  <c r="N17" i="79"/>
  <c r="L17" i="79"/>
  <c r="F17" i="79"/>
  <c r="B17" i="79"/>
  <c r="X16" i="79"/>
  <c r="T16" i="79"/>
  <c r="Z16" i="79" s="1"/>
  <c r="P16" i="79"/>
  <c r="N16" i="79"/>
  <c r="H16" i="79"/>
  <c r="D16" i="79"/>
  <c r="L16" i="79" s="1"/>
  <c r="Z14" i="79"/>
  <c r="P14" i="79"/>
  <c r="N14" i="79"/>
  <c r="D14" i="79"/>
  <c r="L14" i="79" s="1"/>
  <c r="B14" i="79"/>
  <c r="Z13" i="79"/>
  <c r="P13" i="79"/>
  <c r="X13" i="79" s="1"/>
  <c r="N13" i="79"/>
  <c r="L13" i="79"/>
  <c r="D13" i="79"/>
  <c r="B13" i="79"/>
  <c r="Z12" i="79"/>
  <c r="T12" i="79"/>
  <c r="V98" i="79" s="1"/>
  <c r="N12" i="79"/>
  <c r="H12" i="79"/>
  <c r="J83" i="79" s="1"/>
  <c r="D12" i="79"/>
  <c r="F98" i="79" s="1"/>
  <c r="D6" i="79"/>
  <c r="D4" i="79"/>
  <c r="X33" i="78"/>
  <c r="Z33" i="78" s="1"/>
  <c r="V33" i="78"/>
  <c r="L33" i="78"/>
  <c r="N33" i="78" s="1"/>
  <c r="X29" i="78"/>
  <c r="T29" i="78"/>
  <c r="Z29" i="78" s="1"/>
  <c r="P29" i="78"/>
  <c r="N29" i="78"/>
  <c r="H29" i="78"/>
  <c r="L29" i="78" s="1"/>
  <c r="D29" i="78"/>
  <c r="Z27" i="78"/>
  <c r="X27" i="78"/>
  <c r="V27" i="78"/>
  <c r="N27" i="78"/>
  <c r="L27" i="78"/>
  <c r="B27" i="78"/>
  <c r="X26" i="78"/>
  <c r="T26" i="78"/>
  <c r="Z26" i="78" s="1"/>
  <c r="P26" i="78"/>
  <c r="H26" i="78"/>
  <c r="D26" i="78"/>
  <c r="B26" i="78"/>
  <c r="Z25" i="78"/>
  <c r="X25" i="78"/>
  <c r="N25" i="78"/>
  <c r="L25" i="78"/>
  <c r="B25" i="78"/>
  <c r="T24" i="78"/>
  <c r="P24" i="78"/>
  <c r="H24" i="78"/>
  <c r="N24" i="78" s="1"/>
  <c r="D24" i="78"/>
  <c r="L24" i="78" s="1"/>
  <c r="B24" i="78"/>
  <c r="X23" i="78"/>
  <c r="T23" i="78"/>
  <c r="P23" i="78"/>
  <c r="H23" i="78"/>
  <c r="D23" i="78"/>
  <c r="Z19" i="78"/>
  <c r="X19" i="78"/>
  <c r="N19" i="78"/>
  <c r="L19" i="78"/>
  <c r="J19" i="78"/>
  <c r="B19" i="78"/>
  <c r="Z18" i="78"/>
  <c r="X18" i="78"/>
  <c r="N18" i="78"/>
  <c r="L18" i="78"/>
  <c r="B18" i="78"/>
  <c r="X17" i="78"/>
  <c r="Z17" i="78" s="1"/>
  <c r="N17" i="78"/>
  <c r="L17" i="78"/>
  <c r="B17" i="78"/>
  <c r="T16" i="78"/>
  <c r="P16" i="78"/>
  <c r="H16" i="78"/>
  <c r="N16" i="78" s="1"/>
  <c r="D16" i="78"/>
  <c r="L16" i="78" s="1"/>
  <c r="Z14" i="78"/>
  <c r="P14" i="78"/>
  <c r="X14" i="78" s="1"/>
  <c r="N14" i="78"/>
  <c r="D14" i="78"/>
  <c r="L14" i="78" s="1"/>
  <c r="B14" i="78"/>
  <c r="P13" i="78"/>
  <c r="X13" i="78" s="1"/>
  <c r="Z13" i="78" s="1"/>
  <c r="N13" i="78"/>
  <c r="L13" i="78"/>
  <c r="D13" i="78"/>
  <c r="B13" i="78"/>
  <c r="X12" i="78"/>
  <c r="T12" i="78"/>
  <c r="V26" i="78" s="1"/>
  <c r="P12" i="78"/>
  <c r="R33" i="78" s="1"/>
  <c r="H12" i="78"/>
  <c r="J18" i="78" s="1"/>
  <c r="D12" i="78"/>
  <c r="F26" i="78" s="1"/>
  <c r="D6" i="78"/>
  <c r="D4" i="78"/>
  <c r="X132" i="77"/>
  <c r="Z132" i="77" s="1"/>
  <c r="L132" i="77"/>
  <c r="N132" i="77" s="1"/>
  <c r="T128" i="77"/>
  <c r="Z128" i="77" s="1"/>
  <c r="P128" i="77"/>
  <c r="X128" i="77" s="1"/>
  <c r="H128" i="77"/>
  <c r="N128" i="77" s="1"/>
  <c r="D128" i="77"/>
  <c r="L128" i="77" s="1"/>
  <c r="X126" i="77"/>
  <c r="Z126" i="77" s="1"/>
  <c r="L126" i="77"/>
  <c r="N126" i="77" s="1"/>
  <c r="B126" i="77"/>
  <c r="T125" i="77"/>
  <c r="P125" i="77"/>
  <c r="X125" i="77" s="1"/>
  <c r="H125" i="77"/>
  <c r="D125" i="77"/>
  <c r="L125" i="77" s="1"/>
  <c r="N125" i="77" s="1"/>
  <c r="B125" i="77"/>
  <c r="X124" i="77"/>
  <c r="Z124" i="77" s="1"/>
  <c r="N124" i="77"/>
  <c r="L124" i="77"/>
  <c r="B124" i="77"/>
  <c r="Z123" i="77"/>
  <c r="X123" i="77"/>
  <c r="N123" i="77"/>
  <c r="L123" i="77"/>
  <c r="B123" i="77"/>
  <c r="T122" i="77"/>
  <c r="P122" i="77"/>
  <c r="X122" i="77" s="1"/>
  <c r="L122" i="77"/>
  <c r="N122" i="77" s="1"/>
  <c r="H122" i="77"/>
  <c r="D122" i="77"/>
  <c r="B122" i="77"/>
  <c r="Z121" i="77"/>
  <c r="X121" i="77"/>
  <c r="N121" i="77"/>
  <c r="L121" i="77"/>
  <c r="B121" i="77"/>
  <c r="Z120" i="77"/>
  <c r="X120" i="77"/>
  <c r="T120" i="77"/>
  <c r="P120" i="77"/>
  <c r="H120" i="77"/>
  <c r="D120" i="77"/>
  <c r="B120" i="77"/>
  <c r="Z119" i="77"/>
  <c r="X119" i="77"/>
  <c r="N119" i="77"/>
  <c r="L119" i="77"/>
  <c r="B119" i="77"/>
  <c r="Z118" i="77"/>
  <c r="X118" i="77"/>
  <c r="L118" i="77"/>
  <c r="N118" i="77" s="1"/>
  <c r="B118" i="77"/>
  <c r="T117" i="77"/>
  <c r="Z117" i="77" s="1"/>
  <c r="P117" i="77"/>
  <c r="X117" i="77" s="1"/>
  <c r="L117" i="77"/>
  <c r="N117" i="77" s="1"/>
  <c r="H117" i="77"/>
  <c r="D117" i="77"/>
  <c r="B117" i="77"/>
  <c r="X116" i="77"/>
  <c r="Z116" i="77" s="1"/>
  <c r="L116" i="77"/>
  <c r="N116" i="77" s="1"/>
  <c r="B116" i="77"/>
  <c r="X115" i="77"/>
  <c r="Z115" i="77" s="1"/>
  <c r="N115" i="77"/>
  <c r="L115" i="77"/>
  <c r="B115" i="77"/>
  <c r="Z114" i="77"/>
  <c r="X114" i="77"/>
  <c r="N114" i="77"/>
  <c r="L114" i="77"/>
  <c r="B114" i="77"/>
  <c r="Z113" i="77"/>
  <c r="X113" i="77"/>
  <c r="L113" i="77"/>
  <c r="N113" i="77" s="1"/>
  <c r="B113" i="77"/>
  <c r="X112" i="77"/>
  <c r="Z112" i="77" s="1"/>
  <c r="L112" i="77"/>
  <c r="N112" i="77" s="1"/>
  <c r="B112" i="77"/>
  <c r="Z111" i="77"/>
  <c r="X111" i="77"/>
  <c r="N111" i="77"/>
  <c r="L111" i="77"/>
  <c r="B111" i="77"/>
  <c r="T110" i="77"/>
  <c r="P110" i="77"/>
  <c r="X110" i="77" s="1"/>
  <c r="L110" i="77"/>
  <c r="N110" i="77" s="1"/>
  <c r="H110" i="77"/>
  <c r="D110" i="77"/>
  <c r="B110" i="77"/>
  <c r="Z109" i="77"/>
  <c r="X109" i="77"/>
  <c r="N109" i="77"/>
  <c r="L109" i="77"/>
  <c r="B109" i="77"/>
  <c r="X108" i="77"/>
  <c r="Z108" i="77" s="1"/>
  <c r="L108" i="77"/>
  <c r="N108" i="77" s="1"/>
  <c r="B108" i="77"/>
  <c r="Z107" i="77"/>
  <c r="T107" i="77"/>
  <c r="P107" i="77"/>
  <c r="X107" i="77" s="1"/>
  <c r="L107" i="77"/>
  <c r="N107" i="77" s="1"/>
  <c r="J107" i="77"/>
  <c r="H107" i="77"/>
  <c r="D107" i="77"/>
  <c r="B107" i="77"/>
  <c r="X106" i="77"/>
  <c r="Z106" i="77" s="1"/>
  <c r="L106" i="77"/>
  <c r="N106" i="77" s="1"/>
  <c r="B106" i="77"/>
  <c r="X105" i="77"/>
  <c r="Z105" i="77" s="1"/>
  <c r="L105" i="77"/>
  <c r="N105" i="77" s="1"/>
  <c r="B105" i="77"/>
  <c r="Z104" i="77"/>
  <c r="X104" i="77"/>
  <c r="N104" i="77"/>
  <c r="L104" i="77"/>
  <c r="B104" i="77"/>
  <c r="T103" i="77"/>
  <c r="P103" i="77"/>
  <c r="X103" i="77" s="1"/>
  <c r="Z103" i="77" s="1"/>
  <c r="H103" i="77"/>
  <c r="D103" i="77"/>
  <c r="L103" i="77" s="1"/>
  <c r="N103" i="77" s="1"/>
  <c r="B103" i="77"/>
  <c r="X102" i="77"/>
  <c r="Z102" i="77" s="1"/>
  <c r="N102" i="77"/>
  <c r="L102" i="77"/>
  <c r="B102" i="77"/>
  <c r="Z101" i="77"/>
  <c r="X101" i="77"/>
  <c r="N101" i="77"/>
  <c r="L101" i="77"/>
  <c r="B101" i="77"/>
  <c r="Z100" i="77"/>
  <c r="X100" i="77"/>
  <c r="N100" i="77"/>
  <c r="L100" i="77"/>
  <c r="B100" i="77"/>
  <c r="Z99" i="77"/>
  <c r="T99" i="77"/>
  <c r="P99" i="77"/>
  <c r="X99" i="77" s="1"/>
  <c r="H99" i="77"/>
  <c r="D99" i="77"/>
  <c r="L99" i="77" s="1"/>
  <c r="N99" i="77" s="1"/>
  <c r="B99" i="77"/>
  <c r="Z98" i="77"/>
  <c r="X98" i="77"/>
  <c r="L98" i="77"/>
  <c r="N98" i="77" s="1"/>
  <c r="B98" i="77"/>
  <c r="T97" i="77"/>
  <c r="P97" i="77"/>
  <c r="X97" i="77" s="1"/>
  <c r="H97" i="77"/>
  <c r="N97" i="77" s="1"/>
  <c r="D97" i="77"/>
  <c r="L97" i="77" s="1"/>
  <c r="B97" i="77"/>
  <c r="X96" i="77"/>
  <c r="Z96" i="77" s="1"/>
  <c r="N96" i="77"/>
  <c r="L96" i="77"/>
  <c r="B96" i="77"/>
  <c r="T95" i="77"/>
  <c r="P95" i="77"/>
  <c r="X95" i="77" s="1"/>
  <c r="Z95" i="77" s="1"/>
  <c r="N95" i="77"/>
  <c r="L95" i="77"/>
  <c r="H95" i="77"/>
  <c r="D95" i="77"/>
  <c r="B95" i="77"/>
  <c r="X94" i="77"/>
  <c r="Z94" i="77" s="1"/>
  <c r="N94" i="77"/>
  <c r="L94" i="77"/>
  <c r="B94" i="77"/>
  <c r="X93" i="77"/>
  <c r="Z93" i="77" s="1"/>
  <c r="T93" i="77"/>
  <c r="P93" i="77"/>
  <c r="H93" i="77"/>
  <c r="L93" i="77" s="1"/>
  <c r="N93" i="77" s="1"/>
  <c r="D93" i="77"/>
  <c r="B93" i="77"/>
  <c r="X92" i="77"/>
  <c r="Z92" i="77" s="1"/>
  <c r="N92" i="77"/>
  <c r="L92" i="77"/>
  <c r="B92" i="77"/>
  <c r="T91" i="77"/>
  <c r="X91" i="77" s="1"/>
  <c r="Z91" i="77" s="1"/>
  <c r="P91" i="77"/>
  <c r="H91" i="77"/>
  <c r="D91" i="77"/>
  <c r="L91" i="77" s="1"/>
  <c r="B91" i="77"/>
  <c r="X90" i="77"/>
  <c r="Z90" i="77" s="1"/>
  <c r="N90" i="77"/>
  <c r="L90" i="77"/>
  <c r="B90" i="77"/>
  <c r="X89" i="77"/>
  <c r="Z89" i="77" s="1"/>
  <c r="N89" i="77"/>
  <c r="L89" i="77"/>
  <c r="B89" i="77"/>
  <c r="X88" i="77"/>
  <c r="Z88" i="77" s="1"/>
  <c r="T88" i="77"/>
  <c r="P88" i="77"/>
  <c r="H88" i="77"/>
  <c r="N88" i="77" s="1"/>
  <c r="D88" i="77"/>
  <c r="L88" i="77" s="1"/>
  <c r="B88" i="77"/>
  <c r="Z87" i="77"/>
  <c r="X87" i="77"/>
  <c r="N87" i="77"/>
  <c r="L87" i="77"/>
  <c r="B87" i="77"/>
  <c r="T86" i="77"/>
  <c r="P86" i="77"/>
  <c r="X86" i="77" s="1"/>
  <c r="H86" i="77"/>
  <c r="D86" i="77"/>
  <c r="L86" i="77" s="1"/>
  <c r="N86" i="77" s="1"/>
  <c r="B86" i="77"/>
  <c r="Z85" i="77"/>
  <c r="X85" i="77"/>
  <c r="N85" i="77"/>
  <c r="L85" i="77"/>
  <c r="B85" i="77"/>
  <c r="Z84" i="77"/>
  <c r="T84" i="77"/>
  <c r="P84" i="77"/>
  <c r="X84" i="77" s="1"/>
  <c r="H84" i="77"/>
  <c r="N84" i="77" s="1"/>
  <c r="D84" i="77"/>
  <c r="B84" i="77"/>
  <c r="Z83" i="77"/>
  <c r="X83" i="77"/>
  <c r="N83" i="77"/>
  <c r="L83" i="77"/>
  <c r="B83" i="77"/>
  <c r="T82" i="77"/>
  <c r="Z82" i="77" s="1"/>
  <c r="P82" i="77"/>
  <c r="X82" i="77" s="1"/>
  <c r="L82" i="77"/>
  <c r="H82" i="77"/>
  <c r="N82" i="77" s="1"/>
  <c r="D82" i="77"/>
  <c r="B82" i="77"/>
  <c r="Z81" i="77"/>
  <c r="X81" i="77"/>
  <c r="N81" i="77"/>
  <c r="L81" i="77"/>
  <c r="B81" i="77"/>
  <c r="X80" i="77"/>
  <c r="T80" i="77"/>
  <c r="Z80" i="77" s="1"/>
  <c r="P80" i="77"/>
  <c r="H80" i="77"/>
  <c r="D80" i="77"/>
  <c r="B80" i="77"/>
  <c r="Z79" i="77"/>
  <c r="X79" i="77"/>
  <c r="N79" i="77"/>
  <c r="L79" i="77"/>
  <c r="B79" i="77"/>
  <c r="T78" i="77"/>
  <c r="P78" i="77"/>
  <c r="H78" i="77"/>
  <c r="D78" i="77"/>
  <c r="L78" i="77" s="1"/>
  <c r="B78" i="77"/>
  <c r="Z77" i="77"/>
  <c r="X77" i="77"/>
  <c r="N77" i="77"/>
  <c r="L77" i="77"/>
  <c r="B77" i="77"/>
  <c r="T76" i="77"/>
  <c r="P76" i="77"/>
  <c r="X76" i="77" s="1"/>
  <c r="L76" i="77"/>
  <c r="H76" i="77"/>
  <c r="N76" i="77" s="1"/>
  <c r="D76" i="77"/>
  <c r="B76" i="77"/>
  <c r="Z75" i="77"/>
  <c r="X75" i="77"/>
  <c r="N75" i="77"/>
  <c r="L75" i="77"/>
  <c r="B75" i="77"/>
  <c r="Z74" i="77"/>
  <c r="X74" i="77"/>
  <c r="N74" i="77"/>
  <c r="L74" i="77"/>
  <c r="B74" i="77"/>
  <c r="Z73" i="77"/>
  <c r="X73" i="77"/>
  <c r="N73" i="77"/>
  <c r="L73" i="77"/>
  <c r="J73" i="77"/>
  <c r="B73" i="77"/>
  <c r="X72" i="77"/>
  <c r="Z72" i="77" s="1"/>
  <c r="L72" i="77"/>
  <c r="N72" i="77" s="1"/>
  <c r="B72" i="77"/>
  <c r="Z71" i="77"/>
  <c r="X71" i="77"/>
  <c r="N71" i="77"/>
  <c r="L71" i="77"/>
  <c r="B71" i="77"/>
  <c r="Z70" i="77"/>
  <c r="X70" i="77"/>
  <c r="N70" i="77"/>
  <c r="L70" i="77"/>
  <c r="B70" i="77"/>
  <c r="X69" i="77"/>
  <c r="Z69" i="77" s="1"/>
  <c r="N69" i="77"/>
  <c r="L69" i="77"/>
  <c r="B69" i="77"/>
  <c r="Z68" i="77"/>
  <c r="X68" i="77"/>
  <c r="N68" i="77"/>
  <c r="L68" i="77"/>
  <c r="B68" i="77"/>
  <c r="Z67" i="77"/>
  <c r="X67" i="77"/>
  <c r="L67" i="77"/>
  <c r="N67" i="77" s="1"/>
  <c r="B67" i="77"/>
  <c r="Z66" i="77"/>
  <c r="X66" i="77"/>
  <c r="N66" i="77"/>
  <c r="L66" i="77"/>
  <c r="B66" i="77"/>
  <c r="T65" i="77"/>
  <c r="P65" i="77"/>
  <c r="X65" i="77" s="1"/>
  <c r="Z65" i="77" s="1"/>
  <c r="H65" i="77"/>
  <c r="D65" i="77"/>
  <c r="L65" i="77" s="1"/>
  <c r="N65" i="77" s="1"/>
  <c r="B65" i="77"/>
  <c r="X64" i="77"/>
  <c r="Z64" i="77" s="1"/>
  <c r="N64" i="77"/>
  <c r="L64" i="77"/>
  <c r="B64" i="77"/>
  <c r="Z63" i="77"/>
  <c r="X63" i="77"/>
  <c r="L63" i="77"/>
  <c r="N63" i="77" s="1"/>
  <c r="B63" i="77"/>
  <c r="X62" i="77"/>
  <c r="Z62" i="77" s="1"/>
  <c r="N62" i="77"/>
  <c r="L62" i="77"/>
  <c r="B62" i="77"/>
  <c r="Z61" i="77"/>
  <c r="X61" i="77"/>
  <c r="N61" i="77"/>
  <c r="L61" i="77"/>
  <c r="B61" i="77"/>
  <c r="Z60" i="77"/>
  <c r="X60" i="77"/>
  <c r="N60" i="77"/>
  <c r="L60" i="77"/>
  <c r="B60" i="77"/>
  <c r="X59" i="77"/>
  <c r="Z59" i="77" s="1"/>
  <c r="L59" i="77"/>
  <c r="N59" i="77" s="1"/>
  <c r="B59" i="77"/>
  <c r="X58" i="77"/>
  <c r="Z58" i="77" s="1"/>
  <c r="L58" i="77"/>
  <c r="N58" i="77" s="1"/>
  <c r="J58" i="77"/>
  <c r="B58" i="77"/>
  <c r="X57" i="77"/>
  <c r="Z57" i="77" s="1"/>
  <c r="L57" i="77"/>
  <c r="N57" i="77" s="1"/>
  <c r="B57" i="77"/>
  <c r="Z56" i="77"/>
  <c r="X56" i="77"/>
  <c r="N56" i="77"/>
  <c r="L56" i="77"/>
  <c r="B56" i="77"/>
  <c r="T55" i="77"/>
  <c r="P55" i="77"/>
  <c r="X55" i="77" s="1"/>
  <c r="H55" i="77"/>
  <c r="D55" i="77"/>
  <c r="L55" i="77" s="1"/>
  <c r="N55" i="77" s="1"/>
  <c r="B55" i="77"/>
  <c r="T54" i="77"/>
  <c r="P54" i="77"/>
  <c r="X54" i="77" s="1"/>
  <c r="H54" i="77"/>
  <c r="D54" i="77"/>
  <c r="H52" i="77"/>
  <c r="Z50" i="77"/>
  <c r="X50" i="77"/>
  <c r="N50" i="77"/>
  <c r="L50" i="77"/>
  <c r="J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V47" i="77"/>
  <c r="N47" i="77"/>
  <c r="L47" i="77"/>
  <c r="J47" i="77"/>
  <c r="B47" i="77"/>
  <c r="Z46" i="77"/>
  <c r="X46" i="77"/>
  <c r="V46" i="77"/>
  <c r="N46" i="77"/>
  <c r="L46" i="77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V43" i="77"/>
  <c r="N43" i="77"/>
  <c r="L43" i="77"/>
  <c r="J43" i="77"/>
  <c r="B43" i="77"/>
  <c r="Z42" i="77"/>
  <c r="X42" i="77"/>
  <c r="N42" i="77"/>
  <c r="L42" i="77"/>
  <c r="J42" i="77"/>
  <c r="B42" i="77"/>
  <c r="Z41" i="77"/>
  <c r="X41" i="77"/>
  <c r="N41" i="77"/>
  <c r="L41" i="77"/>
  <c r="B41" i="77"/>
  <c r="Z40" i="77"/>
  <c r="X40" i="77"/>
  <c r="N40" i="77"/>
  <c r="L40" i="77"/>
  <c r="B40" i="77"/>
  <c r="Z39" i="77"/>
  <c r="X39" i="77"/>
  <c r="V39" i="77"/>
  <c r="N39" i="77"/>
  <c r="L39" i="77"/>
  <c r="J39" i="77"/>
  <c r="B39" i="77"/>
  <c r="Z38" i="77"/>
  <c r="X38" i="77"/>
  <c r="V38" i="77"/>
  <c r="N38" i="77"/>
  <c r="L38" i="77"/>
  <c r="B38" i="77"/>
  <c r="Z37" i="77"/>
  <c r="X37" i="77"/>
  <c r="N37" i="77"/>
  <c r="L37" i="77"/>
  <c r="B37" i="77"/>
  <c r="Z36" i="77"/>
  <c r="X36" i="77"/>
  <c r="L36" i="77"/>
  <c r="N36" i="77" s="1"/>
  <c r="B36" i="77"/>
  <c r="V35" i="77"/>
  <c r="T35" i="77"/>
  <c r="P35" i="77"/>
  <c r="X35" i="77" s="1"/>
  <c r="L35" i="77"/>
  <c r="N35" i="77" s="1"/>
  <c r="H35" i="77"/>
  <c r="D35" i="77"/>
  <c r="Z33" i="77"/>
  <c r="P33" i="77"/>
  <c r="X33" i="77" s="1"/>
  <c r="N33" i="77"/>
  <c r="D33" i="77"/>
  <c r="L33" i="77" s="1"/>
  <c r="B33" i="77"/>
  <c r="Z32" i="77"/>
  <c r="X32" i="77"/>
  <c r="P32" i="77"/>
  <c r="N32" i="77"/>
  <c r="L32" i="77"/>
  <c r="D32" i="77"/>
  <c r="B32" i="77"/>
  <c r="Z31" i="77"/>
  <c r="P31" i="77"/>
  <c r="X31" i="77" s="1"/>
  <c r="N31" i="77"/>
  <c r="D31" i="77"/>
  <c r="L31" i="77" s="1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D28" i="77"/>
  <c r="L28" i="77" s="1"/>
  <c r="B28" i="77"/>
  <c r="Z27" i="77"/>
  <c r="X27" i="77"/>
  <c r="P27" i="77"/>
  <c r="N27" i="77"/>
  <c r="L27" i="77"/>
  <c r="D27" i="77"/>
  <c r="B27" i="77"/>
  <c r="Z26" i="77"/>
  <c r="P26" i="77"/>
  <c r="X26" i="77" s="1"/>
  <c r="N26" i="77"/>
  <c r="D26" i="77"/>
  <c r="L26" i="77" s="1"/>
  <c r="B26" i="77"/>
  <c r="Z25" i="77"/>
  <c r="P25" i="77"/>
  <c r="X25" i="77" s="1"/>
  <c r="N25" i="77"/>
  <c r="L25" i="77"/>
  <c r="D25" i="77"/>
  <c r="B25" i="77"/>
  <c r="Z24" i="77"/>
  <c r="X24" i="77"/>
  <c r="P24" i="77"/>
  <c r="N24" i="77"/>
  <c r="L24" i="77"/>
  <c r="D24" i="77"/>
  <c r="B24" i="77"/>
  <c r="Z23" i="77"/>
  <c r="P23" i="77"/>
  <c r="X23" i="77" s="1"/>
  <c r="N23" i="77"/>
  <c r="D23" i="77"/>
  <c r="L23" i="77" s="1"/>
  <c r="B23" i="77"/>
  <c r="Z22" i="77"/>
  <c r="X22" i="77"/>
  <c r="P22" i="77"/>
  <c r="N22" i="77"/>
  <c r="D22" i="77"/>
  <c r="L22" i="77" s="1"/>
  <c r="B22" i="77"/>
  <c r="Z21" i="77"/>
  <c r="P21" i="77"/>
  <c r="X21" i="77" s="1"/>
  <c r="N21" i="77"/>
  <c r="L21" i="77"/>
  <c r="D21" i="77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L19" i="77"/>
  <c r="D19" i="77"/>
  <c r="B19" i="77"/>
  <c r="Z18" i="77"/>
  <c r="P18" i="77"/>
  <c r="X18" i="77" s="1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X16" i="77"/>
  <c r="P16" i="77"/>
  <c r="N16" i="77"/>
  <c r="L16" i="77"/>
  <c r="D16" i="77"/>
  <c r="B16" i="77"/>
  <c r="Z15" i="77"/>
  <c r="X15" i="77"/>
  <c r="P15" i="77"/>
  <c r="N15" i="77"/>
  <c r="D15" i="77"/>
  <c r="L15" i="77" s="1"/>
  <c r="B15" i="77"/>
  <c r="Z14" i="77"/>
  <c r="X14" i="77"/>
  <c r="P14" i="77"/>
  <c r="N14" i="77"/>
  <c r="D14" i="77"/>
  <c r="L14" i="77" s="1"/>
  <c r="B14" i="77"/>
  <c r="P13" i="77"/>
  <c r="X13" i="77" s="1"/>
  <c r="Z13" i="77" s="1"/>
  <c r="N13" i="77"/>
  <c r="L13" i="77"/>
  <c r="D13" i="77"/>
  <c r="B13" i="77"/>
  <c r="T12" i="77"/>
  <c r="V117" i="77" s="1"/>
  <c r="P12" i="77"/>
  <c r="H12" i="77"/>
  <c r="J59" i="77" s="1"/>
  <c r="D6" i="77"/>
  <c r="D4" i="77"/>
  <c r="X92" i="76"/>
  <c r="Z92" i="76" s="1"/>
  <c r="L92" i="76"/>
  <c r="N92" i="76" s="1"/>
  <c r="J92" i="76"/>
  <c r="T88" i="76"/>
  <c r="Z88" i="76" s="1"/>
  <c r="P88" i="76"/>
  <c r="X88" i="76" s="1"/>
  <c r="H88" i="76"/>
  <c r="N88" i="76" s="1"/>
  <c r="D88" i="76"/>
  <c r="L88" i="76" s="1"/>
  <c r="X86" i="76"/>
  <c r="Z86" i="76" s="1"/>
  <c r="L86" i="76"/>
  <c r="N86" i="76" s="1"/>
  <c r="J86" i="76"/>
  <c r="B86" i="76"/>
  <c r="Z85" i="76"/>
  <c r="T85" i="76"/>
  <c r="P85" i="76"/>
  <c r="X85" i="76" s="1"/>
  <c r="L85" i="76"/>
  <c r="N85" i="76" s="1"/>
  <c r="J85" i="76"/>
  <c r="H85" i="76"/>
  <c r="D85" i="76"/>
  <c r="B85" i="76"/>
  <c r="Z84" i="76"/>
  <c r="X84" i="76"/>
  <c r="N84" i="76"/>
  <c r="L84" i="76"/>
  <c r="B84" i="76"/>
  <c r="T83" i="76"/>
  <c r="P83" i="76"/>
  <c r="X83" i="76" s="1"/>
  <c r="Z83" i="76" s="1"/>
  <c r="N83" i="76"/>
  <c r="L83" i="76"/>
  <c r="H83" i="76"/>
  <c r="F83" i="76"/>
  <c r="D83" i="76"/>
  <c r="B83" i="76"/>
  <c r="X82" i="76"/>
  <c r="Z82" i="76" s="1"/>
  <c r="N82" i="76"/>
  <c r="L82" i="76"/>
  <c r="B82" i="76"/>
  <c r="X81" i="76"/>
  <c r="Z81" i="76" s="1"/>
  <c r="N81" i="76"/>
  <c r="L81" i="76"/>
  <c r="B81" i="76"/>
  <c r="T80" i="76"/>
  <c r="P80" i="76"/>
  <c r="J80" i="76"/>
  <c r="H80" i="76"/>
  <c r="D80" i="76"/>
  <c r="L80" i="76" s="1"/>
  <c r="N80" i="76" s="1"/>
  <c r="B80" i="76"/>
  <c r="X79" i="76"/>
  <c r="Z79" i="76" s="1"/>
  <c r="N79" i="76"/>
  <c r="L79" i="76"/>
  <c r="J79" i="76"/>
  <c r="B79" i="76"/>
  <c r="X78" i="76"/>
  <c r="Z78" i="76" s="1"/>
  <c r="N78" i="76"/>
  <c r="L78" i="76"/>
  <c r="B78" i="76"/>
  <c r="X77" i="76"/>
  <c r="Z77" i="76" s="1"/>
  <c r="N77" i="76"/>
  <c r="L77" i="76"/>
  <c r="B77" i="76"/>
  <c r="Z76" i="76"/>
  <c r="X76" i="76"/>
  <c r="L76" i="76"/>
  <c r="N76" i="76" s="1"/>
  <c r="B76" i="76"/>
  <c r="X75" i="76"/>
  <c r="Z75" i="76" s="1"/>
  <c r="N75" i="76"/>
  <c r="L75" i="76"/>
  <c r="J75" i="76"/>
  <c r="B75" i="76"/>
  <c r="X74" i="76"/>
  <c r="T74" i="76"/>
  <c r="Z74" i="76" s="1"/>
  <c r="P74" i="76"/>
  <c r="H74" i="76"/>
  <c r="D74" i="76"/>
  <c r="L74" i="76" s="1"/>
  <c r="B74" i="76"/>
  <c r="X73" i="76"/>
  <c r="Z73" i="76" s="1"/>
  <c r="N73" i="76"/>
  <c r="L73" i="76"/>
  <c r="B73" i="76"/>
  <c r="T72" i="76"/>
  <c r="P72" i="76"/>
  <c r="J72" i="76"/>
  <c r="H72" i="76"/>
  <c r="D72" i="76"/>
  <c r="L72" i="76" s="1"/>
  <c r="N72" i="76" s="1"/>
  <c r="B72" i="76"/>
  <c r="Z71" i="76"/>
  <c r="X71" i="76"/>
  <c r="N71" i="76"/>
  <c r="L71" i="76"/>
  <c r="J71" i="76"/>
  <c r="B71" i="76"/>
  <c r="X70" i="76"/>
  <c r="Z70" i="76" s="1"/>
  <c r="L70" i="76"/>
  <c r="N70" i="76" s="1"/>
  <c r="B70" i="76"/>
  <c r="X69" i="76"/>
  <c r="Z69" i="76" s="1"/>
  <c r="N69" i="76"/>
  <c r="L69" i="76"/>
  <c r="B69" i="76"/>
  <c r="T68" i="76"/>
  <c r="P68" i="76"/>
  <c r="X68" i="76" s="1"/>
  <c r="J68" i="76"/>
  <c r="H68" i="76"/>
  <c r="D68" i="76"/>
  <c r="L68" i="76" s="1"/>
  <c r="N68" i="76" s="1"/>
  <c r="B68" i="76"/>
  <c r="Z67" i="76"/>
  <c r="X67" i="76"/>
  <c r="N67" i="76"/>
  <c r="L67" i="76"/>
  <c r="J67" i="76"/>
  <c r="B67" i="76"/>
  <c r="X66" i="76"/>
  <c r="Z66" i="76" s="1"/>
  <c r="N66" i="76"/>
  <c r="L66" i="76"/>
  <c r="B66" i="76"/>
  <c r="X65" i="76"/>
  <c r="Z65" i="76" s="1"/>
  <c r="N65" i="76"/>
  <c r="L65" i="76"/>
  <c r="B65" i="76"/>
  <c r="Z64" i="76"/>
  <c r="X64" i="76"/>
  <c r="N64" i="76"/>
  <c r="L64" i="76"/>
  <c r="B64" i="76"/>
  <c r="V63" i="76"/>
  <c r="T63" i="76"/>
  <c r="P63" i="76"/>
  <c r="X63" i="76" s="1"/>
  <c r="N63" i="76"/>
  <c r="L63" i="76"/>
  <c r="H63" i="76"/>
  <c r="D63" i="76"/>
  <c r="B63" i="76"/>
  <c r="X62" i="76"/>
  <c r="Z62" i="76" s="1"/>
  <c r="L62" i="76"/>
  <c r="N62" i="76" s="1"/>
  <c r="B62" i="76"/>
  <c r="X61" i="76"/>
  <c r="Z61" i="76" s="1"/>
  <c r="T61" i="76"/>
  <c r="P61" i="76"/>
  <c r="H61" i="76"/>
  <c r="D61" i="76"/>
  <c r="B61" i="76"/>
  <c r="X60" i="76"/>
  <c r="Z60" i="76" s="1"/>
  <c r="N60" i="76"/>
  <c r="L60" i="76"/>
  <c r="B60" i="76"/>
  <c r="T59" i="76"/>
  <c r="P59" i="76"/>
  <c r="N59" i="76"/>
  <c r="H59" i="76"/>
  <c r="D59" i="76"/>
  <c r="L59" i="76" s="1"/>
  <c r="B59" i="76"/>
  <c r="X58" i="76"/>
  <c r="Z58" i="76" s="1"/>
  <c r="N58" i="76"/>
  <c r="L58" i="76"/>
  <c r="J58" i="76"/>
  <c r="B58" i="76"/>
  <c r="T57" i="76"/>
  <c r="P57" i="76"/>
  <c r="X57" i="76" s="1"/>
  <c r="Z57" i="76" s="1"/>
  <c r="J57" i="76"/>
  <c r="H57" i="76"/>
  <c r="N57" i="76" s="1"/>
  <c r="D57" i="76"/>
  <c r="L57" i="76" s="1"/>
  <c r="B57" i="76"/>
  <c r="Z56" i="76"/>
  <c r="X56" i="76"/>
  <c r="N56" i="76"/>
  <c r="L56" i="76"/>
  <c r="B56" i="76"/>
  <c r="V55" i="76"/>
  <c r="T55" i="76"/>
  <c r="P55" i="76"/>
  <c r="X55" i="76" s="1"/>
  <c r="L55" i="76"/>
  <c r="N55" i="76" s="1"/>
  <c r="H55" i="76"/>
  <c r="F55" i="76"/>
  <c r="D55" i="76"/>
  <c r="B55" i="76"/>
  <c r="X54" i="76"/>
  <c r="Z54" i="76" s="1"/>
  <c r="N54" i="76"/>
  <c r="L54" i="76"/>
  <c r="B54" i="76"/>
  <c r="X53" i="76"/>
  <c r="Z53" i="76" s="1"/>
  <c r="T53" i="76"/>
  <c r="P53" i="76"/>
  <c r="H53" i="76"/>
  <c r="D53" i="76"/>
  <c r="B53" i="76"/>
  <c r="Z52" i="76"/>
  <c r="X52" i="76"/>
  <c r="N52" i="76"/>
  <c r="L52" i="76"/>
  <c r="F52" i="76"/>
  <c r="B52" i="76"/>
  <c r="Z51" i="76"/>
  <c r="X51" i="76"/>
  <c r="N51" i="76"/>
  <c r="L51" i="76"/>
  <c r="J51" i="76"/>
  <c r="B51" i="76"/>
  <c r="T50" i="76"/>
  <c r="P50" i="76"/>
  <c r="X50" i="76" s="1"/>
  <c r="Z50" i="76" s="1"/>
  <c r="H50" i="76"/>
  <c r="F50" i="76"/>
  <c r="D50" i="76"/>
  <c r="B50" i="76"/>
  <c r="Z49" i="76"/>
  <c r="X49" i="76"/>
  <c r="L49" i="76"/>
  <c r="N49" i="76" s="1"/>
  <c r="B49" i="76"/>
  <c r="T48" i="76"/>
  <c r="P48" i="76"/>
  <c r="L48" i="76"/>
  <c r="N48" i="76" s="1"/>
  <c r="H48" i="76"/>
  <c r="D48" i="76"/>
  <c r="B48" i="76"/>
  <c r="X47" i="76"/>
  <c r="Z47" i="76" s="1"/>
  <c r="L47" i="76"/>
  <c r="N47" i="76" s="1"/>
  <c r="J47" i="76"/>
  <c r="B47" i="76"/>
  <c r="X46" i="76"/>
  <c r="T46" i="76"/>
  <c r="Z46" i="76" s="1"/>
  <c r="P46" i="76"/>
  <c r="H46" i="76"/>
  <c r="D46" i="76"/>
  <c r="B46" i="76"/>
  <c r="X45" i="76"/>
  <c r="Z45" i="76" s="1"/>
  <c r="N45" i="76"/>
  <c r="L45" i="76"/>
  <c r="B45" i="76"/>
  <c r="T44" i="76"/>
  <c r="P44" i="76"/>
  <c r="J44" i="76"/>
  <c r="H44" i="76"/>
  <c r="N44" i="76" s="1"/>
  <c r="D44" i="76"/>
  <c r="L44" i="76" s="1"/>
  <c r="B44" i="76"/>
  <c r="Z43" i="76"/>
  <c r="X43" i="76"/>
  <c r="N43" i="76"/>
  <c r="L43" i="76"/>
  <c r="J43" i="76"/>
  <c r="B43" i="76"/>
  <c r="Z42" i="76"/>
  <c r="X42" i="76"/>
  <c r="N42" i="76"/>
  <c r="L42" i="76"/>
  <c r="B42" i="76"/>
  <c r="X41" i="76"/>
  <c r="Z41" i="76" s="1"/>
  <c r="N41" i="76"/>
  <c r="L41" i="76"/>
  <c r="B41" i="76"/>
  <c r="Z40" i="76"/>
  <c r="X40" i="76"/>
  <c r="L40" i="76"/>
  <c r="N40" i="76" s="1"/>
  <c r="B40" i="76"/>
  <c r="Z39" i="76"/>
  <c r="X39" i="76"/>
  <c r="V39" i="76"/>
  <c r="N39" i="76"/>
  <c r="L39" i="76"/>
  <c r="J39" i="76"/>
  <c r="B39" i="76"/>
  <c r="X38" i="76"/>
  <c r="Z38" i="76" s="1"/>
  <c r="L38" i="76"/>
  <c r="N38" i="76" s="1"/>
  <c r="J38" i="76"/>
  <c r="B38" i="76"/>
  <c r="Z37" i="76"/>
  <c r="X37" i="76"/>
  <c r="N37" i="76"/>
  <c r="L37" i="76"/>
  <c r="B37" i="76"/>
  <c r="Z36" i="76"/>
  <c r="X36" i="76"/>
  <c r="N36" i="76"/>
  <c r="L36" i="76"/>
  <c r="B36" i="76"/>
  <c r="Z35" i="76"/>
  <c r="X35" i="76"/>
  <c r="L35" i="76"/>
  <c r="N35" i="76" s="1"/>
  <c r="J35" i="76"/>
  <c r="B35" i="76"/>
  <c r="Z34" i="76"/>
  <c r="X34" i="76"/>
  <c r="V34" i="76"/>
  <c r="N34" i="76"/>
  <c r="L34" i="76"/>
  <c r="B34" i="76"/>
  <c r="X33" i="76"/>
  <c r="Z33" i="76" s="1"/>
  <c r="T33" i="76"/>
  <c r="P33" i="76"/>
  <c r="H33" i="76"/>
  <c r="D33" i="76"/>
  <c r="B33" i="76"/>
  <c r="X32" i="76"/>
  <c r="Z32" i="76" s="1"/>
  <c r="N32" i="76"/>
  <c r="L32" i="76"/>
  <c r="B32" i="76"/>
  <c r="Z31" i="76"/>
  <c r="X31" i="76"/>
  <c r="L31" i="76"/>
  <c r="N31" i="76" s="1"/>
  <c r="J31" i="76"/>
  <c r="B31" i="76"/>
  <c r="Z30" i="76"/>
  <c r="X30" i="76"/>
  <c r="V30" i="76"/>
  <c r="N30" i="76"/>
  <c r="L30" i="76"/>
  <c r="B30" i="76"/>
  <c r="X29" i="76"/>
  <c r="Z29" i="76" s="1"/>
  <c r="N29" i="76"/>
  <c r="L29" i="76"/>
  <c r="B29" i="76"/>
  <c r="Z28" i="76"/>
  <c r="X28" i="76"/>
  <c r="N28" i="76"/>
  <c r="L28" i="76"/>
  <c r="B28" i="76"/>
  <c r="X27" i="76"/>
  <c r="Z27" i="76" s="1"/>
  <c r="N27" i="76"/>
  <c r="L27" i="76"/>
  <c r="J27" i="76"/>
  <c r="F27" i="76"/>
  <c r="B27" i="76"/>
  <c r="X26" i="76"/>
  <c r="Z26" i="76" s="1"/>
  <c r="L26" i="76"/>
  <c r="N26" i="76" s="1"/>
  <c r="J26" i="76"/>
  <c r="B26" i="76"/>
  <c r="Z25" i="76"/>
  <c r="X25" i="76"/>
  <c r="L25" i="76"/>
  <c r="N25" i="76" s="1"/>
  <c r="B25" i="76"/>
  <c r="T24" i="76"/>
  <c r="P24" i="76"/>
  <c r="L24" i="76"/>
  <c r="H24" i="76"/>
  <c r="D24" i="76"/>
  <c r="B24" i="76"/>
  <c r="T23" i="76"/>
  <c r="P23" i="76"/>
  <c r="X23" i="76" s="1"/>
  <c r="H23" i="76"/>
  <c r="F23" i="76"/>
  <c r="D23" i="76"/>
  <c r="L23" i="76" s="1"/>
  <c r="N23" i="76" s="1"/>
  <c r="T21" i="76"/>
  <c r="D21" i="76"/>
  <c r="Z19" i="76"/>
  <c r="X19" i="76"/>
  <c r="V19" i="76"/>
  <c r="N19" i="76"/>
  <c r="L19" i="76"/>
  <c r="J19" i="76"/>
  <c r="F19" i="76"/>
  <c r="B19" i="76"/>
  <c r="Z18" i="76"/>
  <c r="X18" i="76"/>
  <c r="N18" i="76"/>
  <c r="L18" i="76"/>
  <c r="J18" i="76"/>
  <c r="B18" i="76"/>
  <c r="Z17" i="76"/>
  <c r="X17" i="76"/>
  <c r="L17" i="76"/>
  <c r="N17" i="76" s="1"/>
  <c r="B17" i="76"/>
  <c r="T16" i="76"/>
  <c r="P16" i="76"/>
  <c r="L16" i="76"/>
  <c r="N16" i="76" s="1"/>
  <c r="H16" i="76"/>
  <c r="D16" i="76"/>
  <c r="P14" i="76"/>
  <c r="X14" i="76" s="1"/>
  <c r="Z14" i="76" s="1"/>
  <c r="N14" i="76"/>
  <c r="L14" i="76"/>
  <c r="D14" i="76"/>
  <c r="B14" i="76"/>
  <c r="X13" i="76"/>
  <c r="Z13" i="76" s="1"/>
  <c r="P13" i="76"/>
  <c r="L13" i="76"/>
  <c r="N13" i="76" s="1"/>
  <c r="D13" i="76"/>
  <c r="D12" i="76" s="1"/>
  <c r="B13" i="76"/>
  <c r="T12" i="76"/>
  <c r="V83" i="76" s="1"/>
  <c r="L12" i="76"/>
  <c r="H12" i="76"/>
  <c r="J83" i="76" s="1"/>
  <c r="D6" i="76"/>
  <c r="D4" i="76"/>
  <c r="Z51" i="75"/>
  <c r="X51" i="75"/>
  <c r="N51" i="75"/>
  <c r="L51" i="75"/>
  <c r="T47" i="75"/>
  <c r="Z47" i="75" s="1"/>
  <c r="P47" i="75"/>
  <c r="N47" i="75"/>
  <c r="L47" i="75"/>
  <c r="H47" i="75"/>
  <c r="D47" i="75"/>
  <c r="Z45" i="75"/>
  <c r="X45" i="75"/>
  <c r="N45" i="75"/>
  <c r="L45" i="75"/>
  <c r="B45" i="75"/>
  <c r="Z44" i="75"/>
  <c r="X44" i="75"/>
  <c r="V44" i="75"/>
  <c r="N44" i="75"/>
  <c r="L44" i="75"/>
  <c r="J44" i="75"/>
  <c r="B44" i="75"/>
  <c r="Z43" i="75"/>
  <c r="X43" i="75"/>
  <c r="N43" i="75"/>
  <c r="L43" i="75"/>
  <c r="J43" i="75"/>
  <c r="B43" i="75"/>
  <c r="Z42" i="75"/>
  <c r="X42" i="75"/>
  <c r="N42" i="75"/>
  <c r="L42" i="75"/>
  <c r="B42" i="75"/>
  <c r="Z41" i="75"/>
  <c r="X41" i="75"/>
  <c r="N41" i="75"/>
  <c r="L41" i="75"/>
  <c r="B41" i="75"/>
  <c r="Z40" i="75"/>
  <c r="X40" i="75"/>
  <c r="V40" i="75"/>
  <c r="N40" i="75"/>
  <c r="L40" i="75"/>
  <c r="J40" i="75"/>
  <c r="B40" i="75"/>
  <c r="Z39" i="75"/>
  <c r="X39" i="75"/>
  <c r="V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B37" i="75"/>
  <c r="Z36" i="75"/>
  <c r="X36" i="75"/>
  <c r="V36" i="75"/>
  <c r="N36" i="75"/>
  <c r="L36" i="75"/>
  <c r="J36" i="75"/>
  <c r="B36" i="75"/>
  <c r="Z35" i="75"/>
  <c r="T35" i="75"/>
  <c r="P35" i="75"/>
  <c r="X35" i="75" s="1"/>
  <c r="H35" i="75"/>
  <c r="N35" i="75" s="1"/>
  <c r="D35" i="75"/>
  <c r="L35" i="75" s="1"/>
  <c r="B35" i="75"/>
  <c r="Z34" i="75"/>
  <c r="X34" i="75"/>
  <c r="N34" i="75"/>
  <c r="L34" i="75"/>
  <c r="B34" i="75"/>
  <c r="Z33" i="75"/>
  <c r="X33" i="75"/>
  <c r="N33" i="75"/>
  <c r="L33" i="75"/>
  <c r="B33" i="75"/>
  <c r="Z32" i="75"/>
  <c r="X32" i="75"/>
  <c r="V32" i="75"/>
  <c r="N32" i="75"/>
  <c r="L32" i="75"/>
  <c r="J32" i="75"/>
  <c r="B32" i="75"/>
  <c r="Z31" i="75"/>
  <c r="X31" i="75"/>
  <c r="N31" i="75"/>
  <c r="L31" i="75"/>
  <c r="J31" i="75"/>
  <c r="B31" i="75"/>
  <c r="Z30" i="75"/>
  <c r="X30" i="75"/>
  <c r="N30" i="75"/>
  <c r="L30" i="75"/>
  <c r="B30" i="75"/>
  <c r="Z29" i="75"/>
  <c r="X29" i="75"/>
  <c r="N29" i="75"/>
  <c r="L29" i="75"/>
  <c r="B29" i="75"/>
  <c r="Z28" i="75"/>
  <c r="X28" i="75"/>
  <c r="V28" i="75"/>
  <c r="N28" i="75"/>
  <c r="L28" i="75"/>
  <c r="J28" i="75"/>
  <c r="B28" i="75"/>
  <c r="Z27" i="75"/>
  <c r="X27" i="75"/>
  <c r="V27" i="75"/>
  <c r="N27" i="75"/>
  <c r="L27" i="75"/>
  <c r="B27" i="75"/>
  <c r="Z26" i="75"/>
  <c r="X26" i="75"/>
  <c r="T26" i="75"/>
  <c r="P26" i="75"/>
  <c r="H26" i="75"/>
  <c r="N26" i="75" s="1"/>
  <c r="D26" i="75"/>
  <c r="L26" i="75" s="1"/>
  <c r="B26" i="75"/>
  <c r="T25" i="75"/>
  <c r="Z25" i="75" s="1"/>
  <c r="P25" i="75"/>
  <c r="H25" i="75"/>
  <c r="N25" i="75" s="1"/>
  <c r="D25" i="75"/>
  <c r="L25" i="75" s="1"/>
  <c r="T23" i="75"/>
  <c r="Z21" i="75"/>
  <c r="X21" i="75"/>
  <c r="N21" i="75"/>
  <c r="L21" i="75"/>
  <c r="B21" i="75"/>
  <c r="Z20" i="75"/>
  <c r="X20" i="75"/>
  <c r="V20" i="75"/>
  <c r="N20" i="75"/>
  <c r="L20" i="75"/>
  <c r="J20" i="75"/>
  <c r="B20" i="75"/>
  <c r="X19" i="75"/>
  <c r="Z19" i="75" s="1"/>
  <c r="V19" i="75"/>
  <c r="L19" i="75"/>
  <c r="N19" i="75" s="1"/>
  <c r="B19" i="75"/>
  <c r="Z18" i="75"/>
  <c r="X18" i="75"/>
  <c r="T18" i="75"/>
  <c r="P18" i="75"/>
  <c r="J18" i="75"/>
  <c r="H18" i="75"/>
  <c r="D18" i="75"/>
  <c r="L18" i="75" s="1"/>
  <c r="Z16" i="75"/>
  <c r="X16" i="75"/>
  <c r="P16" i="75"/>
  <c r="N16" i="75"/>
  <c r="D16" i="75"/>
  <c r="L16" i="75" s="1"/>
  <c r="B16" i="75"/>
  <c r="Z15" i="75"/>
  <c r="X15" i="75"/>
  <c r="P15" i="75"/>
  <c r="N15" i="75"/>
  <c r="D15" i="75"/>
  <c r="L15" i="75" s="1"/>
  <c r="B15" i="75"/>
  <c r="Z14" i="75"/>
  <c r="P14" i="75"/>
  <c r="N14" i="75"/>
  <c r="L14" i="75"/>
  <c r="D14" i="75"/>
  <c r="B14" i="75"/>
  <c r="Z13" i="75"/>
  <c r="P13" i="75"/>
  <c r="X13" i="75" s="1"/>
  <c r="N13" i="75"/>
  <c r="D13" i="75"/>
  <c r="L13" i="75" s="1"/>
  <c r="B13" i="75"/>
  <c r="T12" i="75"/>
  <c r="V38" i="75" s="1"/>
  <c r="H12" i="75"/>
  <c r="J42" i="75" s="1"/>
  <c r="D6" i="75"/>
  <c r="D4" i="75"/>
  <c r="V77" i="74"/>
  <c r="V74" i="74"/>
  <c r="Z72" i="74"/>
  <c r="X72" i="74"/>
  <c r="V72" i="74"/>
  <c r="N72" i="74"/>
  <c r="L72" i="74"/>
  <c r="J72" i="74"/>
  <c r="V70" i="74"/>
  <c r="V68" i="74"/>
  <c r="T68" i="74"/>
  <c r="Z68" i="74" s="1"/>
  <c r="P68" i="74"/>
  <c r="X68" i="74" s="1"/>
  <c r="N68" i="74"/>
  <c r="H68" i="74"/>
  <c r="F68" i="74"/>
  <c r="D68" i="74"/>
  <c r="L68" i="74" s="1"/>
  <c r="Z66" i="74"/>
  <c r="X66" i="74"/>
  <c r="V66" i="74"/>
  <c r="N66" i="74"/>
  <c r="L66" i="74"/>
  <c r="J66" i="74"/>
  <c r="F66" i="74"/>
  <c r="B66" i="74"/>
  <c r="X65" i="74"/>
  <c r="T65" i="74"/>
  <c r="Z65" i="74" s="1"/>
  <c r="P65" i="74"/>
  <c r="N65" i="74"/>
  <c r="H65" i="74"/>
  <c r="D65" i="74"/>
  <c r="L65" i="74" s="1"/>
  <c r="B65" i="74"/>
  <c r="Z64" i="74"/>
  <c r="X64" i="74"/>
  <c r="N64" i="74"/>
  <c r="L64" i="74"/>
  <c r="B64" i="74"/>
  <c r="T63" i="74"/>
  <c r="Z63" i="74" s="1"/>
  <c r="P63" i="74"/>
  <c r="X63" i="74" s="1"/>
  <c r="N63" i="74"/>
  <c r="J63" i="74"/>
  <c r="H63" i="74"/>
  <c r="D63" i="74"/>
  <c r="L63" i="74" s="1"/>
  <c r="B63" i="74"/>
  <c r="Z62" i="74"/>
  <c r="X62" i="74"/>
  <c r="V62" i="74"/>
  <c r="R62" i="74"/>
  <c r="N62" i="74"/>
  <c r="L62" i="74"/>
  <c r="J62" i="74"/>
  <c r="B62" i="74"/>
  <c r="Z61" i="74"/>
  <c r="X61" i="74"/>
  <c r="V61" i="74"/>
  <c r="N61" i="74"/>
  <c r="L61" i="74"/>
  <c r="B61" i="74"/>
  <c r="Z60" i="74"/>
  <c r="X60" i="74"/>
  <c r="N60" i="74"/>
  <c r="L60" i="74"/>
  <c r="B60" i="74"/>
  <c r="Z59" i="74"/>
  <c r="X59" i="74"/>
  <c r="R59" i="74"/>
  <c r="N59" i="74"/>
  <c r="L59" i="74"/>
  <c r="B59" i="74"/>
  <c r="V58" i="74"/>
  <c r="T58" i="74"/>
  <c r="Z58" i="74" s="1"/>
  <c r="P58" i="74"/>
  <c r="X58" i="74" s="1"/>
  <c r="N58" i="74"/>
  <c r="L58" i="74"/>
  <c r="H58" i="74"/>
  <c r="D58" i="74"/>
  <c r="B58" i="74"/>
  <c r="Z57" i="74"/>
  <c r="X57" i="74"/>
  <c r="V57" i="74"/>
  <c r="N57" i="74"/>
  <c r="L57" i="74"/>
  <c r="B57" i="74"/>
  <c r="Z56" i="74"/>
  <c r="X56" i="74"/>
  <c r="N56" i="74"/>
  <c r="L56" i="74"/>
  <c r="B56" i="74"/>
  <c r="Z55" i="74"/>
  <c r="T55" i="74"/>
  <c r="P55" i="74"/>
  <c r="X55" i="74" s="1"/>
  <c r="N55" i="74"/>
  <c r="J55" i="74"/>
  <c r="H55" i="74"/>
  <c r="D55" i="74"/>
  <c r="L55" i="74" s="1"/>
  <c r="B55" i="74"/>
  <c r="Z54" i="74"/>
  <c r="X54" i="74"/>
  <c r="V54" i="74"/>
  <c r="R54" i="74"/>
  <c r="N54" i="74"/>
  <c r="L54" i="74"/>
  <c r="J54" i="74"/>
  <c r="B54" i="74"/>
  <c r="Z53" i="74"/>
  <c r="X53" i="74"/>
  <c r="V53" i="74"/>
  <c r="N53" i="74"/>
  <c r="L53" i="74"/>
  <c r="B53" i="74"/>
  <c r="Z52" i="74"/>
  <c r="X52" i="74"/>
  <c r="T52" i="74"/>
  <c r="R52" i="74"/>
  <c r="P52" i="74"/>
  <c r="J52" i="74"/>
  <c r="H52" i="74"/>
  <c r="D52" i="74"/>
  <c r="B52" i="74"/>
  <c r="Z51" i="74"/>
  <c r="X51" i="74"/>
  <c r="R51" i="74"/>
  <c r="N51" i="74"/>
  <c r="L51" i="74"/>
  <c r="B51" i="74"/>
  <c r="V50" i="74"/>
  <c r="T50" i="74"/>
  <c r="P50" i="74"/>
  <c r="N50" i="74"/>
  <c r="H50" i="74"/>
  <c r="D50" i="74"/>
  <c r="L50" i="74" s="1"/>
  <c r="B50" i="74"/>
  <c r="Z49" i="74"/>
  <c r="X49" i="74"/>
  <c r="N49" i="74"/>
  <c r="L49" i="74"/>
  <c r="J49" i="74"/>
  <c r="B49" i="74"/>
  <c r="Z48" i="74"/>
  <c r="T48" i="74"/>
  <c r="R48" i="74"/>
  <c r="P48" i="74"/>
  <c r="X48" i="74" s="1"/>
  <c r="J48" i="74"/>
  <c r="H48" i="74"/>
  <c r="N48" i="74" s="1"/>
  <c r="D48" i="74"/>
  <c r="L48" i="74" s="1"/>
  <c r="B48" i="74"/>
  <c r="Z47" i="74"/>
  <c r="X47" i="74"/>
  <c r="R47" i="74"/>
  <c r="N47" i="74"/>
  <c r="L47" i="74"/>
  <c r="B47" i="74"/>
  <c r="V46" i="74"/>
  <c r="T46" i="74"/>
  <c r="P46" i="74"/>
  <c r="X46" i="74" s="1"/>
  <c r="L46" i="74"/>
  <c r="N46" i="74" s="1"/>
  <c r="H46" i="74"/>
  <c r="D46" i="74"/>
  <c r="B46" i="74"/>
  <c r="Z45" i="74"/>
  <c r="X45" i="74"/>
  <c r="V45" i="74"/>
  <c r="N45" i="74"/>
  <c r="L45" i="74"/>
  <c r="B45" i="74"/>
  <c r="Z44" i="74"/>
  <c r="X44" i="74"/>
  <c r="T44" i="74"/>
  <c r="R44" i="74"/>
  <c r="P44" i="74"/>
  <c r="J44" i="74"/>
  <c r="H44" i="74"/>
  <c r="D44" i="74"/>
  <c r="B44" i="74"/>
  <c r="Z43" i="74"/>
  <c r="X43" i="74"/>
  <c r="R43" i="74"/>
  <c r="N43" i="74"/>
  <c r="L43" i="74"/>
  <c r="B43" i="74"/>
  <c r="V42" i="74"/>
  <c r="T42" i="74"/>
  <c r="P42" i="74"/>
  <c r="N42" i="74"/>
  <c r="H42" i="74"/>
  <c r="F42" i="74"/>
  <c r="D42" i="74"/>
  <c r="L42" i="74" s="1"/>
  <c r="B42" i="74"/>
  <c r="Z41" i="74"/>
  <c r="X41" i="74"/>
  <c r="N41" i="74"/>
  <c r="L41" i="74"/>
  <c r="J41" i="74"/>
  <c r="B41" i="74"/>
  <c r="Z40" i="74"/>
  <c r="X40" i="74"/>
  <c r="N40" i="74"/>
  <c r="L40" i="74"/>
  <c r="B40" i="74"/>
  <c r="Z39" i="74"/>
  <c r="X39" i="74"/>
  <c r="R39" i="74"/>
  <c r="N39" i="74"/>
  <c r="L39" i="74"/>
  <c r="F39" i="74"/>
  <c r="B39" i="74"/>
  <c r="Z38" i="74"/>
  <c r="X38" i="74"/>
  <c r="V38" i="74"/>
  <c r="R38" i="74"/>
  <c r="N38" i="74"/>
  <c r="L38" i="74"/>
  <c r="J38" i="74"/>
  <c r="B38" i="74"/>
  <c r="Z37" i="74"/>
  <c r="X37" i="74"/>
  <c r="V37" i="74"/>
  <c r="N37" i="74"/>
  <c r="L37" i="74"/>
  <c r="B37" i="74"/>
  <c r="Z36" i="74"/>
  <c r="X36" i="74"/>
  <c r="N36" i="74"/>
  <c r="L36" i="74"/>
  <c r="B36" i="74"/>
  <c r="Z35" i="74"/>
  <c r="X35" i="74"/>
  <c r="R35" i="74"/>
  <c r="N35" i="74"/>
  <c r="L35" i="74"/>
  <c r="F35" i="74"/>
  <c r="B35" i="74"/>
  <c r="Z34" i="74"/>
  <c r="X34" i="74"/>
  <c r="V34" i="74"/>
  <c r="N34" i="74"/>
  <c r="L34" i="74"/>
  <c r="J34" i="74"/>
  <c r="F34" i="74"/>
  <c r="B34" i="74"/>
  <c r="Z33" i="74"/>
  <c r="X33" i="74"/>
  <c r="N33" i="74"/>
  <c r="L33" i="74"/>
  <c r="J33" i="74"/>
  <c r="B33" i="74"/>
  <c r="Z32" i="74"/>
  <c r="X32" i="74"/>
  <c r="N32" i="74"/>
  <c r="L32" i="74"/>
  <c r="B32" i="74"/>
  <c r="T31" i="74"/>
  <c r="R31" i="74"/>
  <c r="P31" i="74"/>
  <c r="L31" i="74"/>
  <c r="H31" i="74"/>
  <c r="N31" i="74" s="1"/>
  <c r="D31" i="74"/>
  <c r="B31" i="74"/>
  <c r="Z30" i="74"/>
  <c r="X30" i="74"/>
  <c r="V30" i="74"/>
  <c r="N30" i="74"/>
  <c r="L30" i="74"/>
  <c r="J30" i="74"/>
  <c r="F30" i="74"/>
  <c r="B30" i="74"/>
  <c r="Z29" i="74"/>
  <c r="X29" i="74"/>
  <c r="N29" i="74"/>
  <c r="L29" i="74"/>
  <c r="J29" i="74"/>
  <c r="B29" i="74"/>
  <c r="Z28" i="74"/>
  <c r="X28" i="74"/>
  <c r="N28" i="74"/>
  <c r="L28" i="74"/>
  <c r="B28" i="74"/>
  <c r="Z27" i="74"/>
  <c r="X27" i="74"/>
  <c r="R27" i="74"/>
  <c r="N27" i="74"/>
  <c r="L27" i="74"/>
  <c r="B27" i="74"/>
  <c r="Z26" i="74"/>
  <c r="X26" i="74"/>
  <c r="V26" i="74"/>
  <c r="R26" i="74"/>
  <c r="N26" i="74"/>
  <c r="L26" i="74"/>
  <c r="J26" i="74"/>
  <c r="B26" i="74"/>
  <c r="Z25" i="74"/>
  <c r="X25" i="74"/>
  <c r="V25" i="74"/>
  <c r="N25" i="74"/>
  <c r="L25" i="74"/>
  <c r="B25" i="74"/>
  <c r="Z24" i="74"/>
  <c r="X24" i="74"/>
  <c r="N24" i="74"/>
  <c r="L24" i="74"/>
  <c r="B24" i="74"/>
  <c r="Z23" i="74"/>
  <c r="X23" i="74"/>
  <c r="R23" i="74"/>
  <c r="N23" i="74"/>
  <c r="L23" i="74"/>
  <c r="F23" i="74"/>
  <c r="B23" i="74"/>
  <c r="V22" i="74"/>
  <c r="T22" i="74"/>
  <c r="Z22" i="74" s="1"/>
  <c r="P22" i="74"/>
  <c r="X22" i="74" s="1"/>
  <c r="N22" i="74"/>
  <c r="L22" i="74"/>
  <c r="H22" i="74"/>
  <c r="F22" i="74"/>
  <c r="D22" i="74"/>
  <c r="B22" i="74"/>
  <c r="V21" i="74"/>
  <c r="T21" i="74"/>
  <c r="P21" i="74"/>
  <c r="X21" i="74" s="1"/>
  <c r="Z21" i="74" s="1"/>
  <c r="H21" i="74"/>
  <c r="F21" i="74"/>
  <c r="D21" i="74"/>
  <c r="L21" i="74" s="1"/>
  <c r="P19" i="74"/>
  <c r="H19" i="74"/>
  <c r="Z17" i="74"/>
  <c r="X17" i="74"/>
  <c r="V17" i="74"/>
  <c r="R17" i="74"/>
  <c r="N17" i="74"/>
  <c r="L17" i="74"/>
  <c r="B17" i="74"/>
  <c r="Z16" i="74"/>
  <c r="X16" i="74"/>
  <c r="V16" i="74"/>
  <c r="N16" i="74"/>
  <c r="L16" i="74"/>
  <c r="B16" i="74"/>
  <c r="Z15" i="74"/>
  <c r="T15" i="74"/>
  <c r="X15" i="74" s="1"/>
  <c r="P15" i="74"/>
  <c r="J15" i="74"/>
  <c r="H15" i="74"/>
  <c r="N15" i="74" s="1"/>
  <c r="D15" i="74"/>
  <c r="L15" i="74" s="1"/>
  <c r="Z13" i="74"/>
  <c r="P13" i="74"/>
  <c r="X13" i="74" s="1"/>
  <c r="N13" i="74"/>
  <c r="L13" i="74"/>
  <c r="D13" i="74"/>
  <c r="D12" i="74" s="1"/>
  <c r="F59" i="74" s="1"/>
  <c r="B13" i="74"/>
  <c r="Z12" i="74"/>
  <c r="T12" i="74"/>
  <c r="V64" i="74" s="1"/>
  <c r="P12" i="74"/>
  <c r="R74" i="74" s="1"/>
  <c r="N12" i="74"/>
  <c r="L12" i="74"/>
  <c r="H12" i="74"/>
  <c r="J77" i="74" s="1"/>
  <c r="D6" i="74"/>
  <c r="D4" i="74"/>
  <c r="Z81" i="73"/>
  <c r="X81" i="73"/>
  <c r="V81" i="73"/>
  <c r="N81" i="73"/>
  <c r="L81" i="73"/>
  <c r="Z77" i="73"/>
  <c r="T77" i="73"/>
  <c r="P77" i="73"/>
  <c r="X77" i="73" s="1"/>
  <c r="N77" i="73"/>
  <c r="L77" i="73"/>
  <c r="H77" i="73"/>
  <c r="D77" i="73"/>
  <c r="X75" i="73"/>
  <c r="Z75" i="73" s="1"/>
  <c r="N75" i="73"/>
  <c r="L75" i="73"/>
  <c r="B75" i="73"/>
  <c r="T74" i="73"/>
  <c r="P74" i="73"/>
  <c r="X74" i="73" s="1"/>
  <c r="H74" i="73"/>
  <c r="D74" i="73"/>
  <c r="L74" i="73" s="1"/>
  <c r="B74" i="73"/>
  <c r="Z73" i="73"/>
  <c r="X73" i="73"/>
  <c r="V73" i="73"/>
  <c r="N73" i="73"/>
  <c r="L73" i="73"/>
  <c r="B73" i="73"/>
  <c r="X72" i="73"/>
  <c r="T72" i="73"/>
  <c r="P72" i="73"/>
  <c r="H72" i="73"/>
  <c r="N72" i="73" s="1"/>
  <c r="D72" i="73"/>
  <c r="L72" i="73" s="1"/>
  <c r="B72" i="73"/>
  <c r="Z71" i="73"/>
  <c r="X71" i="73"/>
  <c r="N71" i="73"/>
  <c r="L71" i="73"/>
  <c r="B71" i="73"/>
  <c r="Z70" i="73"/>
  <c r="X70" i="73"/>
  <c r="L70" i="73"/>
  <c r="N70" i="73" s="1"/>
  <c r="B70" i="73"/>
  <c r="V69" i="73"/>
  <c r="T69" i="73"/>
  <c r="Z69" i="73" s="1"/>
  <c r="P69" i="73"/>
  <c r="X69" i="73" s="1"/>
  <c r="L69" i="73"/>
  <c r="N69" i="73" s="1"/>
  <c r="H69" i="73"/>
  <c r="D69" i="73"/>
  <c r="B69" i="73"/>
  <c r="Z68" i="73"/>
  <c r="X68" i="73"/>
  <c r="V68" i="73"/>
  <c r="N68" i="73"/>
  <c r="L68" i="73"/>
  <c r="B68" i="73"/>
  <c r="X67" i="73"/>
  <c r="Z67" i="73" s="1"/>
  <c r="N67" i="73"/>
  <c r="L67" i="73"/>
  <c r="B67" i="73"/>
  <c r="Z66" i="73"/>
  <c r="X66" i="73"/>
  <c r="L66" i="73"/>
  <c r="N66" i="73" s="1"/>
  <c r="B66" i="73"/>
  <c r="V65" i="73"/>
  <c r="T65" i="73"/>
  <c r="Z65" i="73" s="1"/>
  <c r="P65" i="73"/>
  <c r="X65" i="73" s="1"/>
  <c r="L65" i="73"/>
  <c r="N65" i="73" s="1"/>
  <c r="H65" i="73"/>
  <c r="D65" i="73"/>
  <c r="B65" i="73"/>
  <c r="Z64" i="73"/>
  <c r="X64" i="73"/>
  <c r="V64" i="73"/>
  <c r="L64" i="73"/>
  <c r="N64" i="73" s="1"/>
  <c r="B64" i="73"/>
  <c r="Z63" i="73"/>
  <c r="X63" i="73"/>
  <c r="N63" i="73"/>
  <c r="L63" i="73"/>
  <c r="B63" i="73"/>
  <c r="T62" i="73"/>
  <c r="P62" i="73"/>
  <c r="H62" i="73"/>
  <c r="D62" i="73"/>
  <c r="L62" i="73" s="1"/>
  <c r="N62" i="73" s="1"/>
  <c r="B62" i="73"/>
  <c r="X61" i="73"/>
  <c r="Z61" i="73" s="1"/>
  <c r="N61" i="73"/>
  <c r="L61" i="73"/>
  <c r="B61" i="73"/>
  <c r="Z60" i="73"/>
  <c r="X60" i="73"/>
  <c r="V60" i="73"/>
  <c r="N60" i="73"/>
  <c r="L60" i="73"/>
  <c r="B60" i="73"/>
  <c r="X59" i="73"/>
  <c r="Z59" i="73" s="1"/>
  <c r="T59" i="73"/>
  <c r="P59" i="73"/>
  <c r="L59" i="73"/>
  <c r="H59" i="73"/>
  <c r="N59" i="73" s="1"/>
  <c r="D59" i="73"/>
  <c r="B59" i="73"/>
  <c r="X58" i="73"/>
  <c r="Z58" i="73" s="1"/>
  <c r="V58" i="73"/>
  <c r="N58" i="73"/>
  <c r="L58" i="73"/>
  <c r="B58" i="73"/>
  <c r="Z57" i="73"/>
  <c r="X57" i="73"/>
  <c r="N57" i="73"/>
  <c r="L57" i="73"/>
  <c r="B57" i="73"/>
  <c r="Z56" i="73"/>
  <c r="V56" i="73"/>
  <c r="T56" i="73"/>
  <c r="P56" i="73"/>
  <c r="X56" i="73" s="1"/>
  <c r="L56" i="73"/>
  <c r="J56" i="73"/>
  <c r="H56" i="73"/>
  <c r="N56" i="73" s="1"/>
  <c r="D56" i="73"/>
  <c r="B56" i="73"/>
  <c r="Z55" i="73"/>
  <c r="X55" i="73"/>
  <c r="N55" i="73"/>
  <c r="L55" i="73"/>
  <c r="B55" i="73"/>
  <c r="X54" i="73"/>
  <c r="V54" i="73"/>
  <c r="T54" i="73"/>
  <c r="Z54" i="73" s="1"/>
  <c r="P54" i="73"/>
  <c r="L54" i="73"/>
  <c r="H54" i="73"/>
  <c r="N54" i="73" s="1"/>
  <c r="D54" i="73"/>
  <c r="B54" i="73"/>
  <c r="Z53" i="73"/>
  <c r="X53" i="73"/>
  <c r="V53" i="73"/>
  <c r="L53" i="73"/>
  <c r="N53" i="73" s="1"/>
  <c r="B53" i="73"/>
  <c r="X52" i="73"/>
  <c r="T52" i="73"/>
  <c r="P52" i="73"/>
  <c r="H52" i="73"/>
  <c r="D52" i="73"/>
  <c r="B52" i="73"/>
  <c r="X51" i="73"/>
  <c r="Z51" i="73" s="1"/>
  <c r="N51" i="73"/>
  <c r="L51" i="73"/>
  <c r="B51" i="73"/>
  <c r="Z50" i="73"/>
  <c r="T50" i="73"/>
  <c r="P50" i="73"/>
  <c r="X50" i="73" s="1"/>
  <c r="N50" i="73"/>
  <c r="H50" i="73"/>
  <c r="D50" i="73"/>
  <c r="L50" i="73" s="1"/>
  <c r="B50" i="73"/>
  <c r="Z49" i="73"/>
  <c r="X49" i="73"/>
  <c r="N49" i="73"/>
  <c r="L49" i="73"/>
  <c r="B49" i="73"/>
  <c r="Z48" i="73"/>
  <c r="V48" i="73"/>
  <c r="T48" i="73"/>
  <c r="P48" i="73"/>
  <c r="X48" i="73" s="1"/>
  <c r="L48" i="73"/>
  <c r="H48" i="73"/>
  <c r="N48" i="73" s="1"/>
  <c r="D48" i="73"/>
  <c r="B48" i="73"/>
  <c r="Z47" i="73"/>
  <c r="X47" i="73"/>
  <c r="N47" i="73"/>
  <c r="L47" i="73"/>
  <c r="B47" i="73"/>
  <c r="X46" i="73"/>
  <c r="V46" i="73"/>
  <c r="T46" i="73"/>
  <c r="Z46" i="73" s="1"/>
  <c r="P46" i="73"/>
  <c r="L46" i="73"/>
  <c r="H46" i="73"/>
  <c r="N46" i="73" s="1"/>
  <c r="D46" i="73"/>
  <c r="B46" i="73"/>
  <c r="Z45" i="73"/>
  <c r="X45" i="73"/>
  <c r="V45" i="73"/>
  <c r="N45" i="73"/>
  <c r="L45" i="73"/>
  <c r="B45" i="73"/>
  <c r="Z44" i="73"/>
  <c r="X44" i="73"/>
  <c r="N44" i="73"/>
  <c r="L44" i="73"/>
  <c r="B44" i="73"/>
  <c r="Z43" i="73"/>
  <c r="X43" i="73"/>
  <c r="N43" i="73"/>
  <c r="L43" i="73"/>
  <c r="B43" i="73"/>
  <c r="Z42" i="73"/>
  <c r="X42" i="73"/>
  <c r="V42" i="73"/>
  <c r="N42" i="73"/>
  <c r="L42" i="73"/>
  <c r="B42" i="73"/>
  <c r="Z41" i="73"/>
  <c r="X41" i="73"/>
  <c r="N41" i="73"/>
  <c r="L41" i="73"/>
  <c r="J41" i="73"/>
  <c r="B41" i="73"/>
  <c r="Z40" i="73"/>
  <c r="X40" i="73"/>
  <c r="V40" i="73"/>
  <c r="N40" i="73"/>
  <c r="L40" i="73"/>
  <c r="B40" i="73"/>
  <c r="X39" i="73"/>
  <c r="Z39" i="73" s="1"/>
  <c r="N39" i="73"/>
  <c r="L39" i="73"/>
  <c r="B39" i="73"/>
  <c r="Z38" i="73"/>
  <c r="X38" i="73"/>
  <c r="N38" i="73"/>
  <c r="L38" i="73"/>
  <c r="J38" i="73"/>
  <c r="B38" i="73"/>
  <c r="Z37" i="73"/>
  <c r="X37" i="73"/>
  <c r="V37" i="73"/>
  <c r="N37" i="73"/>
  <c r="L37" i="73"/>
  <c r="B37" i="73"/>
  <c r="Z36" i="73"/>
  <c r="X36" i="73"/>
  <c r="N36" i="73"/>
  <c r="L36" i="73"/>
  <c r="J36" i="73"/>
  <c r="B36" i="73"/>
  <c r="T35" i="73"/>
  <c r="P35" i="73"/>
  <c r="H35" i="73"/>
  <c r="N35" i="73" s="1"/>
  <c r="D35" i="73"/>
  <c r="L35" i="73" s="1"/>
  <c r="B35" i="73"/>
  <c r="Z34" i="73"/>
  <c r="X34" i="73"/>
  <c r="N34" i="73"/>
  <c r="L34" i="73"/>
  <c r="B34" i="73"/>
  <c r="Z33" i="73"/>
  <c r="X33" i="73"/>
  <c r="V33" i="73"/>
  <c r="N33" i="73"/>
  <c r="L33" i="73"/>
  <c r="B33" i="73"/>
  <c r="Z32" i="73"/>
  <c r="X32" i="73"/>
  <c r="N32" i="73"/>
  <c r="L32" i="73"/>
  <c r="J32" i="73"/>
  <c r="B32" i="73"/>
  <c r="Z31" i="73"/>
  <c r="X31" i="73"/>
  <c r="N31" i="73"/>
  <c r="L31" i="73"/>
  <c r="B31" i="73"/>
  <c r="Z30" i="73"/>
  <c r="X30" i="73"/>
  <c r="V30" i="73"/>
  <c r="N30" i="73"/>
  <c r="L30" i="73"/>
  <c r="B30" i="73"/>
  <c r="X29" i="73"/>
  <c r="Z29" i="73" s="1"/>
  <c r="N29" i="73"/>
  <c r="L29" i="73"/>
  <c r="B29" i="73"/>
  <c r="Z28" i="73"/>
  <c r="X28" i="73"/>
  <c r="V28" i="73"/>
  <c r="N28" i="73"/>
  <c r="L28" i="73"/>
  <c r="B28" i="73"/>
  <c r="X27" i="73"/>
  <c r="Z27" i="73" s="1"/>
  <c r="N27" i="73"/>
  <c r="L27" i="73"/>
  <c r="B27" i="73"/>
  <c r="Z26" i="73"/>
  <c r="X26" i="73"/>
  <c r="N26" i="73"/>
  <c r="L26" i="73"/>
  <c r="J26" i="73"/>
  <c r="B26" i="73"/>
  <c r="V25" i="73"/>
  <c r="T25" i="73"/>
  <c r="Z25" i="73" s="1"/>
  <c r="P25" i="73"/>
  <c r="X25" i="73" s="1"/>
  <c r="N25" i="73"/>
  <c r="L25" i="73"/>
  <c r="H25" i="73"/>
  <c r="D25" i="73"/>
  <c r="B25" i="73"/>
  <c r="T24" i="73"/>
  <c r="Z24" i="73" s="1"/>
  <c r="P24" i="73"/>
  <c r="X24" i="73" s="1"/>
  <c r="H24" i="73"/>
  <c r="D24" i="73"/>
  <c r="T22" i="73"/>
  <c r="T79" i="73" s="1"/>
  <c r="V79" i="73" s="1"/>
  <c r="Z20" i="73"/>
  <c r="X20" i="73"/>
  <c r="V20" i="73"/>
  <c r="N20" i="73"/>
  <c r="L20" i="73"/>
  <c r="B20" i="73"/>
  <c r="Z19" i="73"/>
  <c r="X19" i="73"/>
  <c r="N19" i="73"/>
  <c r="L19" i="73"/>
  <c r="B19" i="73"/>
  <c r="Z18" i="73"/>
  <c r="X18" i="73"/>
  <c r="N18" i="73"/>
  <c r="L18" i="73"/>
  <c r="J18" i="73"/>
  <c r="B18" i="73"/>
  <c r="V17" i="73"/>
  <c r="T17" i="73"/>
  <c r="P17" i="73"/>
  <c r="X17" i="73" s="1"/>
  <c r="Z17" i="73" s="1"/>
  <c r="N17" i="73"/>
  <c r="L17" i="73"/>
  <c r="H17" i="73"/>
  <c r="D17" i="73"/>
  <c r="Z15" i="73"/>
  <c r="X15" i="73"/>
  <c r="P15" i="73"/>
  <c r="N15" i="73"/>
  <c r="L15" i="73"/>
  <c r="D15" i="73"/>
  <c r="B15" i="73"/>
  <c r="P14" i="73"/>
  <c r="N14" i="73"/>
  <c r="L14" i="73"/>
  <c r="D14" i="73"/>
  <c r="B14" i="73"/>
  <c r="Z13" i="73"/>
  <c r="P13" i="73"/>
  <c r="X13" i="73" s="1"/>
  <c r="N13" i="73"/>
  <c r="D13" i="73"/>
  <c r="B13" i="73"/>
  <c r="T12" i="73"/>
  <c r="V72" i="73" s="1"/>
  <c r="H12" i="73"/>
  <c r="D6" i="73"/>
  <c r="D4" i="73"/>
  <c r="V39" i="72"/>
  <c r="R39" i="72"/>
  <c r="Z34" i="72"/>
  <c r="X34" i="72"/>
  <c r="V34" i="72"/>
  <c r="N34" i="72"/>
  <c r="L34" i="72"/>
  <c r="F34" i="72"/>
  <c r="V32" i="72"/>
  <c r="F32" i="72"/>
  <c r="Z30" i="72"/>
  <c r="X30" i="72"/>
  <c r="P30" i="72"/>
  <c r="N30" i="72"/>
  <c r="L30" i="72"/>
  <c r="F30" i="72"/>
  <c r="D30" i="72"/>
  <c r="B30" i="72"/>
  <c r="V29" i="72"/>
  <c r="T29" i="72"/>
  <c r="Z29" i="72" s="1"/>
  <c r="P29" i="72"/>
  <c r="N29" i="72"/>
  <c r="H29" i="72"/>
  <c r="D29" i="72"/>
  <c r="L29" i="72" s="1"/>
  <c r="Z27" i="72"/>
  <c r="X27" i="72"/>
  <c r="N27" i="72"/>
  <c r="L27" i="72"/>
  <c r="B27" i="72"/>
  <c r="Z26" i="72"/>
  <c r="T26" i="72"/>
  <c r="P26" i="72"/>
  <c r="N26" i="72"/>
  <c r="H26" i="72"/>
  <c r="D26" i="72"/>
  <c r="L26" i="72" s="1"/>
  <c r="B26" i="72"/>
  <c r="Z25" i="72"/>
  <c r="X25" i="72"/>
  <c r="V25" i="72"/>
  <c r="N25" i="72"/>
  <c r="L25" i="72"/>
  <c r="B25" i="72"/>
  <c r="Z24" i="72"/>
  <c r="V24" i="72"/>
  <c r="T24" i="72"/>
  <c r="P24" i="72"/>
  <c r="X24" i="72" s="1"/>
  <c r="J24" i="72"/>
  <c r="H24" i="72"/>
  <c r="N24" i="72" s="1"/>
  <c r="D24" i="72"/>
  <c r="B24" i="72"/>
  <c r="Z23" i="72"/>
  <c r="X23" i="72"/>
  <c r="V23" i="72"/>
  <c r="R23" i="72"/>
  <c r="N23" i="72"/>
  <c r="L23" i="72"/>
  <c r="B23" i="72"/>
  <c r="Z22" i="72"/>
  <c r="X22" i="72"/>
  <c r="V22" i="72"/>
  <c r="N22" i="72"/>
  <c r="L22" i="72"/>
  <c r="B22" i="72"/>
  <c r="X21" i="72"/>
  <c r="V21" i="72"/>
  <c r="T21" i="72"/>
  <c r="Z21" i="72" s="1"/>
  <c r="P21" i="72"/>
  <c r="H21" i="72"/>
  <c r="N21" i="72" s="1"/>
  <c r="D21" i="72"/>
  <c r="B21" i="72"/>
  <c r="V20" i="72"/>
  <c r="T20" i="72"/>
  <c r="Z20" i="72" s="1"/>
  <c r="R20" i="72"/>
  <c r="P20" i="72"/>
  <c r="X20" i="72" s="1"/>
  <c r="H20" i="72"/>
  <c r="N20" i="72" s="1"/>
  <c r="D20" i="72"/>
  <c r="V18" i="72"/>
  <c r="P18" i="72"/>
  <c r="F18" i="72"/>
  <c r="Z16" i="72"/>
  <c r="X16" i="72"/>
  <c r="V16" i="72"/>
  <c r="R16" i="72"/>
  <c r="N16" i="72"/>
  <c r="L16" i="72"/>
  <c r="B16" i="72"/>
  <c r="Z15" i="72"/>
  <c r="X15" i="72"/>
  <c r="V15" i="72"/>
  <c r="R15" i="72"/>
  <c r="N15" i="72"/>
  <c r="L15" i="72"/>
  <c r="B15" i="72"/>
  <c r="X14" i="72"/>
  <c r="V14" i="72"/>
  <c r="T14" i="72"/>
  <c r="P14" i="72"/>
  <c r="L14" i="72"/>
  <c r="H14" i="72"/>
  <c r="N14" i="72" s="1"/>
  <c r="F14" i="72"/>
  <c r="D14" i="72"/>
  <c r="Z12" i="72"/>
  <c r="T12" i="72"/>
  <c r="V27" i="72" s="1"/>
  <c r="P12" i="72"/>
  <c r="L12" i="72"/>
  <c r="H12" i="72"/>
  <c r="D12" i="72"/>
  <c r="F39" i="72" s="1"/>
  <c r="D6" i="72"/>
  <c r="D4" i="72"/>
  <c r="X111" i="71"/>
  <c r="Z111" i="71" s="1"/>
  <c r="V111" i="71"/>
  <c r="N111" i="71"/>
  <c r="L111" i="71"/>
  <c r="X107" i="71"/>
  <c r="Z107" i="71" s="1"/>
  <c r="P107" i="71"/>
  <c r="L107" i="71"/>
  <c r="N107" i="71" s="1"/>
  <c r="J107" i="71"/>
  <c r="D107" i="71"/>
  <c r="B107" i="71"/>
  <c r="Z106" i="71"/>
  <c r="P106" i="71"/>
  <c r="N106" i="71"/>
  <c r="L106" i="71"/>
  <c r="D106" i="71"/>
  <c r="B106" i="71"/>
  <c r="T105" i="71"/>
  <c r="H105" i="71"/>
  <c r="D105" i="71"/>
  <c r="Z103" i="71"/>
  <c r="X103" i="71"/>
  <c r="N103" i="71"/>
  <c r="L103" i="71"/>
  <c r="B103" i="71"/>
  <c r="T102" i="71"/>
  <c r="P102" i="71"/>
  <c r="X102" i="71" s="1"/>
  <c r="N102" i="71"/>
  <c r="H102" i="71"/>
  <c r="D102" i="71"/>
  <c r="L102" i="71" s="1"/>
  <c r="B102" i="71"/>
  <c r="X101" i="71"/>
  <c r="Z101" i="71" s="1"/>
  <c r="L101" i="71"/>
  <c r="N101" i="71" s="1"/>
  <c r="J101" i="71"/>
  <c r="B101" i="71"/>
  <c r="T100" i="71"/>
  <c r="P100" i="71"/>
  <c r="X100" i="71" s="1"/>
  <c r="Z100" i="71" s="1"/>
  <c r="H100" i="71"/>
  <c r="L100" i="71" s="1"/>
  <c r="N100" i="71" s="1"/>
  <c r="D100" i="71"/>
  <c r="B100" i="71"/>
  <c r="Z99" i="71"/>
  <c r="X99" i="71"/>
  <c r="N99" i="71"/>
  <c r="L99" i="71"/>
  <c r="B99" i="71"/>
  <c r="Z98" i="71"/>
  <c r="X98" i="71"/>
  <c r="N98" i="71"/>
  <c r="L98" i="71"/>
  <c r="B98" i="71"/>
  <c r="Z97" i="71"/>
  <c r="X97" i="71"/>
  <c r="N97" i="71"/>
  <c r="L97" i="71"/>
  <c r="J97" i="71"/>
  <c r="B97" i="71"/>
  <c r="Z96" i="71"/>
  <c r="X96" i="71"/>
  <c r="N96" i="71"/>
  <c r="L96" i="71"/>
  <c r="J96" i="71"/>
  <c r="B96" i="71"/>
  <c r="T95" i="71"/>
  <c r="P95" i="71"/>
  <c r="X95" i="71" s="1"/>
  <c r="Z95" i="71" s="1"/>
  <c r="L95" i="71"/>
  <c r="H95" i="71"/>
  <c r="N95" i="71" s="1"/>
  <c r="D95" i="71"/>
  <c r="B95" i="71"/>
  <c r="Z94" i="71"/>
  <c r="X94" i="71"/>
  <c r="N94" i="71"/>
  <c r="L94" i="71"/>
  <c r="B94" i="71"/>
  <c r="X93" i="71"/>
  <c r="T93" i="71"/>
  <c r="Z93" i="71" s="1"/>
  <c r="P93" i="71"/>
  <c r="N93" i="71"/>
  <c r="L93" i="71"/>
  <c r="H93" i="71"/>
  <c r="D93" i="71"/>
  <c r="B93" i="71"/>
  <c r="X92" i="71"/>
  <c r="Z92" i="71" s="1"/>
  <c r="N92" i="71"/>
  <c r="L92" i="71"/>
  <c r="B92" i="71"/>
  <c r="Z91" i="71"/>
  <c r="X91" i="71"/>
  <c r="N91" i="71"/>
  <c r="L91" i="71"/>
  <c r="B91" i="71"/>
  <c r="Z90" i="71"/>
  <c r="T90" i="71"/>
  <c r="P90" i="71"/>
  <c r="X90" i="71" s="1"/>
  <c r="L90" i="71"/>
  <c r="N90" i="71" s="1"/>
  <c r="J90" i="71"/>
  <c r="H90" i="71"/>
  <c r="D90" i="71"/>
  <c r="B90" i="71"/>
  <c r="X89" i="71"/>
  <c r="Z89" i="71" s="1"/>
  <c r="L89" i="71"/>
  <c r="N89" i="71" s="1"/>
  <c r="B89" i="71"/>
  <c r="X88" i="71"/>
  <c r="Z88" i="71" s="1"/>
  <c r="V88" i="71"/>
  <c r="T88" i="71"/>
  <c r="P88" i="71"/>
  <c r="H88" i="71"/>
  <c r="D88" i="71"/>
  <c r="B88" i="71"/>
  <c r="Z87" i="71"/>
  <c r="X87" i="71"/>
  <c r="L87" i="71"/>
  <c r="N87" i="71" s="1"/>
  <c r="B87" i="71"/>
  <c r="T86" i="71"/>
  <c r="P86" i="71"/>
  <c r="H86" i="71"/>
  <c r="D86" i="71"/>
  <c r="L86" i="71" s="1"/>
  <c r="N86" i="71" s="1"/>
  <c r="B86" i="71"/>
  <c r="Z85" i="71"/>
  <c r="X85" i="71"/>
  <c r="N85" i="71"/>
  <c r="L85" i="71"/>
  <c r="J85" i="71"/>
  <c r="B85" i="71"/>
  <c r="Z84" i="71"/>
  <c r="X84" i="71"/>
  <c r="L84" i="71"/>
  <c r="N84" i="71" s="1"/>
  <c r="J84" i="71"/>
  <c r="B84" i="71"/>
  <c r="T83" i="71"/>
  <c r="P83" i="71"/>
  <c r="X83" i="71" s="1"/>
  <c r="Z83" i="71" s="1"/>
  <c r="L83" i="71"/>
  <c r="H83" i="71"/>
  <c r="N83" i="71" s="1"/>
  <c r="D83" i="71"/>
  <c r="B83" i="71"/>
  <c r="Z82" i="71"/>
  <c r="X82" i="71"/>
  <c r="N82" i="71"/>
  <c r="L82" i="71"/>
  <c r="B82" i="71"/>
  <c r="X81" i="71"/>
  <c r="T81" i="71"/>
  <c r="Z81" i="71" s="1"/>
  <c r="P81" i="71"/>
  <c r="L81" i="71"/>
  <c r="N81" i="71" s="1"/>
  <c r="H81" i="71"/>
  <c r="D81" i="71"/>
  <c r="B81" i="71"/>
  <c r="X80" i="71"/>
  <c r="Z80" i="71" s="1"/>
  <c r="N80" i="71"/>
  <c r="L80" i="71"/>
  <c r="B80" i="71"/>
  <c r="Z79" i="71"/>
  <c r="X79" i="71"/>
  <c r="T79" i="71"/>
  <c r="P79" i="71"/>
  <c r="J79" i="71"/>
  <c r="H79" i="71"/>
  <c r="D79" i="71"/>
  <c r="B79" i="71"/>
  <c r="Z78" i="71"/>
  <c r="X78" i="71"/>
  <c r="N78" i="71"/>
  <c r="L78" i="71"/>
  <c r="B78" i="71"/>
  <c r="T77" i="71"/>
  <c r="P77" i="71"/>
  <c r="X77" i="71" s="1"/>
  <c r="H77" i="71"/>
  <c r="D77" i="71"/>
  <c r="L77" i="71" s="1"/>
  <c r="N77" i="71" s="1"/>
  <c r="B77" i="71"/>
  <c r="Z76" i="71"/>
  <c r="X76" i="71"/>
  <c r="L76" i="71"/>
  <c r="N76" i="71" s="1"/>
  <c r="J76" i="71"/>
  <c r="B76" i="71"/>
  <c r="T75" i="71"/>
  <c r="P75" i="71"/>
  <c r="X75" i="71" s="1"/>
  <c r="Z75" i="71" s="1"/>
  <c r="L75" i="71"/>
  <c r="H75" i="71"/>
  <c r="N75" i="71" s="1"/>
  <c r="D75" i="71"/>
  <c r="B75" i="71"/>
  <c r="Z74" i="71"/>
  <c r="X74" i="71"/>
  <c r="N74" i="71"/>
  <c r="L74" i="71"/>
  <c r="B74" i="71"/>
  <c r="Z73" i="71"/>
  <c r="X73" i="71"/>
  <c r="N73" i="71"/>
  <c r="L73" i="71"/>
  <c r="J73" i="71"/>
  <c r="B73" i="71"/>
  <c r="Z72" i="71"/>
  <c r="X72" i="71"/>
  <c r="N72" i="71"/>
  <c r="L72" i="71"/>
  <c r="J72" i="71"/>
  <c r="B72" i="71"/>
  <c r="Z71" i="71"/>
  <c r="X71" i="71"/>
  <c r="L71" i="71"/>
  <c r="N71" i="71" s="1"/>
  <c r="B71" i="71"/>
  <c r="Z70" i="71"/>
  <c r="X70" i="71"/>
  <c r="N70" i="71"/>
  <c r="L70" i="71"/>
  <c r="B70" i="71"/>
  <c r="Z69" i="71"/>
  <c r="X69" i="71"/>
  <c r="N69" i="71"/>
  <c r="L69" i="71"/>
  <c r="B69" i="71"/>
  <c r="X68" i="71"/>
  <c r="Z68" i="71" s="1"/>
  <c r="N68" i="71"/>
  <c r="L68" i="71"/>
  <c r="B68" i="71"/>
  <c r="Z67" i="71"/>
  <c r="X67" i="71"/>
  <c r="N67" i="71"/>
  <c r="L67" i="71"/>
  <c r="B67" i="71"/>
  <c r="Z66" i="71"/>
  <c r="X66" i="71"/>
  <c r="N66" i="71"/>
  <c r="L66" i="71"/>
  <c r="B66" i="71"/>
  <c r="Z65" i="71"/>
  <c r="X65" i="71"/>
  <c r="N65" i="71"/>
  <c r="L65" i="71"/>
  <c r="J65" i="71"/>
  <c r="B65" i="71"/>
  <c r="T64" i="71"/>
  <c r="P64" i="71"/>
  <c r="X64" i="71" s="1"/>
  <c r="Z64" i="71" s="1"/>
  <c r="H64" i="71"/>
  <c r="L64" i="71" s="1"/>
  <c r="N64" i="71" s="1"/>
  <c r="D64" i="71"/>
  <c r="B64" i="71"/>
  <c r="Z63" i="71"/>
  <c r="X63" i="71"/>
  <c r="N63" i="71"/>
  <c r="L63" i="71"/>
  <c r="B63" i="71"/>
  <c r="Z62" i="71"/>
  <c r="X62" i="71"/>
  <c r="N62" i="71"/>
  <c r="L62" i="71"/>
  <c r="B62" i="71"/>
  <c r="X61" i="71"/>
  <c r="Z61" i="71" s="1"/>
  <c r="L61" i="71"/>
  <c r="N61" i="71" s="1"/>
  <c r="J61" i="71"/>
  <c r="B61" i="71"/>
  <c r="Z60" i="71"/>
  <c r="X60" i="71"/>
  <c r="N60" i="71"/>
  <c r="L60" i="71"/>
  <c r="J60" i="71"/>
  <c r="B60" i="71"/>
  <c r="Z59" i="71"/>
  <c r="X59" i="71"/>
  <c r="N59" i="71"/>
  <c r="L59" i="71"/>
  <c r="B59" i="71"/>
  <c r="Z58" i="71"/>
  <c r="X58" i="71"/>
  <c r="N58" i="71"/>
  <c r="L58" i="71"/>
  <c r="B58" i="71"/>
  <c r="X57" i="71"/>
  <c r="Z57" i="71" s="1"/>
  <c r="L57" i="71"/>
  <c r="N57" i="71" s="1"/>
  <c r="B57" i="71"/>
  <c r="X56" i="71"/>
  <c r="Z56" i="71" s="1"/>
  <c r="V56" i="71"/>
  <c r="N56" i="71"/>
  <c r="L56" i="71"/>
  <c r="B56" i="71"/>
  <c r="X55" i="71"/>
  <c r="Z55" i="71" s="1"/>
  <c r="N55" i="71"/>
  <c r="L55" i="71"/>
  <c r="B55" i="71"/>
  <c r="Z54" i="71"/>
  <c r="X54" i="71"/>
  <c r="N54" i="71"/>
  <c r="L54" i="71"/>
  <c r="B54" i="71"/>
  <c r="X53" i="71"/>
  <c r="T53" i="71"/>
  <c r="Z53" i="71" s="1"/>
  <c r="P53" i="71"/>
  <c r="N53" i="71"/>
  <c r="L53" i="71"/>
  <c r="H53" i="71"/>
  <c r="D53" i="71"/>
  <c r="B53" i="71"/>
  <c r="T52" i="71"/>
  <c r="V52" i="71" s="1"/>
  <c r="P52" i="71"/>
  <c r="X52" i="71" s="1"/>
  <c r="Z52" i="71" s="1"/>
  <c r="H52" i="71"/>
  <c r="D52" i="71"/>
  <c r="Z48" i="71"/>
  <c r="X48" i="71"/>
  <c r="N48" i="71"/>
  <c r="L48" i="71"/>
  <c r="B48" i="71"/>
  <c r="Z47" i="71"/>
  <c r="X47" i="71"/>
  <c r="N47" i="71"/>
  <c r="L47" i="71"/>
  <c r="B47" i="71"/>
  <c r="Z46" i="71"/>
  <c r="X46" i="71"/>
  <c r="N46" i="71"/>
  <c r="L46" i="71"/>
  <c r="B46" i="71"/>
  <c r="Z45" i="71"/>
  <c r="X45" i="71"/>
  <c r="N45" i="71"/>
  <c r="L45" i="71"/>
  <c r="J45" i="71"/>
  <c r="B45" i="71"/>
  <c r="Z44" i="71"/>
  <c r="X44" i="71"/>
  <c r="N44" i="71"/>
  <c r="L44" i="71"/>
  <c r="J44" i="71"/>
  <c r="B44" i="71"/>
  <c r="Z43" i="71"/>
  <c r="X43" i="71"/>
  <c r="N43" i="71"/>
  <c r="L43" i="71"/>
  <c r="B43" i="71"/>
  <c r="Z42" i="71"/>
  <c r="X42" i="71"/>
  <c r="N42" i="71"/>
  <c r="L42" i="71"/>
  <c r="J42" i="71"/>
  <c r="B42" i="71"/>
  <c r="Z41" i="71"/>
  <c r="X41" i="71"/>
  <c r="N41" i="71"/>
  <c r="L41" i="71"/>
  <c r="B41" i="71"/>
  <c r="Z40" i="71"/>
  <c r="X40" i="71"/>
  <c r="N40" i="71"/>
  <c r="L40" i="71"/>
  <c r="B40" i="71"/>
  <c r="Z39" i="71"/>
  <c r="X39" i="71"/>
  <c r="N39" i="71"/>
  <c r="L39" i="71"/>
  <c r="B39" i="71"/>
  <c r="Z38" i="71"/>
  <c r="X38" i="71"/>
  <c r="N38" i="71"/>
  <c r="L38" i="71"/>
  <c r="B38" i="71"/>
  <c r="Z37" i="71"/>
  <c r="X37" i="71"/>
  <c r="N37" i="71"/>
  <c r="L37" i="71"/>
  <c r="J37" i="71"/>
  <c r="B37" i="71"/>
  <c r="Z36" i="71"/>
  <c r="X36" i="71"/>
  <c r="N36" i="71"/>
  <c r="L36" i="71"/>
  <c r="J36" i="71"/>
  <c r="B36" i="71"/>
  <c r="Z35" i="71"/>
  <c r="X35" i="71"/>
  <c r="N35" i="71"/>
  <c r="L35" i="71"/>
  <c r="B35" i="71"/>
  <c r="Z34" i="71"/>
  <c r="X34" i="71"/>
  <c r="N34" i="71"/>
  <c r="L34" i="71"/>
  <c r="J34" i="71"/>
  <c r="B34" i="71"/>
  <c r="T33" i="71"/>
  <c r="P33" i="71"/>
  <c r="X33" i="71" s="1"/>
  <c r="H33" i="71"/>
  <c r="D33" i="71"/>
  <c r="L33" i="71" s="1"/>
  <c r="N33" i="71" s="1"/>
  <c r="Z31" i="71"/>
  <c r="X31" i="71"/>
  <c r="P31" i="71"/>
  <c r="N31" i="71"/>
  <c r="D31" i="71"/>
  <c r="L31" i="71" s="1"/>
  <c r="B31" i="71"/>
  <c r="Z30" i="71"/>
  <c r="P30" i="71"/>
  <c r="X30" i="71" s="1"/>
  <c r="N30" i="71"/>
  <c r="L30" i="71"/>
  <c r="D30" i="71"/>
  <c r="B30" i="71"/>
  <c r="Z29" i="71"/>
  <c r="X29" i="71"/>
  <c r="P29" i="71"/>
  <c r="N29" i="71"/>
  <c r="L29" i="71"/>
  <c r="D29" i="71"/>
  <c r="B29" i="71"/>
  <c r="Z28" i="71"/>
  <c r="P28" i="71"/>
  <c r="X28" i="71" s="1"/>
  <c r="N28" i="71"/>
  <c r="L28" i="71"/>
  <c r="D28" i="71"/>
  <c r="B28" i="71"/>
  <c r="Z27" i="71"/>
  <c r="P27" i="71"/>
  <c r="X27" i="71" s="1"/>
  <c r="N27" i="71"/>
  <c r="D27" i="71"/>
  <c r="L27" i="71" s="1"/>
  <c r="B27" i="71"/>
  <c r="Z26" i="71"/>
  <c r="P26" i="71"/>
  <c r="X26" i="71" s="1"/>
  <c r="N26" i="71"/>
  <c r="L26" i="71"/>
  <c r="D26" i="71"/>
  <c r="B26" i="71"/>
  <c r="Z25" i="71"/>
  <c r="X25" i="71"/>
  <c r="P25" i="71"/>
  <c r="N25" i="71"/>
  <c r="D25" i="71"/>
  <c r="L25" i="71" s="1"/>
  <c r="B25" i="71"/>
  <c r="Z24" i="71"/>
  <c r="X24" i="71"/>
  <c r="P24" i="71"/>
  <c r="N24" i="71"/>
  <c r="D24" i="71"/>
  <c r="L24" i="71" s="1"/>
  <c r="B24" i="71"/>
  <c r="Z23" i="71"/>
  <c r="X23" i="71"/>
  <c r="P23" i="71"/>
  <c r="N23" i="71"/>
  <c r="D23" i="71"/>
  <c r="L23" i="71" s="1"/>
  <c r="B23" i="71"/>
  <c r="Z22" i="71"/>
  <c r="P22" i="71"/>
  <c r="X22" i="71" s="1"/>
  <c r="N22" i="71"/>
  <c r="L22" i="71"/>
  <c r="D22" i="71"/>
  <c r="B22" i="71"/>
  <c r="Z21" i="71"/>
  <c r="X21" i="71"/>
  <c r="P21" i="71"/>
  <c r="N21" i="71"/>
  <c r="L21" i="71"/>
  <c r="D21" i="71"/>
  <c r="B21" i="71"/>
  <c r="Z20" i="71"/>
  <c r="P20" i="71"/>
  <c r="X20" i="71" s="1"/>
  <c r="N20" i="71"/>
  <c r="L20" i="71"/>
  <c r="D20" i="71"/>
  <c r="B20" i="71"/>
  <c r="P19" i="71"/>
  <c r="X19" i="71" s="1"/>
  <c r="Z19" i="71" s="1"/>
  <c r="N19" i="71"/>
  <c r="D19" i="71"/>
  <c r="L19" i="71" s="1"/>
  <c r="B19" i="71"/>
  <c r="Z18" i="71"/>
  <c r="P18" i="71"/>
  <c r="X18" i="71" s="1"/>
  <c r="N18" i="71"/>
  <c r="L18" i="71"/>
  <c r="D18" i="71"/>
  <c r="B18" i="71"/>
  <c r="Z17" i="71"/>
  <c r="X17" i="71"/>
  <c r="P17" i="71"/>
  <c r="N17" i="71"/>
  <c r="L17" i="71"/>
  <c r="D17" i="71"/>
  <c r="B17" i="71"/>
  <c r="Z16" i="71"/>
  <c r="X16" i="71"/>
  <c r="P16" i="71"/>
  <c r="N16" i="71"/>
  <c r="D16" i="71"/>
  <c r="B16" i="71"/>
  <c r="Z15" i="71"/>
  <c r="X15" i="71"/>
  <c r="P15" i="71"/>
  <c r="N15" i="71"/>
  <c r="D15" i="71"/>
  <c r="L15" i="71" s="1"/>
  <c r="B15" i="71"/>
  <c r="Z14" i="71"/>
  <c r="P14" i="71"/>
  <c r="X14" i="71" s="1"/>
  <c r="N14" i="71"/>
  <c r="L14" i="71"/>
  <c r="D14" i="71"/>
  <c r="B14" i="71"/>
  <c r="Z13" i="71"/>
  <c r="X13" i="71"/>
  <c r="P13" i="71"/>
  <c r="N13" i="71"/>
  <c r="L13" i="71"/>
  <c r="D13" i="71"/>
  <c r="B13" i="71"/>
  <c r="T12" i="71"/>
  <c r="H12" i="71"/>
  <c r="D6" i="71"/>
  <c r="D4" i="71"/>
  <c r="Z87" i="70"/>
  <c r="X87" i="70"/>
  <c r="N87" i="70"/>
  <c r="L87" i="70"/>
  <c r="P83" i="70"/>
  <c r="L83" i="70"/>
  <c r="N83" i="70" s="1"/>
  <c r="D83" i="70"/>
  <c r="B83" i="70"/>
  <c r="T82" i="70"/>
  <c r="H82" i="70"/>
  <c r="D82" i="70"/>
  <c r="Z80" i="70"/>
  <c r="X80" i="70"/>
  <c r="N80" i="70"/>
  <c r="L80" i="70"/>
  <c r="B80" i="70"/>
  <c r="T79" i="70"/>
  <c r="Z79" i="70" s="1"/>
  <c r="P79" i="70"/>
  <c r="N79" i="70"/>
  <c r="H79" i="70"/>
  <c r="D79" i="70"/>
  <c r="L79" i="70" s="1"/>
  <c r="B79" i="70"/>
  <c r="X78" i="70"/>
  <c r="Z78" i="70" s="1"/>
  <c r="L78" i="70"/>
  <c r="N78" i="70" s="1"/>
  <c r="J78" i="70"/>
  <c r="B78" i="70"/>
  <c r="T77" i="70"/>
  <c r="P77" i="70"/>
  <c r="X77" i="70" s="1"/>
  <c r="Z77" i="70" s="1"/>
  <c r="N77" i="70"/>
  <c r="H77" i="70"/>
  <c r="L77" i="70" s="1"/>
  <c r="D77" i="70"/>
  <c r="B77" i="70"/>
  <c r="X76" i="70"/>
  <c r="Z76" i="70" s="1"/>
  <c r="N76" i="70"/>
  <c r="L76" i="70"/>
  <c r="B76" i="70"/>
  <c r="Z75" i="70"/>
  <c r="X75" i="70"/>
  <c r="L75" i="70"/>
  <c r="N75" i="70" s="1"/>
  <c r="B75" i="70"/>
  <c r="X74" i="70"/>
  <c r="Z74" i="70" s="1"/>
  <c r="L74" i="70"/>
  <c r="N74" i="70" s="1"/>
  <c r="J74" i="70"/>
  <c r="B74" i="70"/>
  <c r="Z73" i="70"/>
  <c r="X73" i="70"/>
  <c r="N73" i="70"/>
  <c r="L73" i="70"/>
  <c r="B73" i="70"/>
  <c r="Z72" i="70"/>
  <c r="X72" i="70"/>
  <c r="N72" i="70"/>
  <c r="L72" i="70"/>
  <c r="B72" i="70"/>
  <c r="T71" i="70"/>
  <c r="P71" i="70"/>
  <c r="H71" i="70"/>
  <c r="D71" i="70"/>
  <c r="L71" i="70" s="1"/>
  <c r="N71" i="70" s="1"/>
  <c r="B71" i="70"/>
  <c r="Z70" i="70"/>
  <c r="X70" i="70"/>
  <c r="N70" i="70"/>
  <c r="L70" i="70"/>
  <c r="J70" i="70"/>
  <c r="B70" i="70"/>
  <c r="Z69" i="70"/>
  <c r="T69" i="70"/>
  <c r="P69" i="70"/>
  <c r="X69" i="70" s="1"/>
  <c r="N69" i="70"/>
  <c r="H69" i="70"/>
  <c r="L69" i="70" s="1"/>
  <c r="D69" i="70"/>
  <c r="B69" i="70"/>
  <c r="X68" i="70"/>
  <c r="Z68" i="70" s="1"/>
  <c r="N68" i="70"/>
  <c r="L68" i="70"/>
  <c r="B68" i="70"/>
  <c r="T67" i="70"/>
  <c r="X67" i="70" s="1"/>
  <c r="Z67" i="70" s="1"/>
  <c r="P67" i="70"/>
  <c r="L67" i="70"/>
  <c r="J67" i="70"/>
  <c r="H67" i="70"/>
  <c r="D67" i="70"/>
  <c r="B67" i="70"/>
  <c r="Z66" i="70"/>
  <c r="X66" i="70"/>
  <c r="V66" i="70"/>
  <c r="N66" i="70"/>
  <c r="L66" i="70"/>
  <c r="B66" i="70"/>
  <c r="X65" i="70"/>
  <c r="Z65" i="70" s="1"/>
  <c r="V65" i="70"/>
  <c r="N65" i="70"/>
  <c r="L65" i="70"/>
  <c r="B65" i="70"/>
  <c r="Z64" i="70"/>
  <c r="X64" i="70"/>
  <c r="N64" i="70"/>
  <c r="L64" i="70"/>
  <c r="B64" i="70"/>
  <c r="Z63" i="70"/>
  <c r="T63" i="70"/>
  <c r="X63" i="70" s="1"/>
  <c r="P63" i="70"/>
  <c r="L63" i="70"/>
  <c r="H63" i="70"/>
  <c r="N63" i="70" s="1"/>
  <c r="D63" i="70"/>
  <c r="B63" i="70"/>
  <c r="Z62" i="70"/>
  <c r="X62" i="70"/>
  <c r="V62" i="70"/>
  <c r="L62" i="70"/>
  <c r="N62" i="70" s="1"/>
  <c r="B62" i="70"/>
  <c r="X61" i="70"/>
  <c r="Z61" i="70" s="1"/>
  <c r="V61" i="70"/>
  <c r="N61" i="70"/>
  <c r="L61" i="70"/>
  <c r="B61" i="70"/>
  <c r="Z60" i="70"/>
  <c r="X60" i="70"/>
  <c r="T60" i="70"/>
  <c r="P60" i="70"/>
  <c r="H60" i="70"/>
  <c r="D60" i="70"/>
  <c r="B60" i="70"/>
  <c r="X59" i="70"/>
  <c r="Z59" i="70" s="1"/>
  <c r="N59" i="70"/>
  <c r="L59" i="70"/>
  <c r="B59" i="70"/>
  <c r="V58" i="70"/>
  <c r="T58" i="70"/>
  <c r="P58" i="70"/>
  <c r="H58" i="70"/>
  <c r="D58" i="70"/>
  <c r="L58" i="70" s="1"/>
  <c r="N58" i="70" s="1"/>
  <c r="B58" i="70"/>
  <c r="Z57" i="70"/>
  <c r="X57" i="70"/>
  <c r="L57" i="70"/>
  <c r="N57" i="70" s="1"/>
  <c r="J57" i="70"/>
  <c r="B57" i="70"/>
  <c r="T56" i="70"/>
  <c r="P56" i="70"/>
  <c r="X56" i="70" s="1"/>
  <c r="Z56" i="70" s="1"/>
  <c r="L56" i="70"/>
  <c r="N56" i="70" s="1"/>
  <c r="H56" i="70"/>
  <c r="D56" i="70"/>
  <c r="B56" i="70"/>
  <c r="Z55" i="70"/>
  <c r="X55" i="70"/>
  <c r="L55" i="70"/>
  <c r="N55" i="70" s="1"/>
  <c r="B55" i="70"/>
  <c r="X54" i="70"/>
  <c r="Z54" i="70" s="1"/>
  <c r="T54" i="70"/>
  <c r="P54" i="70"/>
  <c r="N54" i="70"/>
  <c r="L54" i="70"/>
  <c r="H54" i="70"/>
  <c r="D54" i="70"/>
  <c r="B54" i="70"/>
  <c r="X53" i="70"/>
  <c r="Z53" i="70" s="1"/>
  <c r="V53" i="70"/>
  <c r="N53" i="70"/>
  <c r="L53" i="70"/>
  <c r="B53" i="70"/>
  <c r="X52" i="70"/>
  <c r="Z52" i="70" s="1"/>
  <c r="T52" i="70"/>
  <c r="P52" i="70"/>
  <c r="J52" i="70"/>
  <c r="H52" i="70"/>
  <c r="D52" i="70"/>
  <c r="L52" i="70" s="1"/>
  <c r="B52" i="70"/>
  <c r="Z51" i="70"/>
  <c r="X51" i="70"/>
  <c r="N51" i="70"/>
  <c r="L51" i="70"/>
  <c r="B51" i="70"/>
  <c r="Z50" i="70"/>
  <c r="X50" i="70"/>
  <c r="V50" i="70"/>
  <c r="N50" i="70"/>
  <c r="L50" i="70"/>
  <c r="B50" i="70"/>
  <c r="Z49" i="70"/>
  <c r="X49" i="70"/>
  <c r="V49" i="70"/>
  <c r="N49" i="70"/>
  <c r="L49" i="70"/>
  <c r="B49" i="70"/>
  <c r="Z48" i="70"/>
  <c r="X48" i="70"/>
  <c r="N48" i="70"/>
  <c r="L48" i="70"/>
  <c r="B48" i="70"/>
  <c r="Z47" i="70"/>
  <c r="X47" i="70"/>
  <c r="N47" i="70"/>
  <c r="L47" i="70"/>
  <c r="B47" i="70"/>
  <c r="Z46" i="70"/>
  <c r="X46" i="70"/>
  <c r="N46" i="70"/>
  <c r="L46" i="70"/>
  <c r="B46" i="70"/>
  <c r="Z45" i="70"/>
  <c r="X45" i="70"/>
  <c r="N45" i="70"/>
  <c r="L45" i="70"/>
  <c r="J45" i="70"/>
  <c r="B45" i="70"/>
  <c r="Z44" i="70"/>
  <c r="X44" i="70"/>
  <c r="N44" i="70"/>
  <c r="L44" i="70"/>
  <c r="B44" i="70"/>
  <c r="Z43" i="70"/>
  <c r="X43" i="70"/>
  <c r="N43" i="70"/>
  <c r="L43" i="70"/>
  <c r="B43" i="70"/>
  <c r="Z42" i="70"/>
  <c r="X42" i="70"/>
  <c r="V42" i="70"/>
  <c r="N42" i="70"/>
  <c r="L42" i="70"/>
  <c r="B42" i="70"/>
  <c r="X41" i="70"/>
  <c r="Z41" i="70" s="1"/>
  <c r="V41" i="70"/>
  <c r="T41" i="70"/>
  <c r="P41" i="70"/>
  <c r="H41" i="70"/>
  <c r="D41" i="70"/>
  <c r="B41" i="70"/>
  <c r="Z40" i="70"/>
  <c r="X40" i="70"/>
  <c r="N40" i="70"/>
  <c r="L40" i="70"/>
  <c r="B40" i="70"/>
  <c r="Z39" i="70"/>
  <c r="X39" i="70"/>
  <c r="N39" i="70"/>
  <c r="L39" i="70"/>
  <c r="B39" i="70"/>
  <c r="X38" i="70"/>
  <c r="Z38" i="70" s="1"/>
  <c r="V38" i="70"/>
  <c r="L38" i="70"/>
  <c r="N38" i="70" s="1"/>
  <c r="B38" i="70"/>
  <c r="Z37" i="70"/>
  <c r="X37" i="70"/>
  <c r="V37" i="70"/>
  <c r="N37" i="70"/>
  <c r="L37" i="70"/>
  <c r="B37" i="70"/>
  <c r="Z36" i="70"/>
  <c r="X36" i="70"/>
  <c r="N36" i="70"/>
  <c r="L36" i="70"/>
  <c r="B36" i="70"/>
  <c r="Z35" i="70"/>
  <c r="X35" i="70"/>
  <c r="N35" i="70"/>
  <c r="L35" i="70"/>
  <c r="B35" i="70"/>
  <c r="X34" i="70"/>
  <c r="Z34" i="70" s="1"/>
  <c r="L34" i="70"/>
  <c r="N34" i="70" s="1"/>
  <c r="J34" i="70"/>
  <c r="B34" i="70"/>
  <c r="Z33" i="70"/>
  <c r="X33" i="70"/>
  <c r="L33" i="70"/>
  <c r="N33" i="70" s="1"/>
  <c r="J33" i="70"/>
  <c r="B33" i="70"/>
  <c r="Z32" i="70"/>
  <c r="X32" i="70"/>
  <c r="L32" i="70"/>
  <c r="N32" i="70" s="1"/>
  <c r="B32" i="70"/>
  <c r="T31" i="70"/>
  <c r="P31" i="70"/>
  <c r="H31" i="70"/>
  <c r="D31" i="70"/>
  <c r="L31" i="70" s="1"/>
  <c r="N31" i="70" s="1"/>
  <c r="B31" i="70"/>
  <c r="T30" i="70"/>
  <c r="P30" i="70"/>
  <c r="X30" i="70" s="1"/>
  <c r="H30" i="70"/>
  <c r="N30" i="70" s="1"/>
  <c r="D30" i="70"/>
  <c r="L30" i="70" s="1"/>
  <c r="T28" i="70"/>
  <c r="X26" i="70"/>
  <c r="T26" i="70"/>
  <c r="Z26" i="70" s="1"/>
  <c r="P26" i="70"/>
  <c r="N26" i="70"/>
  <c r="L26" i="70"/>
  <c r="H26" i="70"/>
  <c r="D26" i="70"/>
  <c r="Z24" i="70"/>
  <c r="P24" i="70"/>
  <c r="X24" i="70" s="1"/>
  <c r="N24" i="70"/>
  <c r="D24" i="70"/>
  <c r="L24" i="70" s="1"/>
  <c r="B24" i="70"/>
  <c r="Z23" i="70"/>
  <c r="P23" i="70"/>
  <c r="X23" i="70" s="1"/>
  <c r="N23" i="70"/>
  <c r="L23" i="70"/>
  <c r="D23" i="70"/>
  <c r="B23" i="70"/>
  <c r="Z22" i="70"/>
  <c r="X22" i="70"/>
  <c r="P22" i="70"/>
  <c r="N22" i="70"/>
  <c r="L22" i="70"/>
  <c r="D22" i="70"/>
  <c r="B22" i="70"/>
  <c r="Z21" i="70"/>
  <c r="P21" i="70"/>
  <c r="X21" i="70" s="1"/>
  <c r="N21" i="70"/>
  <c r="D21" i="70"/>
  <c r="L21" i="70" s="1"/>
  <c r="B21" i="70"/>
  <c r="Z20" i="70"/>
  <c r="X20" i="70"/>
  <c r="P20" i="70"/>
  <c r="N20" i="70"/>
  <c r="D20" i="70"/>
  <c r="L20" i="70" s="1"/>
  <c r="B20" i="70"/>
  <c r="Z19" i="70"/>
  <c r="P19" i="70"/>
  <c r="X19" i="70" s="1"/>
  <c r="N19" i="70"/>
  <c r="L19" i="70"/>
  <c r="D19" i="70"/>
  <c r="B19" i="70"/>
  <c r="X18" i="70"/>
  <c r="Z18" i="70" s="1"/>
  <c r="P18" i="70"/>
  <c r="D18" i="70"/>
  <c r="L18" i="70" s="1"/>
  <c r="N18" i="70" s="1"/>
  <c r="B18" i="70"/>
  <c r="Z17" i="70"/>
  <c r="X17" i="70"/>
  <c r="P17" i="70"/>
  <c r="N17" i="70"/>
  <c r="L17" i="70"/>
  <c r="D17" i="70"/>
  <c r="B17" i="70"/>
  <c r="Z16" i="70"/>
  <c r="P16" i="70"/>
  <c r="N16" i="70"/>
  <c r="D16" i="70"/>
  <c r="L16" i="70" s="1"/>
  <c r="B16" i="70"/>
  <c r="Z15" i="70"/>
  <c r="P15" i="70"/>
  <c r="X15" i="70" s="1"/>
  <c r="N15" i="70"/>
  <c r="L15" i="70"/>
  <c r="D15" i="70"/>
  <c r="B15" i="70"/>
  <c r="Z14" i="70"/>
  <c r="X14" i="70"/>
  <c r="P14" i="70"/>
  <c r="N14" i="70"/>
  <c r="L14" i="70"/>
  <c r="D14" i="70"/>
  <c r="B14" i="70"/>
  <c r="P13" i="70"/>
  <c r="X13" i="70" s="1"/>
  <c r="Z13" i="70" s="1"/>
  <c r="D13" i="70"/>
  <c r="L13" i="70" s="1"/>
  <c r="N13" i="70" s="1"/>
  <c r="B13" i="70"/>
  <c r="T12" i="70"/>
  <c r="V82" i="70" s="1"/>
  <c r="H12" i="70"/>
  <c r="D12" i="70"/>
  <c r="D6" i="70"/>
  <c r="D4" i="70"/>
  <c r="X158" i="69"/>
  <c r="Z158" i="69" s="1"/>
  <c r="L158" i="69"/>
  <c r="N158" i="69" s="1"/>
  <c r="Z154" i="69"/>
  <c r="X154" i="69"/>
  <c r="P154" i="69"/>
  <c r="N154" i="69"/>
  <c r="D154" i="69"/>
  <c r="B154" i="69"/>
  <c r="P153" i="69"/>
  <c r="X153" i="69" s="1"/>
  <c r="Z153" i="69" s="1"/>
  <c r="N153" i="69"/>
  <c r="L153" i="69"/>
  <c r="D153" i="69"/>
  <c r="B153" i="69"/>
  <c r="X152" i="69"/>
  <c r="Z152" i="69" s="1"/>
  <c r="P152" i="69"/>
  <c r="D152" i="69"/>
  <c r="L152" i="69" s="1"/>
  <c r="N152" i="69" s="1"/>
  <c r="B152" i="69"/>
  <c r="Z151" i="69"/>
  <c r="P151" i="69"/>
  <c r="X151" i="69" s="1"/>
  <c r="N151" i="69"/>
  <c r="L151" i="69"/>
  <c r="D151" i="69"/>
  <c r="B151" i="69"/>
  <c r="T150" i="69"/>
  <c r="Z150" i="69" s="1"/>
  <c r="P150" i="69"/>
  <c r="X150" i="69" s="1"/>
  <c r="H150" i="69"/>
  <c r="Z148" i="69"/>
  <c r="X148" i="69"/>
  <c r="N148" i="69"/>
  <c r="L148" i="69"/>
  <c r="B148" i="69"/>
  <c r="Z147" i="69"/>
  <c r="X147" i="69"/>
  <c r="N147" i="69"/>
  <c r="L147" i="69"/>
  <c r="B147" i="69"/>
  <c r="X146" i="69"/>
  <c r="T146" i="69"/>
  <c r="Z146" i="69" s="1"/>
  <c r="P146" i="69"/>
  <c r="L146" i="69"/>
  <c r="N146" i="69" s="1"/>
  <c r="H146" i="69"/>
  <c r="D146" i="69"/>
  <c r="B146" i="69"/>
  <c r="X145" i="69"/>
  <c r="Z145" i="69" s="1"/>
  <c r="V145" i="69"/>
  <c r="N145" i="69"/>
  <c r="L145" i="69"/>
  <c r="B145" i="69"/>
  <c r="X144" i="69"/>
  <c r="Z144" i="69" s="1"/>
  <c r="T144" i="69"/>
  <c r="P144" i="69"/>
  <c r="J144" i="69"/>
  <c r="H144" i="69"/>
  <c r="N144" i="69" s="1"/>
  <c r="D144" i="69"/>
  <c r="B144" i="69"/>
  <c r="Z143" i="69"/>
  <c r="X143" i="69"/>
  <c r="N143" i="69"/>
  <c r="L143" i="69"/>
  <c r="B143" i="69"/>
  <c r="T142" i="69"/>
  <c r="P142" i="69"/>
  <c r="H142" i="69"/>
  <c r="N142" i="69" s="1"/>
  <c r="D142" i="69"/>
  <c r="L142" i="69" s="1"/>
  <c r="B142" i="69"/>
  <c r="Z141" i="69"/>
  <c r="X141" i="69"/>
  <c r="L141" i="69"/>
  <c r="N141" i="69" s="1"/>
  <c r="B141" i="69"/>
  <c r="X140" i="69"/>
  <c r="Z140" i="69" s="1"/>
  <c r="L140" i="69"/>
  <c r="N140" i="69" s="1"/>
  <c r="B140" i="69"/>
  <c r="Z139" i="69"/>
  <c r="X139" i="69"/>
  <c r="N139" i="69"/>
  <c r="L139" i="69"/>
  <c r="J139" i="69"/>
  <c r="B139" i="69"/>
  <c r="X138" i="69"/>
  <c r="Z138" i="69" s="1"/>
  <c r="L138" i="69"/>
  <c r="N138" i="69" s="1"/>
  <c r="B138" i="69"/>
  <c r="X137" i="69"/>
  <c r="Z137" i="69" s="1"/>
  <c r="V137" i="69"/>
  <c r="N137" i="69"/>
  <c r="L137" i="69"/>
  <c r="B137" i="69"/>
  <c r="X136" i="69"/>
  <c r="Z136" i="69" s="1"/>
  <c r="L136" i="69"/>
  <c r="N136" i="69" s="1"/>
  <c r="B136" i="69"/>
  <c r="Z135" i="69"/>
  <c r="X135" i="69"/>
  <c r="N135" i="69"/>
  <c r="L135" i="69"/>
  <c r="B135" i="69"/>
  <c r="X134" i="69"/>
  <c r="T134" i="69"/>
  <c r="P134" i="69"/>
  <c r="H134" i="69"/>
  <c r="D134" i="69"/>
  <c r="B134" i="69"/>
  <c r="Z133" i="69"/>
  <c r="X133" i="69"/>
  <c r="N133" i="69"/>
  <c r="L133" i="69"/>
  <c r="B133" i="69"/>
  <c r="Z132" i="69"/>
  <c r="X132" i="69"/>
  <c r="N132" i="69"/>
  <c r="L132" i="69"/>
  <c r="B132" i="69"/>
  <c r="T131" i="69"/>
  <c r="P131" i="69"/>
  <c r="X131" i="69" s="1"/>
  <c r="Z131" i="69" s="1"/>
  <c r="N131" i="69"/>
  <c r="L131" i="69"/>
  <c r="H131" i="69"/>
  <c r="D131" i="69"/>
  <c r="B131" i="69"/>
  <c r="X130" i="69"/>
  <c r="Z130" i="69" s="1"/>
  <c r="V130" i="69"/>
  <c r="L130" i="69"/>
  <c r="N130" i="69" s="1"/>
  <c r="B130" i="69"/>
  <c r="X129" i="69"/>
  <c r="Z129" i="69" s="1"/>
  <c r="N129" i="69"/>
  <c r="L129" i="69"/>
  <c r="B129" i="69"/>
  <c r="Z128" i="69"/>
  <c r="X128" i="69"/>
  <c r="L128" i="69"/>
  <c r="N128" i="69" s="1"/>
  <c r="B128" i="69"/>
  <c r="Z127" i="69"/>
  <c r="T127" i="69"/>
  <c r="P127" i="69"/>
  <c r="X127" i="69" s="1"/>
  <c r="L127" i="69"/>
  <c r="N127" i="69" s="1"/>
  <c r="H127" i="69"/>
  <c r="D127" i="69"/>
  <c r="B127" i="69"/>
  <c r="X126" i="69"/>
  <c r="Z126" i="69" s="1"/>
  <c r="L126" i="69"/>
  <c r="N126" i="69" s="1"/>
  <c r="B126" i="69"/>
  <c r="X125" i="69"/>
  <c r="Z125" i="69" s="1"/>
  <c r="V125" i="69"/>
  <c r="T125" i="69"/>
  <c r="R125" i="69"/>
  <c r="P125" i="69"/>
  <c r="H125" i="69"/>
  <c r="D125" i="69"/>
  <c r="B125" i="69"/>
  <c r="X124" i="69"/>
  <c r="Z124" i="69" s="1"/>
  <c r="N124" i="69"/>
  <c r="L124" i="69"/>
  <c r="B124" i="69"/>
  <c r="T123" i="69"/>
  <c r="P123" i="69"/>
  <c r="N123" i="69"/>
  <c r="H123" i="69"/>
  <c r="D123" i="69"/>
  <c r="L123" i="69" s="1"/>
  <c r="B123" i="69"/>
  <c r="Z122" i="69"/>
  <c r="X122" i="69"/>
  <c r="N122" i="69"/>
  <c r="L122" i="69"/>
  <c r="J122" i="69"/>
  <c r="B122" i="69"/>
  <c r="Z121" i="69"/>
  <c r="X121" i="69"/>
  <c r="L121" i="69"/>
  <c r="N121" i="69" s="1"/>
  <c r="B121" i="69"/>
  <c r="T120" i="69"/>
  <c r="P120" i="69"/>
  <c r="X120" i="69" s="1"/>
  <c r="L120" i="69"/>
  <c r="H120" i="69"/>
  <c r="D120" i="69"/>
  <c r="B120" i="69"/>
  <c r="Z119" i="69"/>
  <c r="X119" i="69"/>
  <c r="N119" i="69"/>
  <c r="L119" i="69"/>
  <c r="B119" i="69"/>
  <c r="X118" i="69"/>
  <c r="T118" i="69"/>
  <c r="Z118" i="69" s="1"/>
  <c r="P118" i="69"/>
  <c r="L118" i="69"/>
  <c r="H118" i="69"/>
  <c r="N118" i="69" s="1"/>
  <c r="D118" i="69"/>
  <c r="B118" i="69"/>
  <c r="X117" i="69"/>
  <c r="Z117" i="69" s="1"/>
  <c r="N117" i="69"/>
  <c r="L117" i="69"/>
  <c r="B117" i="69"/>
  <c r="Z116" i="69"/>
  <c r="X116" i="69"/>
  <c r="N116" i="69"/>
  <c r="L116" i="69"/>
  <c r="B116" i="69"/>
  <c r="V115" i="69"/>
  <c r="T115" i="69"/>
  <c r="X115" i="69" s="1"/>
  <c r="Z115" i="69" s="1"/>
  <c r="P115" i="69"/>
  <c r="L115" i="69"/>
  <c r="N115" i="69" s="1"/>
  <c r="H115" i="69"/>
  <c r="D115" i="69"/>
  <c r="B115" i="69"/>
  <c r="X114" i="69"/>
  <c r="Z114" i="69" s="1"/>
  <c r="L114" i="69"/>
  <c r="N114" i="69" s="1"/>
  <c r="B114" i="69"/>
  <c r="X113" i="69"/>
  <c r="Z113" i="69" s="1"/>
  <c r="V113" i="69"/>
  <c r="T113" i="69"/>
  <c r="P113" i="69"/>
  <c r="H113" i="69"/>
  <c r="D113" i="69"/>
  <c r="B113" i="69"/>
  <c r="Z112" i="69"/>
  <c r="X112" i="69"/>
  <c r="N112" i="69"/>
  <c r="L112" i="69"/>
  <c r="B112" i="69"/>
  <c r="Z111" i="69"/>
  <c r="X111" i="69"/>
  <c r="N111" i="69"/>
  <c r="L111" i="69"/>
  <c r="B111" i="69"/>
  <c r="X110" i="69"/>
  <c r="T110" i="69"/>
  <c r="P110" i="69"/>
  <c r="H110" i="69"/>
  <c r="D110" i="69"/>
  <c r="B110" i="69"/>
  <c r="Z109" i="69"/>
  <c r="X109" i="69"/>
  <c r="N109" i="69"/>
  <c r="L109" i="69"/>
  <c r="B109" i="69"/>
  <c r="X108" i="69"/>
  <c r="T108" i="69"/>
  <c r="Z108" i="69" s="1"/>
  <c r="P108" i="69"/>
  <c r="H108" i="69"/>
  <c r="D108" i="69"/>
  <c r="B108" i="69"/>
  <c r="Z107" i="69"/>
  <c r="X107" i="69"/>
  <c r="N107" i="69"/>
  <c r="L107" i="69"/>
  <c r="B107" i="69"/>
  <c r="T106" i="69"/>
  <c r="Z106" i="69" s="1"/>
  <c r="P106" i="69"/>
  <c r="X106" i="69" s="1"/>
  <c r="H106" i="69"/>
  <c r="N106" i="69" s="1"/>
  <c r="D106" i="69"/>
  <c r="B106" i="69"/>
  <c r="X105" i="69"/>
  <c r="Z105" i="69" s="1"/>
  <c r="V105" i="69"/>
  <c r="L105" i="69"/>
  <c r="N105" i="69" s="1"/>
  <c r="B105" i="69"/>
  <c r="T104" i="69"/>
  <c r="R104" i="69"/>
  <c r="P104" i="69"/>
  <c r="X104" i="69" s="1"/>
  <c r="L104" i="69"/>
  <c r="H104" i="69"/>
  <c r="D104" i="69"/>
  <c r="B104" i="69"/>
  <c r="Z103" i="69"/>
  <c r="X103" i="69"/>
  <c r="R103" i="69"/>
  <c r="N103" i="69"/>
  <c r="L103" i="69"/>
  <c r="B103" i="69"/>
  <c r="Z102" i="69"/>
  <c r="X102" i="69"/>
  <c r="V102" i="69"/>
  <c r="N102" i="69"/>
  <c r="L102" i="69"/>
  <c r="B102" i="69"/>
  <c r="X101" i="69"/>
  <c r="Z101" i="69" s="1"/>
  <c r="N101" i="69"/>
  <c r="L101" i="69"/>
  <c r="B101" i="69"/>
  <c r="X100" i="69"/>
  <c r="Z100" i="69" s="1"/>
  <c r="N100" i="69"/>
  <c r="L100" i="69"/>
  <c r="B100" i="69"/>
  <c r="Z99" i="69"/>
  <c r="X99" i="69"/>
  <c r="N99" i="69"/>
  <c r="L99" i="69"/>
  <c r="J99" i="69"/>
  <c r="B99" i="69"/>
  <c r="Z98" i="69"/>
  <c r="X98" i="69"/>
  <c r="N98" i="69"/>
  <c r="L98" i="69"/>
  <c r="B98" i="69"/>
  <c r="X97" i="69"/>
  <c r="Z97" i="69" s="1"/>
  <c r="N97" i="69"/>
  <c r="L97" i="69"/>
  <c r="J97" i="69"/>
  <c r="B97" i="69"/>
  <c r="Z96" i="69"/>
  <c r="X96" i="69"/>
  <c r="R96" i="69"/>
  <c r="N96" i="69"/>
  <c r="L96" i="69"/>
  <c r="B96" i="69"/>
  <c r="X95" i="69"/>
  <c r="Z95" i="69" s="1"/>
  <c r="V95" i="69"/>
  <c r="N95" i="69"/>
  <c r="L95" i="69"/>
  <c r="B95" i="69"/>
  <c r="Z94" i="69"/>
  <c r="X94" i="69"/>
  <c r="N94" i="69"/>
  <c r="L94" i="69"/>
  <c r="B94" i="69"/>
  <c r="V93" i="69"/>
  <c r="T93" i="69"/>
  <c r="P93" i="69"/>
  <c r="X93" i="69" s="1"/>
  <c r="Z93" i="69" s="1"/>
  <c r="L93" i="69"/>
  <c r="J93" i="69"/>
  <c r="H93" i="69"/>
  <c r="N93" i="69" s="1"/>
  <c r="D93" i="69"/>
  <c r="B93" i="69"/>
  <c r="Z92" i="69"/>
  <c r="X92" i="69"/>
  <c r="L92" i="69"/>
  <c r="N92" i="69" s="1"/>
  <c r="B92" i="69"/>
  <c r="X91" i="69"/>
  <c r="Z91" i="69" s="1"/>
  <c r="V91" i="69"/>
  <c r="N91" i="69"/>
  <c r="L91" i="69"/>
  <c r="B91" i="69"/>
  <c r="X90" i="69"/>
  <c r="Z90" i="69" s="1"/>
  <c r="N90" i="69"/>
  <c r="L90" i="69"/>
  <c r="B90" i="69"/>
  <c r="Z89" i="69"/>
  <c r="X89" i="69"/>
  <c r="V89" i="69"/>
  <c r="N89" i="69"/>
  <c r="L89" i="69"/>
  <c r="B89" i="69"/>
  <c r="X88" i="69"/>
  <c r="Z88" i="69" s="1"/>
  <c r="N88" i="69"/>
  <c r="L88" i="69"/>
  <c r="B88" i="69"/>
  <c r="Z87" i="69"/>
  <c r="X87" i="69"/>
  <c r="L87" i="69"/>
  <c r="N87" i="69" s="1"/>
  <c r="J87" i="69"/>
  <c r="B87" i="69"/>
  <c r="Z86" i="69"/>
  <c r="X86" i="69"/>
  <c r="L86" i="69"/>
  <c r="N86" i="69" s="1"/>
  <c r="B86" i="69"/>
  <c r="X85" i="69"/>
  <c r="Z85" i="69" s="1"/>
  <c r="N85" i="69"/>
  <c r="L85" i="69"/>
  <c r="J85" i="69"/>
  <c r="B85" i="69"/>
  <c r="Z84" i="69"/>
  <c r="X84" i="69"/>
  <c r="L84" i="69"/>
  <c r="N84" i="69" s="1"/>
  <c r="B84" i="69"/>
  <c r="X83" i="69"/>
  <c r="V83" i="69"/>
  <c r="T83" i="69"/>
  <c r="Z83" i="69" s="1"/>
  <c r="R83" i="69"/>
  <c r="P83" i="69"/>
  <c r="H83" i="69"/>
  <c r="D83" i="69"/>
  <c r="B83" i="69"/>
  <c r="T82" i="69"/>
  <c r="P82" i="69"/>
  <c r="X82" i="69" s="1"/>
  <c r="Z82" i="69" s="1"/>
  <c r="H82" i="69"/>
  <c r="D82" i="69"/>
  <c r="L82" i="69" s="1"/>
  <c r="T80" i="69"/>
  <c r="H80" i="69"/>
  <c r="D80" i="69"/>
  <c r="Z78" i="69"/>
  <c r="X78" i="69"/>
  <c r="N78" i="69"/>
  <c r="L78" i="69"/>
  <c r="B78" i="69"/>
  <c r="Z77" i="69"/>
  <c r="X77" i="69"/>
  <c r="N77" i="69"/>
  <c r="L77" i="69"/>
  <c r="J77" i="69"/>
  <c r="B77" i="69"/>
  <c r="Z76" i="69"/>
  <c r="X76" i="69"/>
  <c r="N76" i="69"/>
  <c r="L76" i="69"/>
  <c r="B76" i="69"/>
  <c r="Z75" i="69"/>
  <c r="X75" i="69"/>
  <c r="V75" i="69"/>
  <c r="N75" i="69"/>
  <c r="L75" i="69"/>
  <c r="B75" i="69"/>
  <c r="Z74" i="69"/>
  <c r="X74" i="69"/>
  <c r="N74" i="69"/>
  <c r="L74" i="69"/>
  <c r="B74" i="69"/>
  <c r="Z73" i="69"/>
  <c r="X73" i="69"/>
  <c r="V73" i="69"/>
  <c r="N73" i="69"/>
  <c r="L73" i="69"/>
  <c r="B73" i="69"/>
  <c r="Z72" i="69"/>
  <c r="X72" i="69"/>
  <c r="N72" i="69"/>
  <c r="L72" i="69"/>
  <c r="B72" i="69"/>
  <c r="Z71" i="69"/>
  <c r="X71" i="69"/>
  <c r="N71" i="69"/>
  <c r="L71" i="69"/>
  <c r="J71" i="69"/>
  <c r="B71" i="69"/>
  <c r="Z70" i="69"/>
  <c r="X70" i="69"/>
  <c r="N70" i="69"/>
  <c r="L70" i="69"/>
  <c r="B70" i="69"/>
  <c r="Z69" i="69"/>
  <c r="X69" i="69"/>
  <c r="N69" i="69"/>
  <c r="L69" i="69"/>
  <c r="J69" i="69"/>
  <c r="B69" i="69"/>
  <c r="Z68" i="69"/>
  <c r="X68" i="69"/>
  <c r="N68" i="69"/>
  <c r="L68" i="69"/>
  <c r="B68" i="69"/>
  <c r="Z67" i="69"/>
  <c r="X67" i="69"/>
  <c r="V67" i="69"/>
  <c r="N67" i="69"/>
  <c r="L67" i="69"/>
  <c r="B67" i="69"/>
  <c r="Z66" i="69"/>
  <c r="X66" i="69"/>
  <c r="N66" i="69"/>
  <c r="L66" i="69"/>
  <c r="B66" i="69"/>
  <c r="Z65" i="69"/>
  <c r="X65" i="69"/>
  <c r="V65" i="69"/>
  <c r="N65" i="69"/>
  <c r="L65" i="69"/>
  <c r="B65" i="69"/>
  <c r="Z64" i="69"/>
  <c r="X64" i="69"/>
  <c r="N64" i="69"/>
  <c r="L64" i="69"/>
  <c r="B64" i="69"/>
  <c r="Z63" i="69"/>
  <c r="X63" i="69"/>
  <c r="N63" i="69"/>
  <c r="L63" i="69"/>
  <c r="J63" i="69"/>
  <c r="B63" i="69"/>
  <c r="Z62" i="69"/>
  <c r="X62" i="69"/>
  <c r="N62" i="69"/>
  <c r="L62" i="69"/>
  <c r="B62" i="69"/>
  <c r="Z61" i="69"/>
  <c r="X61" i="69"/>
  <c r="N61" i="69"/>
  <c r="L61" i="69"/>
  <c r="J61" i="69"/>
  <c r="B61" i="69"/>
  <c r="Z60" i="69"/>
  <c r="X60" i="69"/>
  <c r="N60" i="69"/>
  <c r="L60" i="69"/>
  <c r="B60" i="69"/>
  <c r="Z59" i="69"/>
  <c r="X59" i="69"/>
  <c r="V59" i="69"/>
  <c r="N59" i="69"/>
  <c r="L59" i="69"/>
  <c r="B59" i="69"/>
  <c r="Z58" i="69"/>
  <c r="X58" i="69"/>
  <c r="N58" i="69"/>
  <c r="L58" i="69"/>
  <c r="B58" i="69"/>
  <c r="Z57" i="69"/>
  <c r="X57" i="69"/>
  <c r="V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J55" i="69"/>
  <c r="B55" i="69"/>
  <c r="Z54" i="69"/>
  <c r="X54" i="69"/>
  <c r="L54" i="69"/>
  <c r="N54" i="69" s="1"/>
  <c r="B54" i="69"/>
  <c r="T53" i="69"/>
  <c r="P53" i="69"/>
  <c r="H53" i="69"/>
  <c r="D53" i="69"/>
  <c r="L53" i="69" s="1"/>
  <c r="N53" i="69" s="1"/>
  <c r="Z51" i="69"/>
  <c r="P51" i="69"/>
  <c r="X51" i="69" s="1"/>
  <c r="N51" i="69"/>
  <c r="D51" i="69"/>
  <c r="L51" i="69" s="1"/>
  <c r="B51" i="69"/>
  <c r="Z50" i="69"/>
  <c r="X50" i="69"/>
  <c r="P50" i="69"/>
  <c r="N50" i="69"/>
  <c r="L50" i="69"/>
  <c r="D50" i="69"/>
  <c r="B50" i="69"/>
  <c r="Z49" i="69"/>
  <c r="P49" i="69"/>
  <c r="X49" i="69" s="1"/>
  <c r="N49" i="69"/>
  <c r="L49" i="69"/>
  <c r="D49" i="69"/>
  <c r="B49" i="69"/>
  <c r="Z48" i="69"/>
  <c r="P48" i="69"/>
  <c r="X48" i="69" s="1"/>
  <c r="N48" i="69"/>
  <c r="D48" i="69"/>
  <c r="L48" i="69" s="1"/>
  <c r="B48" i="69"/>
  <c r="Z47" i="69"/>
  <c r="X47" i="69"/>
  <c r="P47" i="69"/>
  <c r="N47" i="69"/>
  <c r="L47" i="69"/>
  <c r="D47" i="69"/>
  <c r="B47" i="69"/>
  <c r="Z46" i="69"/>
  <c r="P46" i="69"/>
  <c r="X46" i="69" s="1"/>
  <c r="N46" i="69"/>
  <c r="D46" i="69"/>
  <c r="L46" i="69" s="1"/>
  <c r="B46" i="69"/>
  <c r="Z45" i="69"/>
  <c r="X45" i="69"/>
  <c r="P45" i="69"/>
  <c r="N45" i="69"/>
  <c r="D45" i="69"/>
  <c r="L45" i="69" s="1"/>
  <c r="B45" i="69"/>
  <c r="Z44" i="69"/>
  <c r="X44" i="69"/>
  <c r="P44" i="69"/>
  <c r="N44" i="69"/>
  <c r="L44" i="69"/>
  <c r="D44" i="69"/>
  <c r="B44" i="69"/>
  <c r="Z43" i="69"/>
  <c r="P43" i="69"/>
  <c r="X43" i="69" s="1"/>
  <c r="N43" i="69"/>
  <c r="D43" i="69"/>
  <c r="L43" i="69" s="1"/>
  <c r="B43" i="69"/>
  <c r="Z42" i="69"/>
  <c r="X42" i="69"/>
  <c r="P42" i="69"/>
  <c r="N42" i="69"/>
  <c r="L42" i="69"/>
  <c r="D42" i="69"/>
  <c r="B42" i="69"/>
  <c r="Z41" i="69"/>
  <c r="P41" i="69"/>
  <c r="X41" i="69" s="1"/>
  <c r="N41" i="69"/>
  <c r="L41" i="69"/>
  <c r="D41" i="69"/>
  <c r="B41" i="69"/>
  <c r="Z40" i="69"/>
  <c r="P40" i="69"/>
  <c r="X40" i="69" s="1"/>
  <c r="N40" i="69"/>
  <c r="D40" i="69"/>
  <c r="L40" i="69" s="1"/>
  <c r="B40" i="69"/>
  <c r="Z39" i="69"/>
  <c r="X39" i="69"/>
  <c r="P39" i="69"/>
  <c r="N39" i="69"/>
  <c r="L39" i="69"/>
  <c r="D39" i="69"/>
  <c r="B39" i="69"/>
  <c r="Z38" i="69"/>
  <c r="P38" i="69"/>
  <c r="X38" i="69" s="1"/>
  <c r="N38" i="69"/>
  <c r="D38" i="69"/>
  <c r="L38" i="69" s="1"/>
  <c r="B38" i="69"/>
  <c r="Z37" i="69"/>
  <c r="X37" i="69"/>
  <c r="P37" i="69"/>
  <c r="N37" i="69"/>
  <c r="D37" i="69"/>
  <c r="L37" i="69" s="1"/>
  <c r="B37" i="69"/>
  <c r="Z36" i="69"/>
  <c r="X36" i="69"/>
  <c r="P36" i="69"/>
  <c r="N36" i="69"/>
  <c r="L36" i="69"/>
  <c r="D36" i="69"/>
  <c r="B36" i="69"/>
  <c r="Z35" i="69"/>
  <c r="P35" i="69"/>
  <c r="X35" i="69" s="1"/>
  <c r="N35" i="69"/>
  <c r="D35" i="69"/>
  <c r="L35" i="69" s="1"/>
  <c r="B35" i="69"/>
  <c r="Z34" i="69"/>
  <c r="X34" i="69"/>
  <c r="P34" i="69"/>
  <c r="N34" i="69"/>
  <c r="L34" i="69"/>
  <c r="D34" i="69"/>
  <c r="B34" i="69"/>
  <c r="Z33" i="69"/>
  <c r="P33" i="69"/>
  <c r="X33" i="69" s="1"/>
  <c r="N33" i="69"/>
  <c r="L33" i="69"/>
  <c r="D33" i="69"/>
  <c r="B33" i="69"/>
  <c r="Z32" i="69"/>
  <c r="P32" i="69"/>
  <c r="X32" i="69" s="1"/>
  <c r="N32" i="69"/>
  <c r="D32" i="69"/>
  <c r="L32" i="69" s="1"/>
  <c r="B32" i="69"/>
  <c r="Z31" i="69"/>
  <c r="X31" i="69"/>
  <c r="P31" i="69"/>
  <c r="N31" i="69"/>
  <c r="L31" i="69"/>
  <c r="D31" i="69"/>
  <c r="B31" i="69"/>
  <c r="Z30" i="69"/>
  <c r="P30" i="69"/>
  <c r="X30" i="69" s="1"/>
  <c r="N30" i="69"/>
  <c r="D30" i="69"/>
  <c r="L30" i="69" s="1"/>
  <c r="B30" i="69"/>
  <c r="Z29" i="69"/>
  <c r="X29" i="69"/>
  <c r="P29" i="69"/>
  <c r="N29" i="69"/>
  <c r="D29" i="69"/>
  <c r="L29" i="69" s="1"/>
  <c r="B29" i="69"/>
  <c r="Z28" i="69"/>
  <c r="X28" i="69"/>
  <c r="P28" i="69"/>
  <c r="N28" i="69"/>
  <c r="L28" i="69"/>
  <c r="D28" i="69"/>
  <c r="B28" i="69"/>
  <c r="Z27" i="69"/>
  <c r="P27" i="69"/>
  <c r="X27" i="69" s="1"/>
  <c r="N27" i="69"/>
  <c r="D27" i="69"/>
  <c r="L27" i="69" s="1"/>
  <c r="B27" i="69"/>
  <c r="Z26" i="69"/>
  <c r="X26" i="69"/>
  <c r="P26" i="69"/>
  <c r="N26" i="69"/>
  <c r="L26" i="69"/>
  <c r="D26" i="69"/>
  <c r="B26" i="69"/>
  <c r="Z25" i="69"/>
  <c r="P25" i="69"/>
  <c r="X25" i="69" s="1"/>
  <c r="N25" i="69"/>
  <c r="L25" i="69"/>
  <c r="D25" i="69"/>
  <c r="B25" i="69"/>
  <c r="Z24" i="69"/>
  <c r="P24" i="69"/>
  <c r="X24" i="69" s="1"/>
  <c r="N24" i="69"/>
  <c r="D24" i="69"/>
  <c r="L24" i="69" s="1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X21" i="69"/>
  <c r="P21" i="69"/>
  <c r="N21" i="69"/>
  <c r="D21" i="69"/>
  <c r="L21" i="69" s="1"/>
  <c r="B21" i="69"/>
  <c r="Z20" i="69"/>
  <c r="X20" i="69"/>
  <c r="P20" i="69"/>
  <c r="N20" i="69"/>
  <c r="L20" i="69"/>
  <c r="D20" i="69"/>
  <c r="B20" i="69"/>
  <c r="Z19" i="69"/>
  <c r="P19" i="69"/>
  <c r="X19" i="69" s="1"/>
  <c r="N19" i="69"/>
  <c r="D19" i="69"/>
  <c r="L19" i="69" s="1"/>
  <c r="B19" i="69"/>
  <c r="Z18" i="69"/>
  <c r="X18" i="69"/>
  <c r="P18" i="69"/>
  <c r="N18" i="69"/>
  <c r="L18" i="69"/>
  <c r="D18" i="69"/>
  <c r="B18" i="69"/>
  <c r="Z17" i="69"/>
  <c r="P17" i="69"/>
  <c r="X17" i="69" s="1"/>
  <c r="N17" i="69"/>
  <c r="L17" i="69"/>
  <c r="D17" i="69"/>
  <c r="B17" i="69"/>
  <c r="Z16" i="69"/>
  <c r="P16" i="69"/>
  <c r="P12" i="69" s="1"/>
  <c r="N16" i="69"/>
  <c r="D16" i="69"/>
  <c r="L16" i="69" s="1"/>
  <c r="B16" i="69"/>
  <c r="Z15" i="69"/>
  <c r="X15" i="69"/>
  <c r="P15" i="69"/>
  <c r="N15" i="69"/>
  <c r="L15" i="69"/>
  <c r="D15" i="69"/>
  <c r="B15" i="69"/>
  <c r="Z14" i="69"/>
  <c r="P14" i="69"/>
  <c r="X14" i="69" s="1"/>
  <c r="N14" i="69"/>
  <c r="D14" i="69"/>
  <c r="L14" i="69" s="1"/>
  <c r="B14" i="69"/>
  <c r="Z13" i="69"/>
  <c r="X13" i="69"/>
  <c r="P13" i="69"/>
  <c r="D13" i="69"/>
  <c r="L13" i="69" s="1"/>
  <c r="N13" i="69" s="1"/>
  <c r="B13" i="69"/>
  <c r="T12" i="69"/>
  <c r="V142" i="69" s="1"/>
  <c r="H12" i="69"/>
  <c r="D12" i="69"/>
  <c r="F115" i="69" s="1"/>
  <c r="D6" i="69"/>
  <c r="D4" i="69"/>
  <c r="Z76" i="67"/>
  <c r="X76" i="67"/>
  <c r="N76" i="67"/>
  <c r="L76" i="67"/>
  <c r="Z72" i="67"/>
  <c r="T72" i="67"/>
  <c r="P72" i="67"/>
  <c r="X72" i="67" s="1"/>
  <c r="L72" i="67"/>
  <c r="H72" i="67"/>
  <c r="N72" i="67" s="1"/>
  <c r="D72" i="67"/>
  <c r="Z70" i="67"/>
  <c r="X70" i="67"/>
  <c r="N70" i="67"/>
  <c r="L70" i="67"/>
  <c r="B70" i="67"/>
  <c r="Z69" i="67"/>
  <c r="V69" i="67"/>
  <c r="T69" i="67"/>
  <c r="P69" i="67"/>
  <c r="N69" i="67"/>
  <c r="J69" i="67"/>
  <c r="H69" i="67"/>
  <c r="D69" i="67"/>
  <c r="L69" i="67" s="1"/>
  <c r="B69" i="67"/>
  <c r="Z68" i="67"/>
  <c r="X68" i="67"/>
  <c r="V68" i="67"/>
  <c r="N68" i="67"/>
  <c r="L68" i="67"/>
  <c r="J68" i="67"/>
  <c r="B68" i="67"/>
  <c r="X67" i="67"/>
  <c r="Z67" i="67" s="1"/>
  <c r="T67" i="67"/>
  <c r="P67" i="67"/>
  <c r="H67" i="67"/>
  <c r="D67" i="67"/>
  <c r="B67" i="67"/>
  <c r="Z66" i="67"/>
  <c r="X66" i="67"/>
  <c r="N66" i="67"/>
  <c r="L66" i="67"/>
  <c r="F66" i="67"/>
  <c r="B66" i="67"/>
  <c r="Z65" i="67"/>
  <c r="X65" i="67"/>
  <c r="N65" i="67"/>
  <c r="L65" i="67"/>
  <c r="B65" i="67"/>
  <c r="V64" i="67"/>
  <c r="T64" i="67"/>
  <c r="P64" i="67"/>
  <c r="L64" i="67"/>
  <c r="N64" i="67" s="1"/>
  <c r="H64" i="67"/>
  <c r="D64" i="67"/>
  <c r="B64" i="67"/>
  <c r="Z63" i="67"/>
  <c r="X63" i="67"/>
  <c r="V63" i="67"/>
  <c r="N63" i="67"/>
  <c r="L63" i="67"/>
  <c r="J63" i="67"/>
  <c r="B63" i="67"/>
  <c r="Z62" i="67"/>
  <c r="X62" i="67"/>
  <c r="V62" i="67"/>
  <c r="N62" i="67"/>
  <c r="L62" i="67"/>
  <c r="B62" i="67"/>
  <c r="Z61" i="67"/>
  <c r="X61" i="67"/>
  <c r="N61" i="67"/>
  <c r="L61" i="67"/>
  <c r="B61" i="67"/>
  <c r="V60" i="67"/>
  <c r="T60" i="67"/>
  <c r="P60" i="67"/>
  <c r="X60" i="67" s="1"/>
  <c r="Z60" i="67" s="1"/>
  <c r="N60" i="67"/>
  <c r="J60" i="67"/>
  <c r="H60" i="67"/>
  <c r="D60" i="67"/>
  <c r="L60" i="67" s="1"/>
  <c r="B60" i="67"/>
  <c r="X59" i="67"/>
  <c r="Z59" i="67" s="1"/>
  <c r="L59" i="67"/>
  <c r="N59" i="67" s="1"/>
  <c r="J59" i="67"/>
  <c r="B59" i="67"/>
  <c r="V58" i="67"/>
  <c r="T58" i="67"/>
  <c r="P58" i="67"/>
  <c r="X58" i="67" s="1"/>
  <c r="Z58" i="67" s="1"/>
  <c r="L58" i="67"/>
  <c r="J58" i="67"/>
  <c r="H58" i="67"/>
  <c r="D58" i="67"/>
  <c r="B58" i="67"/>
  <c r="Z57" i="67"/>
  <c r="X57" i="67"/>
  <c r="V57" i="67"/>
  <c r="L57" i="67"/>
  <c r="N57" i="67" s="1"/>
  <c r="B57" i="67"/>
  <c r="Z56" i="67"/>
  <c r="X56" i="67"/>
  <c r="V56" i="67"/>
  <c r="N56" i="67"/>
  <c r="L56" i="67"/>
  <c r="J56" i="67"/>
  <c r="B56" i="67"/>
  <c r="V55" i="67"/>
  <c r="T55" i="67"/>
  <c r="P55" i="67"/>
  <c r="X55" i="67" s="1"/>
  <c r="Z55" i="67" s="1"/>
  <c r="H55" i="67"/>
  <c r="D55" i="67"/>
  <c r="B55" i="67"/>
  <c r="X54" i="67"/>
  <c r="Z54" i="67" s="1"/>
  <c r="N54" i="67"/>
  <c r="L54" i="67"/>
  <c r="J54" i="67"/>
  <c r="B54" i="67"/>
  <c r="T53" i="67"/>
  <c r="P53" i="67"/>
  <c r="L53" i="67"/>
  <c r="J53" i="67"/>
  <c r="H53" i="67"/>
  <c r="N53" i="67" s="1"/>
  <c r="D53" i="67"/>
  <c r="B53" i="67"/>
  <c r="Z52" i="67"/>
  <c r="X52" i="67"/>
  <c r="V52" i="67"/>
  <c r="N52" i="67"/>
  <c r="L52" i="67"/>
  <c r="B52" i="67"/>
  <c r="V51" i="67"/>
  <c r="T51" i="67"/>
  <c r="Z51" i="67" s="1"/>
  <c r="P51" i="67"/>
  <c r="X51" i="67" s="1"/>
  <c r="H51" i="67"/>
  <c r="D51" i="67"/>
  <c r="B51" i="67"/>
  <c r="Z50" i="67"/>
  <c r="X50" i="67"/>
  <c r="L50" i="67"/>
  <c r="N50" i="67" s="1"/>
  <c r="B50" i="67"/>
  <c r="Z49" i="67"/>
  <c r="X49" i="67"/>
  <c r="T49" i="67"/>
  <c r="P49" i="67"/>
  <c r="J49" i="67"/>
  <c r="H49" i="67"/>
  <c r="D49" i="67"/>
  <c r="L49" i="67" s="1"/>
  <c r="N49" i="67" s="1"/>
  <c r="B49" i="67"/>
  <c r="X48" i="67"/>
  <c r="Z48" i="67" s="1"/>
  <c r="V48" i="67"/>
  <c r="N48" i="67"/>
  <c r="L48" i="67"/>
  <c r="J48" i="67"/>
  <c r="B48" i="67"/>
  <c r="V47" i="67"/>
  <c r="T47" i="67"/>
  <c r="P47" i="67"/>
  <c r="X47" i="67" s="1"/>
  <c r="N47" i="67"/>
  <c r="J47" i="67"/>
  <c r="H47" i="67"/>
  <c r="D47" i="67"/>
  <c r="L47" i="67" s="1"/>
  <c r="B47" i="67"/>
  <c r="Z46" i="67"/>
  <c r="X46" i="67"/>
  <c r="N46" i="67"/>
  <c r="L46" i="67"/>
  <c r="B46" i="67"/>
  <c r="Z45" i="67"/>
  <c r="X45" i="67"/>
  <c r="V45" i="67"/>
  <c r="N45" i="67"/>
  <c r="L45" i="67"/>
  <c r="B45" i="67"/>
  <c r="X44" i="67"/>
  <c r="Z44" i="67" s="1"/>
  <c r="V44" i="67"/>
  <c r="N44" i="67"/>
  <c r="L44" i="67"/>
  <c r="J44" i="67"/>
  <c r="B44" i="67"/>
  <c r="Z43" i="67"/>
  <c r="X43" i="67"/>
  <c r="V43" i="67"/>
  <c r="N43" i="67"/>
  <c r="L43" i="67"/>
  <c r="B43" i="67"/>
  <c r="Z42" i="67"/>
  <c r="X42" i="67"/>
  <c r="V42" i="67"/>
  <c r="N42" i="67"/>
  <c r="L42" i="67"/>
  <c r="B42" i="67"/>
  <c r="X41" i="67"/>
  <c r="Z41" i="67" s="1"/>
  <c r="L41" i="67"/>
  <c r="N41" i="67" s="1"/>
  <c r="J41" i="67"/>
  <c r="B41" i="67"/>
  <c r="Z40" i="67"/>
  <c r="X40" i="67"/>
  <c r="V40" i="67"/>
  <c r="L40" i="67"/>
  <c r="N40" i="67" s="1"/>
  <c r="J40" i="67"/>
  <c r="B40" i="67"/>
  <c r="Z39" i="67"/>
  <c r="X39" i="67"/>
  <c r="V39" i="67"/>
  <c r="N39" i="67"/>
  <c r="L39" i="67"/>
  <c r="J39" i="67"/>
  <c r="B39" i="67"/>
  <c r="Z38" i="67"/>
  <c r="X38" i="67"/>
  <c r="N38" i="67"/>
  <c r="L38" i="67"/>
  <c r="J38" i="67"/>
  <c r="B38" i="67"/>
  <c r="Z37" i="67"/>
  <c r="X37" i="67"/>
  <c r="V37" i="67"/>
  <c r="N37" i="67"/>
  <c r="L37" i="67"/>
  <c r="B37" i="67"/>
  <c r="T36" i="67"/>
  <c r="P36" i="67"/>
  <c r="H36" i="67"/>
  <c r="D36" i="67"/>
  <c r="B36" i="67"/>
  <c r="X35" i="67"/>
  <c r="Z35" i="67" s="1"/>
  <c r="V35" i="67"/>
  <c r="L35" i="67"/>
  <c r="N35" i="67" s="1"/>
  <c r="J35" i="67"/>
  <c r="B35" i="67"/>
  <c r="X34" i="67"/>
  <c r="Z34" i="67" s="1"/>
  <c r="L34" i="67"/>
  <c r="N34" i="67" s="1"/>
  <c r="J34" i="67"/>
  <c r="B34" i="67"/>
  <c r="Z33" i="67"/>
  <c r="X33" i="67"/>
  <c r="V33" i="67"/>
  <c r="L33" i="67"/>
  <c r="N33" i="67" s="1"/>
  <c r="B33" i="67"/>
  <c r="Z32" i="67"/>
  <c r="X32" i="67"/>
  <c r="V32" i="67"/>
  <c r="N32" i="67"/>
  <c r="L32" i="67"/>
  <c r="J32" i="67"/>
  <c r="B32" i="67"/>
  <c r="X31" i="67"/>
  <c r="Z31" i="67" s="1"/>
  <c r="V31" i="67"/>
  <c r="L31" i="67"/>
  <c r="N31" i="67" s="1"/>
  <c r="J31" i="67"/>
  <c r="B31" i="67"/>
  <c r="X30" i="67"/>
  <c r="Z30" i="67" s="1"/>
  <c r="V30" i="67"/>
  <c r="L30" i="67"/>
  <c r="N30" i="67" s="1"/>
  <c r="B30" i="67"/>
  <c r="X29" i="67"/>
  <c r="Z29" i="67" s="1"/>
  <c r="L29" i="67"/>
  <c r="N29" i="67" s="1"/>
  <c r="J29" i="67"/>
  <c r="B29" i="67"/>
  <c r="X28" i="67"/>
  <c r="Z28" i="67" s="1"/>
  <c r="V28" i="67"/>
  <c r="L28" i="67"/>
  <c r="N28" i="67" s="1"/>
  <c r="J28" i="67"/>
  <c r="B28" i="67"/>
  <c r="X27" i="67"/>
  <c r="Z27" i="67" s="1"/>
  <c r="V27" i="67"/>
  <c r="L27" i="67"/>
  <c r="N27" i="67" s="1"/>
  <c r="J27" i="67"/>
  <c r="B27" i="67"/>
  <c r="T26" i="67"/>
  <c r="P26" i="67"/>
  <c r="H26" i="67"/>
  <c r="D26" i="67"/>
  <c r="L26" i="67" s="1"/>
  <c r="B26" i="67"/>
  <c r="T25" i="67"/>
  <c r="P25" i="67"/>
  <c r="H25" i="67"/>
  <c r="D25" i="67"/>
  <c r="V23" i="67"/>
  <c r="T23" i="67"/>
  <c r="F23" i="67"/>
  <c r="Z21" i="67"/>
  <c r="X21" i="67"/>
  <c r="N21" i="67"/>
  <c r="L21" i="67"/>
  <c r="J21" i="67"/>
  <c r="B21" i="67"/>
  <c r="Z20" i="67"/>
  <c r="X20" i="67"/>
  <c r="V20" i="67"/>
  <c r="L20" i="67"/>
  <c r="N20" i="67" s="1"/>
  <c r="J20" i="67"/>
  <c r="B20" i="67"/>
  <c r="X19" i="67"/>
  <c r="V19" i="67"/>
  <c r="T19" i="67"/>
  <c r="P19" i="67"/>
  <c r="L19" i="67"/>
  <c r="N19" i="67" s="1"/>
  <c r="H19" i="67"/>
  <c r="D19" i="67"/>
  <c r="Z17" i="67"/>
  <c r="X17" i="67"/>
  <c r="P17" i="67"/>
  <c r="N17" i="67"/>
  <c r="D17" i="67"/>
  <c r="L17" i="67" s="1"/>
  <c r="B17" i="67"/>
  <c r="Z16" i="67"/>
  <c r="X16" i="67"/>
  <c r="P16" i="67"/>
  <c r="N16" i="67"/>
  <c r="L16" i="67"/>
  <c r="D16" i="67"/>
  <c r="B16" i="67"/>
  <c r="Z15" i="67"/>
  <c r="P15" i="67"/>
  <c r="X15" i="67" s="1"/>
  <c r="N15" i="67"/>
  <c r="D15" i="67"/>
  <c r="L15" i="67" s="1"/>
  <c r="B15" i="67"/>
  <c r="X14" i="67"/>
  <c r="Z14" i="67" s="1"/>
  <c r="P14" i="67"/>
  <c r="N14" i="67"/>
  <c r="L14" i="67"/>
  <c r="D14" i="67"/>
  <c r="B14" i="67"/>
  <c r="Z13" i="67"/>
  <c r="P13" i="67"/>
  <c r="N13" i="67"/>
  <c r="L13" i="67"/>
  <c r="D13" i="67"/>
  <c r="B13" i="67"/>
  <c r="T12" i="67"/>
  <c r="V59" i="67" s="1"/>
  <c r="H12" i="67"/>
  <c r="D12" i="67"/>
  <c r="D6" i="67"/>
  <c r="D4" i="67"/>
  <c r="X122" i="66"/>
  <c r="Z122" i="66" s="1"/>
  <c r="N122" i="66"/>
  <c r="L122" i="66"/>
  <c r="Z118" i="66"/>
  <c r="X118" i="66"/>
  <c r="V118" i="66"/>
  <c r="P118" i="66"/>
  <c r="N118" i="66"/>
  <c r="D118" i="66"/>
  <c r="L118" i="66" s="1"/>
  <c r="B118" i="66"/>
  <c r="X117" i="66"/>
  <c r="Z117" i="66" s="1"/>
  <c r="V117" i="66"/>
  <c r="P117" i="66"/>
  <c r="N117" i="66"/>
  <c r="L117" i="66"/>
  <c r="D117" i="66"/>
  <c r="B117" i="66"/>
  <c r="V116" i="66"/>
  <c r="P116" i="66"/>
  <c r="L116" i="66"/>
  <c r="N116" i="66" s="1"/>
  <c r="D116" i="66"/>
  <c r="B116" i="66"/>
  <c r="T115" i="66"/>
  <c r="H115" i="66"/>
  <c r="D115" i="66"/>
  <c r="L115" i="66" s="1"/>
  <c r="N115" i="66" s="1"/>
  <c r="Z113" i="66"/>
  <c r="X113" i="66"/>
  <c r="V113" i="66"/>
  <c r="N113" i="66"/>
  <c r="L113" i="66"/>
  <c r="B113" i="66"/>
  <c r="X112" i="66"/>
  <c r="T112" i="66"/>
  <c r="Z112" i="66" s="1"/>
  <c r="P112" i="66"/>
  <c r="H112" i="66"/>
  <c r="N112" i="66" s="1"/>
  <c r="D112" i="66"/>
  <c r="L112" i="66" s="1"/>
  <c r="B112" i="66"/>
  <c r="X111" i="66"/>
  <c r="Z111" i="66" s="1"/>
  <c r="N111" i="66"/>
  <c r="L111" i="66"/>
  <c r="B111" i="66"/>
  <c r="Z110" i="66"/>
  <c r="X110" i="66"/>
  <c r="T110" i="66"/>
  <c r="P110" i="66"/>
  <c r="N110" i="66"/>
  <c r="H110" i="66"/>
  <c r="D110" i="66"/>
  <c r="L110" i="66" s="1"/>
  <c r="B110" i="66"/>
  <c r="Z109" i="66"/>
  <c r="X109" i="66"/>
  <c r="V109" i="66"/>
  <c r="L109" i="66"/>
  <c r="N109" i="66" s="1"/>
  <c r="B109" i="66"/>
  <c r="X108" i="66"/>
  <c r="Z108" i="66" s="1"/>
  <c r="V108" i="66"/>
  <c r="N108" i="66"/>
  <c r="L108" i="66"/>
  <c r="B108" i="66"/>
  <c r="X107" i="66"/>
  <c r="T107" i="66"/>
  <c r="P107" i="66"/>
  <c r="H107" i="66"/>
  <c r="D107" i="66"/>
  <c r="L107" i="66" s="1"/>
  <c r="B107" i="66"/>
  <c r="X106" i="66"/>
  <c r="Z106" i="66" s="1"/>
  <c r="N106" i="66"/>
  <c r="L106" i="66"/>
  <c r="B106" i="66"/>
  <c r="Z105" i="66"/>
  <c r="X105" i="66"/>
  <c r="V105" i="66"/>
  <c r="L105" i="66"/>
  <c r="N105" i="66" s="1"/>
  <c r="B105" i="66"/>
  <c r="X104" i="66"/>
  <c r="Z104" i="66" s="1"/>
  <c r="V104" i="66"/>
  <c r="N104" i="66"/>
  <c r="L104" i="66"/>
  <c r="B104" i="66"/>
  <c r="T103" i="66"/>
  <c r="P103" i="66"/>
  <c r="H103" i="66"/>
  <c r="D103" i="66"/>
  <c r="B103" i="66"/>
  <c r="X102" i="66"/>
  <c r="Z102" i="66" s="1"/>
  <c r="N102" i="66"/>
  <c r="L102" i="66"/>
  <c r="J102" i="66"/>
  <c r="B102" i="66"/>
  <c r="Z101" i="66"/>
  <c r="X101" i="66"/>
  <c r="V101" i="66"/>
  <c r="L101" i="66"/>
  <c r="N101" i="66" s="1"/>
  <c r="B101" i="66"/>
  <c r="X100" i="66"/>
  <c r="V100" i="66"/>
  <c r="T100" i="66"/>
  <c r="Z100" i="66" s="1"/>
  <c r="P100" i="66"/>
  <c r="H100" i="66"/>
  <c r="D100" i="66"/>
  <c r="B100" i="66"/>
  <c r="Z99" i="66"/>
  <c r="X99" i="66"/>
  <c r="V99" i="66"/>
  <c r="L99" i="66"/>
  <c r="N99" i="66" s="1"/>
  <c r="B99" i="66"/>
  <c r="X98" i="66"/>
  <c r="Z98" i="66" s="1"/>
  <c r="N98" i="66"/>
  <c r="L98" i="66"/>
  <c r="B98" i="66"/>
  <c r="Z97" i="66"/>
  <c r="X97" i="66"/>
  <c r="V97" i="66"/>
  <c r="N97" i="66"/>
  <c r="L97" i="66"/>
  <c r="B97" i="66"/>
  <c r="X96" i="66"/>
  <c r="V96" i="66"/>
  <c r="T96" i="66"/>
  <c r="Z96" i="66" s="1"/>
  <c r="P96" i="66"/>
  <c r="H96" i="66"/>
  <c r="D96" i="66"/>
  <c r="B96" i="66"/>
  <c r="Z95" i="66"/>
  <c r="X95" i="66"/>
  <c r="V95" i="66"/>
  <c r="L95" i="66"/>
  <c r="N95" i="66" s="1"/>
  <c r="B95" i="66"/>
  <c r="T94" i="66"/>
  <c r="P94" i="66"/>
  <c r="N94" i="66"/>
  <c r="L94" i="66"/>
  <c r="H94" i="66"/>
  <c r="D94" i="66"/>
  <c r="B94" i="66"/>
  <c r="Z93" i="66"/>
  <c r="X93" i="66"/>
  <c r="V93" i="66"/>
  <c r="N93" i="66"/>
  <c r="L93" i="66"/>
  <c r="B93" i="66"/>
  <c r="Z92" i="66"/>
  <c r="X92" i="66"/>
  <c r="V92" i="66"/>
  <c r="N92" i="66"/>
  <c r="L92" i="66"/>
  <c r="J92" i="66"/>
  <c r="B92" i="66"/>
  <c r="V91" i="66"/>
  <c r="T91" i="66"/>
  <c r="P91" i="66"/>
  <c r="X91" i="66" s="1"/>
  <c r="Z91" i="66" s="1"/>
  <c r="L91" i="66"/>
  <c r="H91" i="66"/>
  <c r="N91" i="66" s="1"/>
  <c r="D91" i="66"/>
  <c r="B91" i="66"/>
  <c r="Z90" i="66"/>
  <c r="X90" i="66"/>
  <c r="V90" i="66"/>
  <c r="N90" i="66"/>
  <c r="L90" i="66"/>
  <c r="B90" i="66"/>
  <c r="X89" i="66"/>
  <c r="Z89" i="66" s="1"/>
  <c r="V89" i="66"/>
  <c r="N89" i="66"/>
  <c r="L89" i="66"/>
  <c r="B89" i="66"/>
  <c r="Z88" i="66"/>
  <c r="X88" i="66"/>
  <c r="T88" i="66"/>
  <c r="V88" i="66" s="1"/>
  <c r="P88" i="66"/>
  <c r="J88" i="66"/>
  <c r="H88" i="66"/>
  <c r="D88" i="66"/>
  <c r="L88" i="66" s="1"/>
  <c r="N88" i="66" s="1"/>
  <c r="B88" i="66"/>
  <c r="X87" i="66"/>
  <c r="Z87" i="66" s="1"/>
  <c r="N87" i="66"/>
  <c r="L87" i="66"/>
  <c r="B87" i="66"/>
  <c r="V86" i="66"/>
  <c r="T86" i="66"/>
  <c r="P86" i="66"/>
  <c r="X86" i="66" s="1"/>
  <c r="Z86" i="66" s="1"/>
  <c r="H86" i="66"/>
  <c r="N86" i="66" s="1"/>
  <c r="D86" i="66"/>
  <c r="L86" i="66" s="1"/>
  <c r="B86" i="66"/>
  <c r="Z85" i="66"/>
  <c r="X85" i="66"/>
  <c r="V85" i="66"/>
  <c r="L85" i="66"/>
  <c r="N85" i="66" s="1"/>
  <c r="B85" i="66"/>
  <c r="V84" i="66"/>
  <c r="T84" i="66"/>
  <c r="Z84" i="66" s="1"/>
  <c r="P84" i="66"/>
  <c r="X84" i="66" s="1"/>
  <c r="H84" i="66"/>
  <c r="D84" i="66"/>
  <c r="B84" i="66"/>
  <c r="Z83" i="66"/>
  <c r="X83" i="66"/>
  <c r="V83" i="66"/>
  <c r="N83" i="66"/>
  <c r="L83" i="66"/>
  <c r="B83" i="66"/>
  <c r="X82" i="66"/>
  <c r="Z82" i="66" s="1"/>
  <c r="N82" i="66"/>
  <c r="L82" i="66"/>
  <c r="B82" i="66"/>
  <c r="T81" i="66"/>
  <c r="P81" i="66"/>
  <c r="X81" i="66" s="1"/>
  <c r="H81" i="66"/>
  <c r="D81" i="66"/>
  <c r="L81" i="66" s="1"/>
  <c r="N81" i="66" s="1"/>
  <c r="B81" i="66"/>
  <c r="Z80" i="66"/>
  <c r="X80" i="66"/>
  <c r="V80" i="66"/>
  <c r="L80" i="66"/>
  <c r="N80" i="66" s="1"/>
  <c r="B80" i="66"/>
  <c r="V79" i="66"/>
  <c r="T79" i="66"/>
  <c r="P79" i="66"/>
  <c r="X79" i="66" s="1"/>
  <c r="Z79" i="66" s="1"/>
  <c r="L79" i="66"/>
  <c r="H79" i="66"/>
  <c r="D79" i="66"/>
  <c r="B79" i="66"/>
  <c r="Z78" i="66"/>
  <c r="X78" i="66"/>
  <c r="V78" i="66"/>
  <c r="N78" i="66"/>
  <c r="L78" i="66"/>
  <c r="B78" i="66"/>
  <c r="Z77" i="66"/>
  <c r="X77" i="66"/>
  <c r="V77" i="66"/>
  <c r="N77" i="66"/>
  <c r="L77" i="66"/>
  <c r="B77" i="66"/>
  <c r="Z76" i="66"/>
  <c r="X76" i="66"/>
  <c r="V76" i="66"/>
  <c r="N76" i="66"/>
  <c r="L76" i="66"/>
  <c r="J76" i="66"/>
  <c r="B76" i="66"/>
  <c r="Z75" i="66"/>
  <c r="X75" i="66"/>
  <c r="V75" i="66"/>
  <c r="L75" i="66"/>
  <c r="N75" i="66" s="1"/>
  <c r="B75" i="66"/>
  <c r="Z74" i="66"/>
  <c r="X74" i="66"/>
  <c r="N74" i="66"/>
  <c r="L74" i="66"/>
  <c r="B74" i="66"/>
  <c r="Z73" i="66"/>
  <c r="X73" i="66"/>
  <c r="V73" i="66"/>
  <c r="L73" i="66"/>
  <c r="N73" i="66" s="1"/>
  <c r="B73" i="66"/>
  <c r="X72" i="66"/>
  <c r="Z72" i="66" s="1"/>
  <c r="V72" i="66"/>
  <c r="N72" i="66"/>
  <c r="L72" i="66"/>
  <c r="B72" i="66"/>
  <c r="Z71" i="66"/>
  <c r="X71" i="66"/>
  <c r="N71" i="66"/>
  <c r="L71" i="66"/>
  <c r="B71" i="66"/>
  <c r="Z70" i="66"/>
  <c r="X70" i="66"/>
  <c r="V70" i="66"/>
  <c r="L70" i="66"/>
  <c r="N70" i="66" s="1"/>
  <c r="B70" i="66"/>
  <c r="Z69" i="66"/>
  <c r="X69" i="66"/>
  <c r="V69" i="66"/>
  <c r="N69" i="66"/>
  <c r="L69" i="66"/>
  <c r="B69" i="66"/>
  <c r="Z68" i="66"/>
  <c r="X68" i="66"/>
  <c r="T68" i="66"/>
  <c r="V68" i="66" s="1"/>
  <c r="P68" i="66"/>
  <c r="J68" i="66"/>
  <c r="H68" i="66"/>
  <c r="D68" i="66"/>
  <c r="L68" i="66" s="1"/>
  <c r="N68" i="66" s="1"/>
  <c r="B68" i="66"/>
  <c r="X67" i="66"/>
  <c r="Z67" i="66" s="1"/>
  <c r="N67" i="66"/>
  <c r="L67" i="66"/>
  <c r="B67" i="66"/>
  <c r="Z66" i="66"/>
  <c r="X66" i="66"/>
  <c r="V66" i="66"/>
  <c r="L66" i="66"/>
  <c r="N66" i="66" s="1"/>
  <c r="B66" i="66"/>
  <c r="X65" i="66"/>
  <c r="Z65" i="66" s="1"/>
  <c r="V65" i="66"/>
  <c r="N65" i="66"/>
  <c r="L65" i="66"/>
  <c r="B65" i="66"/>
  <c r="Z64" i="66"/>
  <c r="X64" i="66"/>
  <c r="V64" i="66"/>
  <c r="N64" i="66"/>
  <c r="L64" i="66"/>
  <c r="B64" i="66"/>
  <c r="Z63" i="66"/>
  <c r="X63" i="66"/>
  <c r="V63" i="66"/>
  <c r="N63" i="66"/>
  <c r="L63" i="66"/>
  <c r="B63" i="66"/>
  <c r="X62" i="66"/>
  <c r="Z62" i="66" s="1"/>
  <c r="N62" i="66"/>
  <c r="L62" i="66"/>
  <c r="B62" i="66"/>
  <c r="Z61" i="66"/>
  <c r="X61" i="66"/>
  <c r="V61" i="66"/>
  <c r="L61" i="66"/>
  <c r="N61" i="66" s="1"/>
  <c r="B61" i="66"/>
  <c r="X60" i="66"/>
  <c r="Z60" i="66" s="1"/>
  <c r="V60" i="66"/>
  <c r="N60" i="66"/>
  <c r="L60" i="66"/>
  <c r="B60" i="66"/>
  <c r="X59" i="66"/>
  <c r="Z59" i="66" s="1"/>
  <c r="N59" i="66"/>
  <c r="L59" i="66"/>
  <c r="B59" i="66"/>
  <c r="Z58" i="66"/>
  <c r="X58" i="66"/>
  <c r="V58" i="66"/>
  <c r="L58" i="66"/>
  <c r="N58" i="66" s="1"/>
  <c r="B58" i="66"/>
  <c r="X57" i="66"/>
  <c r="V57" i="66"/>
  <c r="T57" i="66"/>
  <c r="Z57" i="66" s="1"/>
  <c r="P57" i="66"/>
  <c r="L57" i="66"/>
  <c r="H57" i="66"/>
  <c r="D57" i="66"/>
  <c r="B57" i="66"/>
  <c r="T56" i="66"/>
  <c r="P56" i="66"/>
  <c r="H56" i="66"/>
  <c r="D56" i="66"/>
  <c r="T54" i="66"/>
  <c r="V54" i="66" s="1"/>
  <c r="Z52" i="66"/>
  <c r="X52" i="66"/>
  <c r="V52" i="66"/>
  <c r="N52" i="66"/>
  <c r="L52" i="66"/>
  <c r="B52" i="66"/>
  <c r="Z51" i="66"/>
  <c r="X51" i="66"/>
  <c r="N51" i="66"/>
  <c r="L51" i="66"/>
  <c r="B51" i="66"/>
  <c r="Z50" i="66"/>
  <c r="X50" i="66"/>
  <c r="V50" i="66"/>
  <c r="N50" i="66"/>
  <c r="L50" i="66"/>
  <c r="B50" i="66"/>
  <c r="Z49" i="66"/>
  <c r="X49" i="66"/>
  <c r="V49" i="66"/>
  <c r="N49" i="66"/>
  <c r="L49" i="66"/>
  <c r="B49" i="66"/>
  <c r="Z48" i="66"/>
  <c r="X48" i="66"/>
  <c r="V48" i="66"/>
  <c r="N48" i="66"/>
  <c r="L48" i="66"/>
  <c r="B48" i="66"/>
  <c r="Z47" i="66"/>
  <c r="X47" i="66"/>
  <c r="V47" i="66"/>
  <c r="N47" i="66"/>
  <c r="L47" i="66"/>
  <c r="B47" i="66"/>
  <c r="Z46" i="66"/>
  <c r="X46" i="66"/>
  <c r="N46" i="66"/>
  <c r="L46" i="66"/>
  <c r="B46" i="66"/>
  <c r="Z45" i="66"/>
  <c r="X45" i="66"/>
  <c r="V45" i="66"/>
  <c r="N45" i="66"/>
  <c r="L45" i="66"/>
  <c r="B45" i="66"/>
  <c r="Z44" i="66"/>
  <c r="X44" i="66"/>
  <c r="V44" i="66"/>
  <c r="N44" i="66"/>
  <c r="L44" i="66"/>
  <c r="B44" i="66"/>
  <c r="Z43" i="66"/>
  <c r="X43" i="66"/>
  <c r="N43" i="66"/>
  <c r="L43" i="66"/>
  <c r="B43" i="66"/>
  <c r="Z42" i="66"/>
  <c r="X42" i="66"/>
  <c r="V42" i="66"/>
  <c r="N42" i="66"/>
  <c r="L42" i="66"/>
  <c r="B42" i="66"/>
  <c r="Z41" i="66"/>
  <c r="X41" i="66"/>
  <c r="V41" i="66"/>
  <c r="N41" i="66"/>
  <c r="L41" i="66"/>
  <c r="B41" i="66"/>
  <c r="Z40" i="66"/>
  <c r="X40" i="66"/>
  <c r="V40" i="66"/>
  <c r="N40" i="66"/>
  <c r="L40" i="66"/>
  <c r="B40" i="66"/>
  <c r="Z39" i="66"/>
  <c r="X39" i="66"/>
  <c r="V39" i="66"/>
  <c r="N39" i="66"/>
  <c r="L39" i="66"/>
  <c r="B39" i="66"/>
  <c r="Z38" i="66"/>
  <c r="X38" i="66"/>
  <c r="N38" i="66"/>
  <c r="L38" i="66"/>
  <c r="J38" i="66"/>
  <c r="B38" i="66"/>
  <c r="Z37" i="66"/>
  <c r="X37" i="66"/>
  <c r="V37" i="66"/>
  <c r="L37" i="66"/>
  <c r="N37" i="66" s="1"/>
  <c r="B37" i="66"/>
  <c r="V36" i="66"/>
  <c r="T36" i="66"/>
  <c r="P36" i="66"/>
  <c r="X36" i="66" s="1"/>
  <c r="H36" i="66"/>
  <c r="D36" i="66"/>
  <c r="Z34" i="66"/>
  <c r="X34" i="66"/>
  <c r="P34" i="66"/>
  <c r="N34" i="66"/>
  <c r="D34" i="66"/>
  <c r="L34" i="66" s="1"/>
  <c r="B34" i="66"/>
  <c r="Z33" i="66"/>
  <c r="X33" i="66"/>
  <c r="P33" i="66"/>
  <c r="N33" i="66"/>
  <c r="L33" i="66"/>
  <c r="D33" i="66"/>
  <c r="B33" i="66"/>
  <c r="Z32" i="66"/>
  <c r="P32" i="66"/>
  <c r="X32" i="66" s="1"/>
  <c r="N32" i="66"/>
  <c r="D32" i="66"/>
  <c r="L32" i="66" s="1"/>
  <c r="B32" i="66"/>
  <c r="Z31" i="66"/>
  <c r="X31" i="66"/>
  <c r="P31" i="66"/>
  <c r="N31" i="66"/>
  <c r="L31" i="66"/>
  <c r="D31" i="66"/>
  <c r="B31" i="66"/>
  <c r="Z30" i="66"/>
  <c r="P30" i="66"/>
  <c r="X30" i="66" s="1"/>
  <c r="N30" i="66"/>
  <c r="L30" i="66"/>
  <c r="D30" i="66"/>
  <c r="B30" i="66"/>
  <c r="Z29" i="66"/>
  <c r="P29" i="66"/>
  <c r="X29" i="66" s="1"/>
  <c r="N29" i="66"/>
  <c r="D29" i="66"/>
  <c r="L29" i="66" s="1"/>
  <c r="B29" i="66"/>
  <c r="Z28" i="66"/>
  <c r="X28" i="66"/>
  <c r="P28" i="66"/>
  <c r="N28" i="66"/>
  <c r="L28" i="66"/>
  <c r="D28" i="66"/>
  <c r="B28" i="66"/>
  <c r="Z27" i="66"/>
  <c r="P27" i="66"/>
  <c r="X27" i="66" s="1"/>
  <c r="N27" i="66"/>
  <c r="D27" i="66"/>
  <c r="L27" i="66" s="1"/>
  <c r="B27" i="66"/>
  <c r="Z26" i="66"/>
  <c r="X26" i="66"/>
  <c r="P26" i="66"/>
  <c r="N26" i="66"/>
  <c r="D26" i="66"/>
  <c r="L26" i="66" s="1"/>
  <c r="B26" i="66"/>
  <c r="Z25" i="66"/>
  <c r="X25" i="66"/>
  <c r="P25" i="66"/>
  <c r="N25" i="66"/>
  <c r="L25" i="66"/>
  <c r="D25" i="66"/>
  <c r="B25" i="66"/>
  <c r="Z24" i="66"/>
  <c r="P24" i="66"/>
  <c r="X24" i="66" s="1"/>
  <c r="N24" i="66"/>
  <c r="D24" i="66"/>
  <c r="L24" i="66" s="1"/>
  <c r="B24" i="66"/>
  <c r="Z23" i="66"/>
  <c r="X23" i="66"/>
  <c r="P23" i="66"/>
  <c r="N23" i="66"/>
  <c r="L23" i="66"/>
  <c r="D23" i="66"/>
  <c r="B23" i="66"/>
  <c r="Z22" i="66"/>
  <c r="P22" i="66"/>
  <c r="X22" i="66" s="1"/>
  <c r="N22" i="66"/>
  <c r="L22" i="66"/>
  <c r="D22" i="66"/>
  <c r="B22" i="66"/>
  <c r="Z21" i="66"/>
  <c r="P21" i="66"/>
  <c r="X21" i="66" s="1"/>
  <c r="N21" i="66"/>
  <c r="D21" i="66"/>
  <c r="L21" i="66" s="1"/>
  <c r="B21" i="66"/>
  <c r="Z20" i="66"/>
  <c r="X20" i="66"/>
  <c r="P20" i="66"/>
  <c r="N20" i="66"/>
  <c r="L20" i="66"/>
  <c r="D20" i="66"/>
  <c r="B20" i="66"/>
  <c r="Z19" i="66"/>
  <c r="P19" i="66"/>
  <c r="X19" i="66" s="1"/>
  <c r="N19" i="66"/>
  <c r="D19" i="66"/>
  <c r="L19" i="66" s="1"/>
  <c r="B19" i="66"/>
  <c r="Z18" i="66"/>
  <c r="X18" i="66"/>
  <c r="P18" i="66"/>
  <c r="N18" i="66"/>
  <c r="D18" i="66"/>
  <c r="L18" i="66" s="1"/>
  <c r="B18" i="66"/>
  <c r="Z17" i="66"/>
  <c r="X17" i="66"/>
  <c r="P17" i="66"/>
  <c r="N17" i="66"/>
  <c r="L17" i="66"/>
  <c r="D17" i="66"/>
  <c r="B17" i="66"/>
  <c r="Z16" i="66"/>
  <c r="P16" i="66"/>
  <c r="X16" i="66" s="1"/>
  <c r="N16" i="66"/>
  <c r="D16" i="66"/>
  <c r="L16" i="66" s="1"/>
  <c r="B16" i="66"/>
  <c r="Z15" i="66"/>
  <c r="X15" i="66"/>
  <c r="P15" i="66"/>
  <c r="N15" i="66"/>
  <c r="L15" i="66"/>
  <c r="D15" i="66"/>
  <c r="B15" i="66"/>
  <c r="Z14" i="66"/>
  <c r="P14" i="66"/>
  <c r="N14" i="66"/>
  <c r="L14" i="66"/>
  <c r="D14" i="66"/>
  <c r="B14" i="66"/>
  <c r="P13" i="66"/>
  <c r="X13" i="66" s="1"/>
  <c r="Z13" i="66" s="1"/>
  <c r="D13" i="66"/>
  <c r="B13" i="66"/>
  <c r="T12" i="66"/>
  <c r="V112" i="66" s="1"/>
  <c r="H12" i="66"/>
  <c r="J74" i="66" s="1"/>
  <c r="D6" i="66"/>
  <c r="D4" i="66"/>
  <c r="R74" i="65"/>
  <c r="J71" i="65"/>
  <c r="Z69" i="65"/>
  <c r="X69" i="65"/>
  <c r="V69" i="65"/>
  <c r="N69" i="65"/>
  <c r="L69" i="65"/>
  <c r="R67" i="65"/>
  <c r="Z65" i="65"/>
  <c r="X65" i="65"/>
  <c r="T65" i="65"/>
  <c r="P65" i="65"/>
  <c r="N65" i="65"/>
  <c r="J65" i="65"/>
  <c r="H65" i="65"/>
  <c r="D65" i="65"/>
  <c r="L65" i="65" s="1"/>
  <c r="Z63" i="65"/>
  <c r="X63" i="65"/>
  <c r="V63" i="65"/>
  <c r="N63" i="65"/>
  <c r="L63" i="65"/>
  <c r="B63" i="65"/>
  <c r="T62" i="65"/>
  <c r="Z62" i="65" s="1"/>
  <c r="R62" i="65"/>
  <c r="P62" i="65"/>
  <c r="H62" i="65"/>
  <c r="N62" i="65" s="1"/>
  <c r="D62" i="65"/>
  <c r="L62" i="65" s="1"/>
  <c r="B62" i="65"/>
  <c r="Z61" i="65"/>
  <c r="X61" i="65"/>
  <c r="R61" i="65"/>
  <c r="N61" i="65"/>
  <c r="L61" i="65"/>
  <c r="J61" i="65"/>
  <c r="B61" i="65"/>
  <c r="Z60" i="65"/>
  <c r="X60" i="65"/>
  <c r="R60" i="65"/>
  <c r="N60" i="65"/>
  <c r="L60" i="65"/>
  <c r="B60" i="65"/>
  <c r="Z59" i="65"/>
  <c r="X59" i="65"/>
  <c r="V59" i="65"/>
  <c r="N59" i="65"/>
  <c r="L59" i="65"/>
  <c r="B59" i="65"/>
  <c r="T58" i="65"/>
  <c r="Z58" i="65" s="1"/>
  <c r="R58" i="65"/>
  <c r="P58" i="65"/>
  <c r="H58" i="65"/>
  <c r="N58" i="65" s="1"/>
  <c r="D58" i="65"/>
  <c r="L58" i="65" s="1"/>
  <c r="B58" i="65"/>
  <c r="Z57" i="65"/>
  <c r="X57" i="65"/>
  <c r="R57" i="65"/>
  <c r="N57" i="65"/>
  <c r="L57" i="65"/>
  <c r="J57" i="65"/>
  <c r="B57" i="65"/>
  <c r="Z56" i="65"/>
  <c r="X56" i="65"/>
  <c r="R56" i="65"/>
  <c r="N56" i="65"/>
  <c r="L56" i="65"/>
  <c r="B56" i="65"/>
  <c r="V55" i="65"/>
  <c r="T55" i="65"/>
  <c r="Z55" i="65" s="1"/>
  <c r="R55" i="65"/>
  <c r="P55" i="65"/>
  <c r="X55" i="65" s="1"/>
  <c r="H55" i="65"/>
  <c r="N55" i="65" s="1"/>
  <c r="D55" i="65"/>
  <c r="B55" i="65"/>
  <c r="Z54" i="65"/>
  <c r="X54" i="65"/>
  <c r="N54" i="65"/>
  <c r="L54" i="65"/>
  <c r="B54" i="65"/>
  <c r="Z53" i="65"/>
  <c r="X53" i="65"/>
  <c r="R53" i="65"/>
  <c r="N53" i="65"/>
  <c r="L53" i="65"/>
  <c r="J53" i="65"/>
  <c r="B53" i="65"/>
  <c r="T52" i="65"/>
  <c r="Z52" i="65" s="1"/>
  <c r="P52" i="65"/>
  <c r="X52" i="65" s="1"/>
  <c r="N52" i="65"/>
  <c r="H52" i="65"/>
  <c r="D52" i="65"/>
  <c r="L52" i="65" s="1"/>
  <c r="B52" i="65"/>
  <c r="Z51" i="65"/>
  <c r="X51" i="65"/>
  <c r="N51" i="65"/>
  <c r="L51" i="65"/>
  <c r="J51" i="65"/>
  <c r="B51" i="65"/>
  <c r="Z50" i="65"/>
  <c r="T50" i="65"/>
  <c r="R50" i="65"/>
  <c r="P50" i="65"/>
  <c r="X50" i="65" s="1"/>
  <c r="L50" i="65"/>
  <c r="H50" i="65"/>
  <c r="N50" i="65" s="1"/>
  <c r="D50" i="65"/>
  <c r="B50" i="65"/>
  <c r="Z49" i="65"/>
  <c r="X49" i="65"/>
  <c r="V49" i="65"/>
  <c r="R49" i="65"/>
  <c r="N49" i="65"/>
  <c r="L49" i="65"/>
  <c r="B49" i="65"/>
  <c r="X48" i="65"/>
  <c r="T48" i="65"/>
  <c r="Z48" i="65" s="1"/>
  <c r="P48" i="65"/>
  <c r="L48" i="65"/>
  <c r="H48" i="65"/>
  <c r="N48" i="65" s="1"/>
  <c r="D48" i="65"/>
  <c r="B48" i="65"/>
  <c r="Z47" i="65"/>
  <c r="X47" i="65"/>
  <c r="V47" i="65"/>
  <c r="N47" i="65"/>
  <c r="L47" i="65"/>
  <c r="B47" i="65"/>
  <c r="T46" i="65"/>
  <c r="Z46" i="65" s="1"/>
  <c r="R46" i="65"/>
  <c r="P46" i="65"/>
  <c r="H46" i="65"/>
  <c r="N46" i="65" s="1"/>
  <c r="D46" i="65"/>
  <c r="B46" i="65"/>
  <c r="Z45" i="65"/>
  <c r="X45" i="65"/>
  <c r="R45" i="65"/>
  <c r="N45" i="65"/>
  <c r="L45" i="65"/>
  <c r="J45" i="65"/>
  <c r="B45" i="65"/>
  <c r="T44" i="65"/>
  <c r="Z44" i="65" s="1"/>
  <c r="P44" i="65"/>
  <c r="N44" i="65"/>
  <c r="H44" i="65"/>
  <c r="D44" i="65"/>
  <c r="L44" i="65" s="1"/>
  <c r="B44" i="65"/>
  <c r="Z43" i="65"/>
  <c r="X43" i="65"/>
  <c r="N43" i="65"/>
  <c r="L43" i="65"/>
  <c r="J43" i="65"/>
  <c r="B43" i="65"/>
  <c r="Z42" i="65"/>
  <c r="T42" i="65"/>
  <c r="R42" i="65"/>
  <c r="P42" i="65"/>
  <c r="X42" i="65" s="1"/>
  <c r="L42" i="65"/>
  <c r="H42" i="65"/>
  <c r="N42" i="65" s="1"/>
  <c r="D42" i="65"/>
  <c r="B42" i="65"/>
  <c r="Z41" i="65"/>
  <c r="X41" i="65"/>
  <c r="V41" i="65"/>
  <c r="R41" i="65"/>
  <c r="N41" i="65"/>
  <c r="L41" i="65"/>
  <c r="B41" i="65"/>
  <c r="Z40" i="65"/>
  <c r="X40" i="65"/>
  <c r="N40" i="65"/>
  <c r="L40" i="65"/>
  <c r="B40" i="65"/>
  <c r="Z39" i="65"/>
  <c r="X39" i="65"/>
  <c r="N39" i="65"/>
  <c r="L39" i="65"/>
  <c r="J39" i="65"/>
  <c r="B39" i="65"/>
  <c r="Z38" i="65"/>
  <c r="X38" i="65"/>
  <c r="N38" i="65"/>
  <c r="L38" i="65"/>
  <c r="B38" i="65"/>
  <c r="Z37" i="65"/>
  <c r="X37" i="65"/>
  <c r="R37" i="65"/>
  <c r="N37" i="65"/>
  <c r="L37" i="65"/>
  <c r="J37" i="65"/>
  <c r="B37" i="65"/>
  <c r="Z36" i="65"/>
  <c r="X36" i="65"/>
  <c r="R36" i="65"/>
  <c r="N36" i="65"/>
  <c r="L36" i="65"/>
  <c r="B36" i="65"/>
  <c r="Z35" i="65"/>
  <c r="X35" i="65"/>
  <c r="V35" i="65"/>
  <c r="N35" i="65"/>
  <c r="L35" i="65"/>
  <c r="B35" i="65"/>
  <c r="Z34" i="65"/>
  <c r="X34" i="65"/>
  <c r="R34" i="65"/>
  <c r="N34" i="65"/>
  <c r="L34" i="65"/>
  <c r="B34" i="65"/>
  <c r="Z33" i="65"/>
  <c r="X33" i="65"/>
  <c r="V33" i="65"/>
  <c r="R33" i="65"/>
  <c r="N33" i="65"/>
  <c r="L33" i="65"/>
  <c r="B33" i="65"/>
  <c r="Z32" i="65"/>
  <c r="X32" i="65"/>
  <c r="N32" i="65"/>
  <c r="L32" i="65"/>
  <c r="B32" i="65"/>
  <c r="Z31" i="65"/>
  <c r="X31" i="65"/>
  <c r="T31" i="65"/>
  <c r="P31" i="65"/>
  <c r="N31" i="65"/>
  <c r="J31" i="65"/>
  <c r="H31" i="65"/>
  <c r="D31" i="65"/>
  <c r="L31" i="65" s="1"/>
  <c r="B31" i="65"/>
  <c r="Z30" i="65"/>
  <c r="X30" i="65"/>
  <c r="R30" i="65"/>
  <c r="N30" i="65"/>
  <c r="L30" i="65"/>
  <c r="B30" i="65"/>
  <c r="Z29" i="65"/>
  <c r="X29" i="65"/>
  <c r="V29" i="65"/>
  <c r="R29" i="65"/>
  <c r="N29" i="65"/>
  <c r="L29" i="65"/>
  <c r="B29" i="65"/>
  <c r="Z28" i="65"/>
  <c r="X28" i="65"/>
  <c r="N28" i="65"/>
  <c r="L28" i="65"/>
  <c r="B28" i="65"/>
  <c r="Z27" i="65"/>
  <c r="X27" i="65"/>
  <c r="N27" i="65"/>
  <c r="L27" i="65"/>
  <c r="J27" i="65"/>
  <c r="B27" i="65"/>
  <c r="Z26" i="65"/>
  <c r="X26" i="65"/>
  <c r="N26" i="65"/>
  <c r="L26" i="65"/>
  <c r="B26" i="65"/>
  <c r="Z25" i="65"/>
  <c r="X25" i="65"/>
  <c r="R25" i="65"/>
  <c r="N25" i="65"/>
  <c r="L25" i="65"/>
  <c r="J25" i="65"/>
  <c r="B25" i="65"/>
  <c r="Z24" i="65"/>
  <c r="X24" i="65"/>
  <c r="R24" i="65"/>
  <c r="N24" i="65"/>
  <c r="L24" i="65"/>
  <c r="B24" i="65"/>
  <c r="Z23" i="65"/>
  <c r="X23" i="65"/>
  <c r="V23" i="65"/>
  <c r="N23" i="65"/>
  <c r="L23" i="65"/>
  <c r="B23" i="65"/>
  <c r="X22" i="65"/>
  <c r="T22" i="65"/>
  <c r="Z22" i="65" s="1"/>
  <c r="R22" i="65"/>
  <c r="P22" i="65"/>
  <c r="H22" i="65"/>
  <c r="N22" i="65" s="1"/>
  <c r="D22" i="65"/>
  <c r="L22" i="65" s="1"/>
  <c r="B22" i="65"/>
  <c r="T21" i="65"/>
  <c r="Z21" i="65" s="1"/>
  <c r="R21" i="65"/>
  <c r="P21" i="65"/>
  <c r="H21" i="65"/>
  <c r="N21" i="65" s="1"/>
  <c r="D21" i="65"/>
  <c r="L21" i="65" s="1"/>
  <c r="J19" i="65"/>
  <c r="Z17" i="65"/>
  <c r="X17" i="65"/>
  <c r="R17" i="65"/>
  <c r="N17" i="65"/>
  <c r="L17" i="65"/>
  <c r="J17" i="65"/>
  <c r="B17" i="65"/>
  <c r="Z16" i="65"/>
  <c r="X16" i="65"/>
  <c r="R16" i="65"/>
  <c r="N16" i="65"/>
  <c r="L16" i="65"/>
  <c r="B16" i="65"/>
  <c r="X15" i="65"/>
  <c r="V15" i="65"/>
  <c r="T15" i="65"/>
  <c r="Z15" i="65" s="1"/>
  <c r="R15" i="65"/>
  <c r="P15" i="65"/>
  <c r="P19" i="65" s="1"/>
  <c r="H15" i="65"/>
  <c r="N15" i="65" s="1"/>
  <c r="D15" i="65"/>
  <c r="Z13" i="65"/>
  <c r="X13" i="65"/>
  <c r="P13" i="65"/>
  <c r="N13" i="65"/>
  <c r="D13" i="65"/>
  <c r="L13" i="65" s="1"/>
  <c r="B13" i="65"/>
  <c r="X12" i="65"/>
  <c r="T12" i="65"/>
  <c r="V48" i="65" s="1"/>
  <c r="P12" i="65"/>
  <c r="R40" i="65" s="1"/>
  <c r="H12" i="65"/>
  <c r="J60" i="65" s="1"/>
  <c r="D12" i="65"/>
  <c r="D6" i="65"/>
  <c r="D4" i="65"/>
  <c r="Z106" i="64"/>
  <c r="X106" i="64"/>
  <c r="L106" i="64"/>
  <c r="N106" i="64" s="1"/>
  <c r="T102" i="64"/>
  <c r="P102" i="64"/>
  <c r="H102" i="64"/>
  <c r="D102" i="64"/>
  <c r="Z100" i="64"/>
  <c r="X100" i="64"/>
  <c r="N100" i="64"/>
  <c r="L100" i="64"/>
  <c r="F100" i="64"/>
  <c r="B100" i="64"/>
  <c r="T99" i="64"/>
  <c r="P99" i="64"/>
  <c r="N99" i="64"/>
  <c r="H99" i="64"/>
  <c r="D99" i="64"/>
  <c r="L99" i="64" s="1"/>
  <c r="B99" i="64"/>
  <c r="Z98" i="64"/>
  <c r="X98" i="64"/>
  <c r="N98" i="64"/>
  <c r="L98" i="64"/>
  <c r="J98" i="64"/>
  <c r="B98" i="64"/>
  <c r="Z97" i="64"/>
  <c r="X97" i="64"/>
  <c r="L97" i="64"/>
  <c r="N97" i="64" s="1"/>
  <c r="J97" i="64"/>
  <c r="B97" i="64"/>
  <c r="T96" i="64"/>
  <c r="P96" i="64"/>
  <c r="X96" i="64" s="1"/>
  <c r="Z96" i="64" s="1"/>
  <c r="L96" i="64"/>
  <c r="J96" i="64"/>
  <c r="H96" i="64"/>
  <c r="N96" i="64" s="1"/>
  <c r="D96" i="64"/>
  <c r="B96" i="64"/>
  <c r="Z95" i="64"/>
  <c r="X95" i="64"/>
  <c r="V95" i="64"/>
  <c r="N95" i="64"/>
  <c r="L95" i="64"/>
  <c r="B95" i="64"/>
  <c r="X94" i="64"/>
  <c r="Z94" i="64" s="1"/>
  <c r="N94" i="64"/>
  <c r="L94" i="64"/>
  <c r="J94" i="64"/>
  <c r="B94" i="64"/>
  <c r="Z93" i="64"/>
  <c r="X93" i="64"/>
  <c r="N93" i="64"/>
  <c r="L93" i="64"/>
  <c r="J93" i="64"/>
  <c r="B93" i="64"/>
  <c r="Z92" i="64"/>
  <c r="X92" i="64"/>
  <c r="L92" i="64"/>
  <c r="N92" i="64" s="1"/>
  <c r="B92" i="64"/>
  <c r="T91" i="64"/>
  <c r="P91" i="64"/>
  <c r="H91" i="64"/>
  <c r="D91" i="64"/>
  <c r="L91" i="64" s="1"/>
  <c r="N91" i="64" s="1"/>
  <c r="B91" i="64"/>
  <c r="X90" i="64"/>
  <c r="Z90" i="64" s="1"/>
  <c r="N90" i="64"/>
  <c r="L90" i="64"/>
  <c r="J90" i="64"/>
  <c r="B90" i="64"/>
  <c r="Z89" i="64"/>
  <c r="X89" i="64"/>
  <c r="N89" i="64"/>
  <c r="L89" i="64"/>
  <c r="J89" i="64"/>
  <c r="B89" i="64"/>
  <c r="T88" i="64"/>
  <c r="P88" i="64"/>
  <c r="X88" i="64" s="1"/>
  <c r="Z88" i="64" s="1"/>
  <c r="L88" i="64"/>
  <c r="J88" i="64"/>
  <c r="H88" i="64"/>
  <c r="D88" i="64"/>
  <c r="B88" i="64"/>
  <c r="Z87" i="64"/>
  <c r="X87" i="64"/>
  <c r="V87" i="64"/>
  <c r="L87" i="64"/>
  <c r="N87" i="64" s="1"/>
  <c r="B87" i="64"/>
  <c r="Z86" i="64"/>
  <c r="X86" i="64"/>
  <c r="N86" i="64"/>
  <c r="L86" i="64"/>
  <c r="J86" i="64"/>
  <c r="B86" i="64"/>
  <c r="Z85" i="64"/>
  <c r="T85" i="64"/>
  <c r="P85" i="64"/>
  <c r="X85" i="64" s="1"/>
  <c r="N85" i="64"/>
  <c r="J85" i="64"/>
  <c r="H85" i="64"/>
  <c r="D85" i="64"/>
  <c r="L85" i="64" s="1"/>
  <c r="B85" i="64"/>
  <c r="X84" i="64"/>
  <c r="Z84" i="64" s="1"/>
  <c r="N84" i="64"/>
  <c r="L84" i="64"/>
  <c r="B84" i="64"/>
  <c r="Z83" i="64"/>
  <c r="V83" i="64"/>
  <c r="T83" i="64"/>
  <c r="P83" i="64"/>
  <c r="X83" i="64" s="1"/>
  <c r="L83" i="64"/>
  <c r="J83" i="64"/>
  <c r="H83" i="64"/>
  <c r="N83" i="64" s="1"/>
  <c r="D83" i="64"/>
  <c r="B83" i="64"/>
  <c r="Z82" i="64"/>
  <c r="X82" i="64"/>
  <c r="V82" i="64"/>
  <c r="N82" i="64"/>
  <c r="L82" i="64"/>
  <c r="J82" i="64"/>
  <c r="B82" i="64"/>
  <c r="X81" i="64"/>
  <c r="V81" i="64"/>
  <c r="T81" i="64"/>
  <c r="Z81" i="64" s="1"/>
  <c r="P81" i="64"/>
  <c r="H81" i="64"/>
  <c r="N81" i="64" s="1"/>
  <c r="D81" i="64"/>
  <c r="B81" i="64"/>
  <c r="Z80" i="64"/>
  <c r="X80" i="64"/>
  <c r="L80" i="64"/>
  <c r="N80" i="64" s="1"/>
  <c r="B80" i="64"/>
  <c r="T79" i="64"/>
  <c r="P79" i="64"/>
  <c r="N79" i="64"/>
  <c r="H79" i="64"/>
  <c r="D79" i="64"/>
  <c r="L79" i="64" s="1"/>
  <c r="B79" i="64"/>
  <c r="Z78" i="64"/>
  <c r="X78" i="64"/>
  <c r="V78" i="64"/>
  <c r="N78" i="64"/>
  <c r="L78" i="64"/>
  <c r="J78" i="64"/>
  <c r="B78" i="64"/>
  <c r="Z77" i="64"/>
  <c r="X77" i="64"/>
  <c r="L77" i="64"/>
  <c r="N77" i="64" s="1"/>
  <c r="J77" i="64"/>
  <c r="B77" i="64"/>
  <c r="T76" i="64"/>
  <c r="P76" i="64"/>
  <c r="X76" i="64" s="1"/>
  <c r="Z76" i="64" s="1"/>
  <c r="L76" i="64"/>
  <c r="J76" i="64"/>
  <c r="H76" i="64"/>
  <c r="D76" i="64"/>
  <c r="B76" i="64"/>
  <c r="Z75" i="64"/>
  <c r="X75" i="64"/>
  <c r="V75" i="64"/>
  <c r="L75" i="64"/>
  <c r="N75" i="64" s="1"/>
  <c r="B75" i="64"/>
  <c r="X74" i="64"/>
  <c r="V74" i="64"/>
  <c r="T74" i="64"/>
  <c r="P74" i="64"/>
  <c r="H74" i="64"/>
  <c r="D74" i="64"/>
  <c r="B74" i="64"/>
  <c r="Z73" i="64"/>
  <c r="X73" i="64"/>
  <c r="V73" i="64"/>
  <c r="N73" i="64"/>
  <c r="L73" i="64"/>
  <c r="B73" i="64"/>
  <c r="X72" i="64"/>
  <c r="T72" i="64"/>
  <c r="Z72" i="64" s="1"/>
  <c r="P72" i="64"/>
  <c r="H72" i="64"/>
  <c r="N72" i="64" s="1"/>
  <c r="D72" i="64"/>
  <c r="L72" i="64" s="1"/>
  <c r="B72" i="64"/>
  <c r="X71" i="64"/>
  <c r="Z71" i="64" s="1"/>
  <c r="N71" i="64"/>
  <c r="L71" i="64"/>
  <c r="J71" i="64"/>
  <c r="B71" i="64"/>
  <c r="T70" i="64"/>
  <c r="P70" i="64"/>
  <c r="H70" i="64"/>
  <c r="D70" i="64"/>
  <c r="L70" i="64" s="1"/>
  <c r="N70" i="64" s="1"/>
  <c r="B70" i="64"/>
  <c r="Z69" i="64"/>
  <c r="X69" i="64"/>
  <c r="N69" i="64"/>
  <c r="L69" i="64"/>
  <c r="J69" i="64"/>
  <c r="B69" i="64"/>
  <c r="Z68" i="64"/>
  <c r="X68" i="64"/>
  <c r="N68" i="64"/>
  <c r="L68" i="64"/>
  <c r="B68" i="64"/>
  <c r="X67" i="64"/>
  <c r="Z67" i="64" s="1"/>
  <c r="N67" i="64"/>
  <c r="L67" i="64"/>
  <c r="J67" i="64"/>
  <c r="F67" i="64"/>
  <c r="B67" i="64"/>
  <c r="Z66" i="64"/>
  <c r="X66" i="64"/>
  <c r="V66" i="64"/>
  <c r="L66" i="64"/>
  <c r="N66" i="64" s="1"/>
  <c r="J66" i="64"/>
  <c r="B66" i="64"/>
  <c r="Z65" i="64"/>
  <c r="X65" i="64"/>
  <c r="V65" i="64"/>
  <c r="N65" i="64"/>
  <c r="L65" i="64"/>
  <c r="B65" i="64"/>
  <c r="X64" i="64"/>
  <c r="Z64" i="64" s="1"/>
  <c r="N64" i="64"/>
  <c r="L64" i="64"/>
  <c r="J64" i="64"/>
  <c r="B64" i="64"/>
  <c r="Z63" i="64"/>
  <c r="X63" i="64"/>
  <c r="V63" i="64"/>
  <c r="L63" i="64"/>
  <c r="N63" i="64" s="1"/>
  <c r="B63" i="64"/>
  <c r="Z62" i="64"/>
  <c r="X62" i="64"/>
  <c r="V62" i="64"/>
  <c r="N62" i="64"/>
  <c r="L62" i="64"/>
  <c r="J62" i="64"/>
  <c r="B62" i="64"/>
  <c r="Z61" i="64"/>
  <c r="X61" i="64"/>
  <c r="N61" i="64"/>
  <c r="L61" i="64"/>
  <c r="J61" i="64"/>
  <c r="B61" i="64"/>
  <c r="Z60" i="64"/>
  <c r="X60" i="64"/>
  <c r="L60" i="64"/>
  <c r="N60" i="64" s="1"/>
  <c r="B60" i="64"/>
  <c r="T59" i="64"/>
  <c r="P59" i="64"/>
  <c r="L59" i="64"/>
  <c r="N59" i="64" s="1"/>
  <c r="H59" i="64"/>
  <c r="D59" i="64"/>
  <c r="B59" i="64"/>
  <c r="X58" i="64"/>
  <c r="Z58" i="64" s="1"/>
  <c r="V58" i="64"/>
  <c r="N58" i="64"/>
  <c r="L58" i="64"/>
  <c r="J58" i="64"/>
  <c r="F58" i="64"/>
  <c r="B58" i="64"/>
  <c r="Z57" i="64"/>
  <c r="X57" i="64"/>
  <c r="L57" i="64"/>
  <c r="N57" i="64" s="1"/>
  <c r="J57" i="64"/>
  <c r="B57" i="64"/>
  <c r="Z56" i="64"/>
  <c r="X56" i="64"/>
  <c r="N56" i="64"/>
  <c r="L56" i="64"/>
  <c r="B56" i="64"/>
  <c r="X55" i="64"/>
  <c r="Z55" i="64" s="1"/>
  <c r="N55" i="64"/>
  <c r="L55" i="64"/>
  <c r="J55" i="64"/>
  <c r="F55" i="64"/>
  <c r="B55" i="64"/>
  <c r="Z54" i="64"/>
  <c r="X54" i="64"/>
  <c r="V54" i="64"/>
  <c r="L54" i="64"/>
  <c r="N54" i="64" s="1"/>
  <c r="J54" i="64"/>
  <c r="B54" i="64"/>
  <c r="X53" i="64"/>
  <c r="Z53" i="64" s="1"/>
  <c r="V53" i="64"/>
  <c r="L53" i="64"/>
  <c r="N53" i="64" s="1"/>
  <c r="B53" i="64"/>
  <c r="Z52" i="64"/>
  <c r="X52" i="64"/>
  <c r="N52" i="64"/>
  <c r="L52" i="64"/>
  <c r="J52" i="64"/>
  <c r="B52" i="64"/>
  <c r="Z51" i="64"/>
  <c r="X51" i="64"/>
  <c r="V51" i="64"/>
  <c r="L51" i="64"/>
  <c r="N51" i="64" s="1"/>
  <c r="B51" i="64"/>
  <c r="X50" i="64"/>
  <c r="V50" i="64"/>
  <c r="T50" i="64"/>
  <c r="Z50" i="64" s="1"/>
  <c r="P50" i="64"/>
  <c r="N50" i="64"/>
  <c r="H50" i="64"/>
  <c r="L50" i="64" s="1"/>
  <c r="D50" i="64"/>
  <c r="B50" i="64"/>
  <c r="T49" i="64"/>
  <c r="P49" i="64"/>
  <c r="X49" i="64" s="1"/>
  <c r="H49" i="64"/>
  <c r="D49" i="64"/>
  <c r="Z45" i="64"/>
  <c r="X45" i="64"/>
  <c r="V45" i="64"/>
  <c r="N45" i="64"/>
  <c r="L45" i="64"/>
  <c r="J45" i="64"/>
  <c r="B45" i="64"/>
  <c r="Z44" i="64"/>
  <c r="X44" i="64"/>
  <c r="N44" i="64"/>
  <c r="L44" i="64"/>
  <c r="J44" i="64"/>
  <c r="B44" i="64"/>
  <c r="Z43" i="64"/>
  <c r="X43" i="64"/>
  <c r="V43" i="64"/>
  <c r="N43" i="64"/>
  <c r="L43" i="64"/>
  <c r="F43" i="64"/>
  <c r="B43" i="64"/>
  <c r="Z42" i="64"/>
  <c r="X42" i="64"/>
  <c r="V42" i="64"/>
  <c r="N42" i="64"/>
  <c r="L42" i="64"/>
  <c r="J42" i="64"/>
  <c r="F42" i="64"/>
  <c r="B42" i="64"/>
  <c r="Z41" i="64"/>
  <c r="X41" i="64"/>
  <c r="N41" i="64"/>
  <c r="L41" i="64"/>
  <c r="J41" i="64"/>
  <c r="B41" i="64"/>
  <c r="Z40" i="64"/>
  <c r="X40" i="64"/>
  <c r="N40" i="64"/>
  <c r="L40" i="64"/>
  <c r="B40" i="64"/>
  <c r="Z39" i="64"/>
  <c r="X39" i="64"/>
  <c r="N39" i="64"/>
  <c r="L39" i="64"/>
  <c r="J39" i="64"/>
  <c r="B39" i="64"/>
  <c r="Z38" i="64"/>
  <c r="X38" i="64"/>
  <c r="V38" i="64"/>
  <c r="N38" i="64"/>
  <c r="L38" i="64"/>
  <c r="J38" i="64"/>
  <c r="B38" i="64"/>
  <c r="Z37" i="64"/>
  <c r="X37" i="64"/>
  <c r="V37" i="64"/>
  <c r="N37" i="64"/>
  <c r="L37" i="64"/>
  <c r="J37" i="64"/>
  <c r="B37" i="64"/>
  <c r="Z36" i="64"/>
  <c r="X36" i="64"/>
  <c r="N36" i="64"/>
  <c r="L36" i="64"/>
  <c r="J36" i="64"/>
  <c r="B36" i="64"/>
  <c r="Z35" i="64"/>
  <c r="X35" i="64"/>
  <c r="V35" i="64"/>
  <c r="N35" i="64"/>
  <c r="L35" i="64"/>
  <c r="B35" i="64"/>
  <c r="Z34" i="64"/>
  <c r="X34" i="64"/>
  <c r="V34" i="64"/>
  <c r="N34" i="64"/>
  <c r="L34" i="64"/>
  <c r="J34" i="64"/>
  <c r="B34" i="64"/>
  <c r="Z33" i="64"/>
  <c r="X33" i="64"/>
  <c r="N33" i="64"/>
  <c r="L33" i="64"/>
  <c r="J33" i="64"/>
  <c r="B33" i="64"/>
  <c r="Z32" i="64"/>
  <c r="X32" i="64"/>
  <c r="N32" i="64"/>
  <c r="L32" i="64"/>
  <c r="B32" i="64"/>
  <c r="Z31" i="64"/>
  <c r="X31" i="64"/>
  <c r="N31" i="64"/>
  <c r="L31" i="64"/>
  <c r="J31" i="64"/>
  <c r="B31" i="64"/>
  <c r="Z30" i="64"/>
  <c r="X30" i="64"/>
  <c r="V30" i="64"/>
  <c r="N30" i="64"/>
  <c r="L30" i="64"/>
  <c r="J30" i="64"/>
  <c r="B30" i="64"/>
  <c r="Z29" i="64"/>
  <c r="X29" i="64"/>
  <c r="V29" i="64"/>
  <c r="N29" i="64"/>
  <c r="L29" i="64"/>
  <c r="J29" i="64"/>
  <c r="B29" i="64"/>
  <c r="Z28" i="64"/>
  <c r="X28" i="64"/>
  <c r="N28" i="64"/>
  <c r="L28" i="64"/>
  <c r="J28" i="64"/>
  <c r="B28" i="64"/>
  <c r="Z27" i="64"/>
  <c r="X27" i="64"/>
  <c r="V27" i="64"/>
  <c r="N27" i="64"/>
  <c r="L27" i="64"/>
  <c r="B27" i="64"/>
  <c r="X26" i="64"/>
  <c r="Z26" i="64" s="1"/>
  <c r="V26" i="64"/>
  <c r="N26" i="64"/>
  <c r="L26" i="64"/>
  <c r="J26" i="64"/>
  <c r="B26" i="64"/>
  <c r="X25" i="64"/>
  <c r="Z25" i="64" s="1"/>
  <c r="T25" i="64"/>
  <c r="P25" i="64"/>
  <c r="N25" i="64"/>
  <c r="J25" i="64"/>
  <c r="H25" i="64"/>
  <c r="H47" i="64" s="1"/>
  <c r="D25" i="64"/>
  <c r="L25" i="64" s="1"/>
  <c r="Z23" i="64"/>
  <c r="X23" i="64"/>
  <c r="P23" i="64"/>
  <c r="N23" i="64"/>
  <c r="D23" i="64"/>
  <c r="L23" i="64" s="1"/>
  <c r="B23" i="64"/>
  <c r="Z22" i="64"/>
  <c r="P22" i="64"/>
  <c r="X22" i="64" s="1"/>
  <c r="N22" i="64"/>
  <c r="D22" i="64"/>
  <c r="L22" i="64" s="1"/>
  <c r="B22" i="64"/>
  <c r="Z21" i="64"/>
  <c r="X21" i="64"/>
  <c r="P21" i="64"/>
  <c r="N21" i="64"/>
  <c r="L21" i="64"/>
  <c r="D21" i="64"/>
  <c r="B21" i="64"/>
  <c r="Z20" i="64"/>
  <c r="P20" i="64"/>
  <c r="X20" i="64" s="1"/>
  <c r="L20" i="64"/>
  <c r="N20" i="64" s="1"/>
  <c r="D20" i="64"/>
  <c r="B20" i="64"/>
  <c r="Z19" i="64"/>
  <c r="X19" i="64"/>
  <c r="P19" i="64"/>
  <c r="N19" i="64"/>
  <c r="D19" i="64"/>
  <c r="L19" i="64" s="1"/>
  <c r="B19" i="64"/>
  <c r="Z18" i="64"/>
  <c r="P18" i="64"/>
  <c r="X18" i="64" s="1"/>
  <c r="N18" i="64"/>
  <c r="L18" i="64"/>
  <c r="D18" i="64"/>
  <c r="B18" i="64"/>
  <c r="Z17" i="64"/>
  <c r="P17" i="64"/>
  <c r="X17" i="64" s="1"/>
  <c r="N17" i="64"/>
  <c r="D17" i="64"/>
  <c r="L17" i="64" s="1"/>
  <c r="B17" i="64"/>
  <c r="Z16" i="64"/>
  <c r="X16" i="64"/>
  <c r="P16" i="64"/>
  <c r="N16" i="64"/>
  <c r="L16" i="64"/>
  <c r="D16" i="64"/>
  <c r="B16" i="64"/>
  <c r="Z15" i="64"/>
  <c r="P15" i="64"/>
  <c r="X15" i="64" s="1"/>
  <c r="N15" i="64"/>
  <c r="L15" i="64"/>
  <c r="D15" i="64"/>
  <c r="B15" i="64"/>
  <c r="Z14" i="64"/>
  <c r="P14" i="64"/>
  <c r="N14" i="64"/>
  <c r="D14" i="64"/>
  <c r="L14" i="64" s="1"/>
  <c r="B14" i="64"/>
  <c r="Z13" i="64"/>
  <c r="X13" i="64"/>
  <c r="P13" i="64"/>
  <c r="N13" i="64"/>
  <c r="L13" i="64"/>
  <c r="D13" i="64"/>
  <c r="B13" i="64"/>
  <c r="T12" i="64"/>
  <c r="V98" i="64" s="1"/>
  <c r="H12" i="64"/>
  <c r="J99" i="64" s="1"/>
  <c r="D12" i="64"/>
  <c r="F75" i="64" s="1"/>
  <c r="D6" i="64"/>
  <c r="D4" i="64"/>
  <c r="F70" i="63"/>
  <c r="V67" i="63"/>
  <c r="R67" i="63"/>
  <c r="F67" i="63"/>
  <c r="Z65" i="63"/>
  <c r="X65" i="63"/>
  <c r="V65" i="63"/>
  <c r="R65" i="63"/>
  <c r="N65" i="63"/>
  <c r="L65" i="63"/>
  <c r="F63" i="63"/>
  <c r="X61" i="63"/>
  <c r="T61" i="63"/>
  <c r="Z61" i="63" s="1"/>
  <c r="R61" i="63"/>
  <c r="P61" i="63"/>
  <c r="N61" i="63"/>
  <c r="H61" i="63"/>
  <c r="L61" i="63" s="1"/>
  <c r="D61" i="63"/>
  <c r="Z59" i="63"/>
  <c r="X59" i="63"/>
  <c r="R59" i="63"/>
  <c r="N59" i="63"/>
  <c r="L59" i="63"/>
  <c r="B59" i="63"/>
  <c r="X58" i="63"/>
  <c r="V58" i="63"/>
  <c r="T58" i="63"/>
  <c r="Z58" i="63" s="1"/>
  <c r="R58" i="63"/>
  <c r="P58" i="63"/>
  <c r="H58" i="63"/>
  <c r="D58" i="63"/>
  <c r="B58" i="63"/>
  <c r="Z57" i="63"/>
  <c r="X57" i="63"/>
  <c r="V57" i="63"/>
  <c r="N57" i="63"/>
  <c r="L57" i="63"/>
  <c r="B57" i="63"/>
  <c r="T56" i="63"/>
  <c r="R56" i="63"/>
  <c r="P56" i="63"/>
  <c r="N56" i="63"/>
  <c r="L56" i="63"/>
  <c r="H56" i="63"/>
  <c r="D56" i="63"/>
  <c r="B56" i="63"/>
  <c r="Z55" i="63"/>
  <c r="X55" i="63"/>
  <c r="V55" i="63"/>
  <c r="N55" i="63"/>
  <c r="L55" i="63"/>
  <c r="F55" i="63"/>
  <c r="B55" i="63"/>
  <c r="Z54" i="63"/>
  <c r="T54" i="63"/>
  <c r="P54" i="63"/>
  <c r="N54" i="63"/>
  <c r="H54" i="63"/>
  <c r="D54" i="63"/>
  <c r="L54" i="63" s="1"/>
  <c r="B54" i="63"/>
  <c r="Z53" i="63"/>
  <c r="X53" i="63"/>
  <c r="R53" i="63"/>
  <c r="N53" i="63"/>
  <c r="L53" i="63"/>
  <c r="B53" i="63"/>
  <c r="Z52" i="63"/>
  <c r="X52" i="63"/>
  <c r="V52" i="63"/>
  <c r="R52" i="63"/>
  <c r="N52" i="63"/>
  <c r="L52" i="63"/>
  <c r="F52" i="63"/>
  <c r="B52" i="63"/>
  <c r="X51" i="63"/>
  <c r="T51" i="63"/>
  <c r="Z51" i="63" s="1"/>
  <c r="R51" i="63"/>
  <c r="P51" i="63"/>
  <c r="H51" i="63"/>
  <c r="N51" i="63" s="1"/>
  <c r="F51" i="63"/>
  <c r="D51" i="63"/>
  <c r="B51" i="63"/>
  <c r="Z50" i="63"/>
  <c r="X50" i="63"/>
  <c r="N50" i="63"/>
  <c r="L50" i="63"/>
  <c r="F50" i="63"/>
  <c r="B50" i="63"/>
  <c r="Z49" i="63"/>
  <c r="X49" i="63"/>
  <c r="R49" i="63"/>
  <c r="N49" i="63"/>
  <c r="L49" i="63"/>
  <c r="B49" i="63"/>
  <c r="V48" i="63"/>
  <c r="T48" i="63"/>
  <c r="Z48" i="63" s="1"/>
  <c r="P48" i="63"/>
  <c r="X48" i="63" s="1"/>
  <c r="L48" i="63"/>
  <c r="H48" i="63"/>
  <c r="N48" i="63" s="1"/>
  <c r="F48" i="63"/>
  <c r="D48" i="63"/>
  <c r="B48" i="63"/>
  <c r="Z47" i="63"/>
  <c r="X47" i="63"/>
  <c r="R47" i="63"/>
  <c r="N47" i="63"/>
  <c r="L47" i="63"/>
  <c r="B47" i="63"/>
  <c r="T46" i="63"/>
  <c r="Z46" i="63" s="1"/>
  <c r="R46" i="63"/>
  <c r="P46" i="63"/>
  <c r="X46" i="63" s="1"/>
  <c r="L46" i="63"/>
  <c r="H46" i="63"/>
  <c r="N46" i="63" s="1"/>
  <c r="F46" i="63"/>
  <c r="D46" i="63"/>
  <c r="B46" i="63"/>
  <c r="Z45" i="63"/>
  <c r="X45" i="63"/>
  <c r="N45" i="63"/>
  <c r="L45" i="63"/>
  <c r="F45" i="63"/>
  <c r="B45" i="63"/>
  <c r="X44" i="63"/>
  <c r="T44" i="63"/>
  <c r="Z44" i="63" s="1"/>
  <c r="R44" i="63"/>
  <c r="P44" i="63"/>
  <c r="N44" i="63"/>
  <c r="H44" i="63"/>
  <c r="D44" i="63"/>
  <c r="L44" i="63" s="1"/>
  <c r="B44" i="63"/>
  <c r="Z43" i="63"/>
  <c r="X43" i="63"/>
  <c r="R43" i="63"/>
  <c r="N43" i="63"/>
  <c r="L43" i="63"/>
  <c r="F43" i="63"/>
  <c r="B43" i="63"/>
  <c r="T42" i="63"/>
  <c r="P42" i="63"/>
  <c r="N42" i="63"/>
  <c r="H42" i="63"/>
  <c r="D42" i="63"/>
  <c r="B42" i="63"/>
  <c r="Z41" i="63"/>
  <c r="X41" i="63"/>
  <c r="R41" i="63"/>
  <c r="N41" i="63"/>
  <c r="L41" i="63"/>
  <c r="B41" i="63"/>
  <c r="T40" i="63"/>
  <c r="Z40" i="63" s="1"/>
  <c r="R40" i="63"/>
  <c r="P40" i="63"/>
  <c r="H40" i="63"/>
  <c r="N40" i="63" s="1"/>
  <c r="F40" i="63"/>
  <c r="D40" i="63"/>
  <c r="L40" i="63" s="1"/>
  <c r="B40" i="63"/>
  <c r="Z39" i="63"/>
  <c r="X39" i="63"/>
  <c r="R39" i="63"/>
  <c r="N39" i="63"/>
  <c r="L39" i="63"/>
  <c r="F39" i="63"/>
  <c r="B39" i="63"/>
  <c r="Z38" i="63"/>
  <c r="X38" i="63"/>
  <c r="N38" i="63"/>
  <c r="L38" i="63"/>
  <c r="F38" i="63"/>
  <c r="B38" i="63"/>
  <c r="Z37" i="63"/>
  <c r="X37" i="63"/>
  <c r="R37" i="63"/>
  <c r="N37" i="63"/>
  <c r="L37" i="63"/>
  <c r="B37" i="63"/>
  <c r="Z36" i="63"/>
  <c r="X36" i="63"/>
  <c r="R36" i="63"/>
  <c r="N36" i="63"/>
  <c r="L36" i="63"/>
  <c r="F36" i="63"/>
  <c r="B36" i="63"/>
  <c r="Z35" i="63"/>
  <c r="X35" i="63"/>
  <c r="R35" i="63"/>
  <c r="N35" i="63"/>
  <c r="L35" i="63"/>
  <c r="F35" i="63"/>
  <c r="B35" i="63"/>
  <c r="Z34" i="63"/>
  <c r="X34" i="63"/>
  <c r="R34" i="63"/>
  <c r="N34" i="63"/>
  <c r="L34" i="63"/>
  <c r="B34" i="63"/>
  <c r="Z33" i="63"/>
  <c r="X33" i="63"/>
  <c r="N33" i="63"/>
  <c r="L33" i="63"/>
  <c r="F33" i="63"/>
  <c r="B33" i="63"/>
  <c r="Z32" i="63"/>
  <c r="X32" i="63"/>
  <c r="R32" i="63"/>
  <c r="N32" i="63"/>
  <c r="L32" i="63"/>
  <c r="F32" i="63"/>
  <c r="B32" i="63"/>
  <c r="Z31" i="63"/>
  <c r="X31" i="63"/>
  <c r="R31" i="63"/>
  <c r="N31" i="63"/>
  <c r="L31" i="63"/>
  <c r="F31" i="63"/>
  <c r="B31" i="63"/>
  <c r="Z30" i="63"/>
  <c r="X30" i="63"/>
  <c r="N30" i="63"/>
  <c r="L30" i="63"/>
  <c r="F30" i="63"/>
  <c r="B30" i="63"/>
  <c r="Z29" i="63"/>
  <c r="T29" i="63"/>
  <c r="X29" i="63" s="1"/>
  <c r="R29" i="63"/>
  <c r="P29" i="63"/>
  <c r="N29" i="63"/>
  <c r="H29" i="63"/>
  <c r="D29" i="63"/>
  <c r="L29" i="63" s="1"/>
  <c r="B29" i="63"/>
  <c r="Z28" i="63"/>
  <c r="X28" i="63"/>
  <c r="R28" i="63"/>
  <c r="N28" i="63"/>
  <c r="L28" i="63"/>
  <c r="F28" i="63"/>
  <c r="B28" i="63"/>
  <c r="Z27" i="63"/>
  <c r="X27" i="63"/>
  <c r="R27" i="63"/>
  <c r="N27" i="63"/>
  <c r="L27" i="63"/>
  <c r="F27" i="63"/>
  <c r="B27" i="63"/>
  <c r="Z26" i="63"/>
  <c r="X26" i="63"/>
  <c r="N26" i="63"/>
  <c r="L26" i="63"/>
  <c r="F26" i="63"/>
  <c r="B26" i="63"/>
  <c r="Z25" i="63"/>
  <c r="X25" i="63"/>
  <c r="R25" i="63"/>
  <c r="N25" i="63"/>
  <c r="L25" i="63"/>
  <c r="B25" i="63"/>
  <c r="Z24" i="63"/>
  <c r="X24" i="63"/>
  <c r="R24" i="63"/>
  <c r="N24" i="63"/>
  <c r="L24" i="63"/>
  <c r="F24" i="63"/>
  <c r="B24" i="63"/>
  <c r="Z23" i="63"/>
  <c r="X23" i="63"/>
  <c r="R23" i="63"/>
  <c r="N23" i="63"/>
  <c r="L23" i="63"/>
  <c r="J23" i="63"/>
  <c r="F23" i="63"/>
  <c r="B23" i="63"/>
  <c r="Z22" i="63"/>
  <c r="X22" i="63"/>
  <c r="R22" i="63"/>
  <c r="N22" i="63"/>
  <c r="L22" i="63"/>
  <c r="B22" i="63"/>
  <c r="Z21" i="63"/>
  <c r="X21" i="63"/>
  <c r="N21" i="63"/>
  <c r="L21" i="63"/>
  <c r="F21" i="63"/>
  <c r="B21" i="63"/>
  <c r="Z20" i="63"/>
  <c r="X20" i="63"/>
  <c r="R20" i="63"/>
  <c r="N20" i="63"/>
  <c r="L20" i="63"/>
  <c r="F20" i="63"/>
  <c r="B20" i="63"/>
  <c r="Z19" i="63"/>
  <c r="T19" i="63"/>
  <c r="P19" i="63"/>
  <c r="X19" i="63" s="1"/>
  <c r="N19" i="63"/>
  <c r="H19" i="63"/>
  <c r="F19" i="63"/>
  <c r="D19" i="63"/>
  <c r="L19" i="63" s="1"/>
  <c r="B19" i="63"/>
  <c r="T18" i="63"/>
  <c r="P18" i="63"/>
  <c r="H18" i="63"/>
  <c r="N18" i="63" s="1"/>
  <c r="F18" i="63"/>
  <c r="D18" i="63"/>
  <c r="L18" i="63" s="1"/>
  <c r="V16" i="63"/>
  <c r="R16" i="63"/>
  <c r="P16" i="63"/>
  <c r="P63" i="63" s="1"/>
  <c r="F16" i="63"/>
  <c r="X14" i="63"/>
  <c r="T14" i="63"/>
  <c r="Z14" i="63" s="1"/>
  <c r="P14" i="63"/>
  <c r="H14" i="63"/>
  <c r="N14" i="63" s="1"/>
  <c r="D14" i="63"/>
  <c r="T12" i="63"/>
  <c r="V50" i="63" s="1"/>
  <c r="P12" i="63"/>
  <c r="R55" i="63" s="1"/>
  <c r="H12" i="63"/>
  <c r="J34" i="63" s="1"/>
  <c r="D12" i="63"/>
  <c r="D6" i="63"/>
  <c r="D4" i="63"/>
  <c r="J112" i="62"/>
  <c r="R109" i="62"/>
  <c r="Z107" i="62"/>
  <c r="X107" i="62"/>
  <c r="N107" i="62"/>
  <c r="L107" i="62"/>
  <c r="R105" i="62"/>
  <c r="X103" i="62"/>
  <c r="Z103" i="62" s="1"/>
  <c r="R103" i="62"/>
  <c r="P103" i="62"/>
  <c r="N103" i="62"/>
  <c r="L103" i="62"/>
  <c r="D103" i="62"/>
  <c r="B103" i="62"/>
  <c r="V102" i="62"/>
  <c r="P102" i="62"/>
  <c r="X102" i="62" s="1"/>
  <c r="Z102" i="62" s="1"/>
  <c r="L102" i="62"/>
  <c r="N102" i="62" s="1"/>
  <c r="F102" i="62"/>
  <c r="D102" i="62"/>
  <c r="B102" i="62"/>
  <c r="T101" i="62"/>
  <c r="P101" i="62"/>
  <c r="X101" i="62" s="1"/>
  <c r="Z101" i="62" s="1"/>
  <c r="L101" i="62"/>
  <c r="H101" i="62"/>
  <c r="D101" i="62"/>
  <c r="X99" i="62"/>
  <c r="Z99" i="62" s="1"/>
  <c r="R99" i="62"/>
  <c r="L99" i="62"/>
  <c r="N99" i="62" s="1"/>
  <c r="B99" i="62"/>
  <c r="V98" i="62"/>
  <c r="T98" i="62"/>
  <c r="P98" i="62"/>
  <c r="X98" i="62" s="1"/>
  <c r="Z98" i="62" s="1"/>
  <c r="L98" i="62"/>
  <c r="N98" i="62" s="1"/>
  <c r="J98" i="62"/>
  <c r="H98" i="62"/>
  <c r="F98" i="62"/>
  <c r="D98" i="62"/>
  <c r="B98" i="62"/>
  <c r="Z97" i="62"/>
  <c r="X97" i="62"/>
  <c r="R97" i="62"/>
  <c r="N97" i="62"/>
  <c r="L97" i="62"/>
  <c r="B97" i="62"/>
  <c r="Z96" i="62"/>
  <c r="X96" i="62"/>
  <c r="N96" i="62"/>
  <c r="L96" i="62"/>
  <c r="B96" i="62"/>
  <c r="Z95" i="62"/>
  <c r="X95" i="62"/>
  <c r="R95" i="62"/>
  <c r="N95" i="62"/>
  <c r="L95" i="62"/>
  <c r="B95" i="62"/>
  <c r="Z94" i="62"/>
  <c r="T94" i="62"/>
  <c r="P94" i="62"/>
  <c r="X94" i="62" s="1"/>
  <c r="N94" i="62"/>
  <c r="L94" i="62"/>
  <c r="J94" i="62"/>
  <c r="H94" i="62"/>
  <c r="F94" i="62"/>
  <c r="D94" i="62"/>
  <c r="B94" i="62"/>
  <c r="X93" i="62"/>
  <c r="Z93" i="62" s="1"/>
  <c r="R93" i="62"/>
  <c r="N93" i="62"/>
  <c r="L93" i="62"/>
  <c r="B93" i="62"/>
  <c r="X92" i="62"/>
  <c r="Z92" i="62" s="1"/>
  <c r="T92" i="62"/>
  <c r="R92" i="62"/>
  <c r="P92" i="62"/>
  <c r="N92" i="62"/>
  <c r="H92" i="62"/>
  <c r="L92" i="62" s="1"/>
  <c r="F92" i="62"/>
  <c r="D92" i="62"/>
  <c r="B92" i="62"/>
  <c r="X91" i="62"/>
  <c r="Z91" i="62" s="1"/>
  <c r="L91" i="62"/>
  <c r="N91" i="62" s="1"/>
  <c r="F91" i="62"/>
  <c r="B91" i="62"/>
  <c r="T90" i="62"/>
  <c r="X90" i="62" s="1"/>
  <c r="Z90" i="62" s="1"/>
  <c r="R90" i="62"/>
  <c r="P90" i="62"/>
  <c r="H90" i="62"/>
  <c r="D90" i="62"/>
  <c r="L90" i="62" s="1"/>
  <c r="N90" i="62" s="1"/>
  <c r="B90" i="62"/>
  <c r="X89" i="62"/>
  <c r="Z89" i="62" s="1"/>
  <c r="L89" i="62"/>
  <c r="N89" i="62" s="1"/>
  <c r="F89" i="62"/>
  <c r="B89" i="62"/>
  <c r="Z88" i="62"/>
  <c r="X88" i="62"/>
  <c r="L88" i="62"/>
  <c r="N88" i="62" s="1"/>
  <c r="J88" i="62"/>
  <c r="B88" i="62"/>
  <c r="Z87" i="62"/>
  <c r="X87" i="62"/>
  <c r="N87" i="62"/>
  <c r="L87" i="62"/>
  <c r="F87" i="62"/>
  <c r="B87" i="62"/>
  <c r="Z86" i="62"/>
  <c r="X86" i="62"/>
  <c r="N86" i="62"/>
  <c r="L86" i="62"/>
  <c r="J86" i="62"/>
  <c r="B86" i="62"/>
  <c r="X85" i="62"/>
  <c r="Z85" i="62" s="1"/>
  <c r="R85" i="62"/>
  <c r="L85" i="62"/>
  <c r="N85" i="62" s="1"/>
  <c r="B85" i="62"/>
  <c r="X84" i="62"/>
  <c r="Z84" i="62" s="1"/>
  <c r="N84" i="62"/>
  <c r="L84" i="62"/>
  <c r="B84" i="62"/>
  <c r="X83" i="62"/>
  <c r="Z83" i="62" s="1"/>
  <c r="R83" i="62"/>
  <c r="L83" i="62"/>
  <c r="N83" i="62" s="1"/>
  <c r="B83" i="62"/>
  <c r="T82" i="62"/>
  <c r="P82" i="62"/>
  <c r="X82" i="62" s="1"/>
  <c r="Z82" i="62" s="1"/>
  <c r="L82" i="62"/>
  <c r="N82" i="62" s="1"/>
  <c r="J82" i="62"/>
  <c r="H82" i="62"/>
  <c r="F82" i="62"/>
  <c r="D82" i="62"/>
  <c r="B82" i="62"/>
  <c r="Z81" i="62"/>
  <c r="X81" i="62"/>
  <c r="R81" i="62"/>
  <c r="N81" i="62"/>
  <c r="L81" i="62"/>
  <c r="B81" i="62"/>
  <c r="X80" i="62"/>
  <c r="Z80" i="62" s="1"/>
  <c r="N80" i="62"/>
  <c r="L80" i="62"/>
  <c r="B80" i="62"/>
  <c r="T79" i="62"/>
  <c r="P79" i="62"/>
  <c r="H79" i="62"/>
  <c r="D79" i="62"/>
  <c r="L79" i="62" s="1"/>
  <c r="B79" i="62"/>
  <c r="Z78" i="62"/>
  <c r="X78" i="62"/>
  <c r="N78" i="62"/>
  <c r="L78" i="62"/>
  <c r="J78" i="62"/>
  <c r="B78" i="62"/>
  <c r="Z77" i="62"/>
  <c r="X77" i="62"/>
  <c r="R77" i="62"/>
  <c r="N77" i="62"/>
  <c r="L77" i="62"/>
  <c r="B77" i="62"/>
  <c r="X76" i="62"/>
  <c r="Z76" i="62" s="1"/>
  <c r="N76" i="62"/>
  <c r="L76" i="62"/>
  <c r="B76" i="62"/>
  <c r="X75" i="62"/>
  <c r="T75" i="62"/>
  <c r="P75" i="62"/>
  <c r="H75" i="62"/>
  <c r="D75" i="62"/>
  <c r="B75" i="62"/>
  <c r="Z74" i="62"/>
  <c r="X74" i="62"/>
  <c r="N74" i="62"/>
  <c r="L74" i="62"/>
  <c r="J74" i="62"/>
  <c r="B74" i="62"/>
  <c r="X73" i="62"/>
  <c r="Z73" i="62" s="1"/>
  <c r="R73" i="62"/>
  <c r="L73" i="62"/>
  <c r="N73" i="62" s="1"/>
  <c r="B73" i="62"/>
  <c r="Z72" i="62"/>
  <c r="X72" i="62"/>
  <c r="V72" i="62"/>
  <c r="N72" i="62"/>
  <c r="L72" i="62"/>
  <c r="B72" i="62"/>
  <c r="X71" i="62"/>
  <c r="Z71" i="62" s="1"/>
  <c r="R71" i="62"/>
  <c r="N71" i="62"/>
  <c r="L71" i="62"/>
  <c r="B71" i="62"/>
  <c r="Z70" i="62"/>
  <c r="T70" i="62"/>
  <c r="P70" i="62"/>
  <c r="X70" i="62" s="1"/>
  <c r="J70" i="62"/>
  <c r="H70" i="62"/>
  <c r="F70" i="62"/>
  <c r="D70" i="62"/>
  <c r="L70" i="62" s="1"/>
  <c r="N70" i="62" s="1"/>
  <c r="B70" i="62"/>
  <c r="X69" i="62"/>
  <c r="Z69" i="62" s="1"/>
  <c r="R69" i="62"/>
  <c r="L69" i="62"/>
  <c r="N69" i="62" s="1"/>
  <c r="B69" i="62"/>
  <c r="T68" i="62"/>
  <c r="R68" i="62"/>
  <c r="P68" i="62"/>
  <c r="X68" i="62" s="1"/>
  <c r="Z68" i="62" s="1"/>
  <c r="H68" i="62"/>
  <c r="L68" i="62" s="1"/>
  <c r="N68" i="62" s="1"/>
  <c r="F68" i="62"/>
  <c r="D68" i="62"/>
  <c r="B68" i="62"/>
  <c r="X67" i="62"/>
  <c r="Z67" i="62" s="1"/>
  <c r="L67" i="62"/>
  <c r="N67" i="62" s="1"/>
  <c r="F67" i="62"/>
  <c r="B67" i="62"/>
  <c r="T66" i="62"/>
  <c r="X66" i="62" s="1"/>
  <c r="Z66" i="62" s="1"/>
  <c r="R66" i="62"/>
  <c r="P66" i="62"/>
  <c r="N66" i="62"/>
  <c r="L66" i="62"/>
  <c r="H66" i="62"/>
  <c r="D66" i="62"/>
  <c r="B66" i="62"/>
  <c r="X65" i="62"/>
  <c r="Z65" i="62" s="1"/>
  <c r="L65" i="62"/>
  <c r="N65" i="62" s="1"/>
  <c r="F65" i="62"/>
  <c r="B65" i="62"/>
  <c r="Z64" i="62"/>
  <c r="X64" i="62"/>
  <c r="T64" i="62"/>
  <c r="P64" i="62"/>
  <c r="J64" i="62"/>
  <c r="H64" i="62"/>
  <c r="D64" i="62"/>
  <c r="L64" i="62" s="1"/>
  <c r="N64" i="62" s="1"/>
  <c r="B64" i="62"/>
  <c r="X63" i="62"/>
  <c r="Z63" i="62" s="1"/>
  <c r="R63" i="62"/>
  <c r="L63" i="62"/>
  <c r="N63" i="62" s="1"/>
  <c r="B63" i="62"/>
  <c r="T62" i="62"/>
  <c r="P62" i="62"/>
  <c r="X62" i="62" s="1"/>
  <c r="Z62" i="62" s="1"/>
  <c r="J62" i="62"/>
  <c r="H62" i="62"/>
  <c r="F62" i="62"/>
  <c r="D62" i="62"/>
  <c r="L62" i="62" s="1"/>
  <c r="N62" i="62" s="1"/>
  <c r="B62" i="62"/>
  <c r="X61" i="62"/>
  <c r="Z61" i="62" s="1"/>
  <c r="R61" i="62"/>
  <c r="L61" i="62"/>
  <c r="N61" i="62" s="1"/>
  <c r="B61" i="62"/>
  <c r="V60" i="62"/>
  <c r="T60" i="62"/>
  <c r="R60" i="62"/>
  <c r="P60" i="62"/>
  <c r="X60" i="62" s="1"/>
  <c r="Z60" i="62" s="1"/>
  <c r="H60" i="62"/>
  <c r="L60" i="62" s="1"/>
  <c r="N60" i="62" s="1"/>
  <c r="F60" i="62"/>
  <c r="D60" i="62"/>
  <c r="B60" i="62"/>
  <c r="X59" i="62"/>
  <c r="Z59" i="62" s="1"/>
  <c r="L59" i="62"/>
  <c r="N59" i="62" s="1"/>
  <c r="F59" i="62"/>
  <c r="B59" i="62"/>
  <c r="T58" i="62"/>
  <c r="X58" i="62" s="1"/>
  <c r="Z58" i="62" s="1"/>
  <c r="R58" i="62"/>
  <c r="P58" i="62"/>
  <c r="N58" i="62"/>
  <c r="L58" i="62"/>
  <c r="H58" i="62"/>
  <c r="D58" i="62"/>
  <c r="B58" i="62"/>
  <c r="X57" i="62"/>
  <c r="Z57" i="62" s="1"/>
  <c r="L57" i="62"/>
  <c r="N57" i="62" s="1"/>
  <c r="F57" i="62"/>
  <c r="B57" i="62"/>
  <c r="Z56" i="62"/>
  <c r="X56" i="62"/>
  <c r="T56" i="62"/>
  <c r="P56" i="62"/>
  <c r="J56" i="62"/>
  <c r="H56" i="62"/>
  <c r="D56" i="62"/>
  <c r="L56" i="62" s="1"/>
  <c r="N56" i="62" s="1"/>
  <c r="B56" i="62"/>
  <c r="X55" i="62"/>
  <c r="Z55" i="62" s="1"/>
  <c r="R55" i="62"/>
  <c r="L55" i="62"/>
  <c r="N55" i="62" s="1"/>
  <c r="B55" i="62"/>
  <c r="T54" i="62"/>
  <c r="P54" i="62"/>
  <c r="X54" i="62" s="1"/>
  <c r="Z54" i="62" s="1"/>
  <c r="J54" i="62"/>
  <c r="H54" i="62"/>
  <c r="F54" i="62"/>
  <c r="D54" i="62"/>
  <c r="L54" i="62" s="1"/>
  <c r="N54" i="62" s="1"/>
  <c r="B54" i="62"/>
  <c r="Z53" i="62"/>
  <c r="X53" i="62"/>
  <c r="R53" i="62"/>
  <c r="N53" i="62"/>
  <c r="L53" i="62"/>
  <c r="B53" i="62"/>
  <c r="Z52" i="62"/>
  <c r="T52" i="62"/>
  <c r="R52" i="62"/>
  <c r="P52" i="62"/>
  <c r="X52" i="62" s="1"/>
  <c r="N52" i="62"/>
  <c r="H52" i="62"/>
  <c r="L52" i="62" s="1"/>
  <c r="F52" i="62"/>
  <c r="D52" i="62"/>
  <c r="B52" i="62"/>
  <c r="X51" i="62"/>
  <c r="Z51" i="62" s="1"/>
  <c r="L51" i="62"/>
  <c r="N51" i="62" s="1"/>
  <c r="F51" i="62"/>
  <c r="B51" i="62"/>
  <c r="Z50" i="62"/>
  <c r="X50" i="62"/>
  <c r="N50" i="62"/>
  <c r="L50" i="62"/>
  <c r="J50" i="62"/>
  <c r="B50" i="62"/>
  <c r="T49" i="62"/>
  <c r="P49" i="62"/>
  <c r="H49" i="62"/>
  <c r="D49" i="62"/>
  <c r="L49" i="62" s="1"/>
  <c r="N49" i="62" s="1"/>
  <c r="B49" i="62"/>
  <c r="Z48" i="62"/>
  <c r="X48" i="62"/>
  <c r="N48" i="62"/>
  <c r="L48" i="62"/>
  <c r="J48" i="62"/>
  <c r="B48" i="62"/>
  <c r="T47" i="62"/>
  <c r="P47" i="62"/>
  <c r="X47" i="62" s="1"/>
  <c r="Z47" i="62" s="1"/>
  <c r="L47" i="62"/>
  <c r="H47" i="62"/>
  <c r="N47" i="62" s="1"/>
  <c r="D47" i="62"/>
  <c r="B47" i="62"/>
  <c r="Z46" i="62"/>
  <c r="X46" i="62"/>
  <c r="N46" i="62"/>
  <c r="L46" i="62"/>
  <c r="B46" i="62"/>
  <c r="X45" i="62"/>
  <c r="Z45" i="62" s="1"/>
  <c r="L45" i="62"/>
  <c r="N45" i="62" s="1"/>
  <c r="F45" i="62"/>
  <c r="B45" i="62"/>
  <c r="Z44" i="62"/>
  <c r="X44" i="62"/>
  <c r="T44" i="62"/>
  <c r="P44" i="62"/>
  <c r="J44" i="62"/>
  <c r="H44" i="62"/>
  <c r="D44" i="62"/>
  <c r="L44" i="62" s="1"/>
  <c r="N44" i="62" s="1"/>
  <c r="B44" i="62"/>
  <c r="Z43" i="62"/>
  <c r="X43" i="62"/>
  <c r="R43" i="62"/>
  <c r="N43" i="62"/>
  <c r="L43" i="62"/>
  <c r="B43" i="62"/>
  <c r="Z42" i="62"/>
  <c r="T42" i="62"/>
  <c r="P42" i="62"/>
  <c r="X42" i="62" s="1"/>
  <c r="N42" i="62"/>
  <c r="J42" i="62"/>
  <c r="H42" i="62"/>
  <c r="F42" i="62"/>
  <c r="D42" i="62"/>
  <c r="L42" i="62" s="1"/>
  <c r="B42" i="62"/>
  <c r="Z41" i="62"/>
  <c r="X41" i="62"/>
  <c r="R41" i="62"/>
  <c r="N41" i="62"/>
  <c r="L41" i="62"/>
  <c r="B41" i="62"/>
  <c r="Z40" i="62"/>
  <c r="X40" i="62"/>
  <c r="N40" i="62"/>
  <c r="L40" i="62"/>
  <c r="B40" i="62"/>
  <c r="X39" i="62"/>
  <c r="Z39" i="62" s="1"/>
  <c r="R39" i="62"/>
  <c r="L39" i="62"/>
  <c r="N39" i="62" s="1"/>
  <c r="B39" i="62"/>
  <c r="Z38" i="62"/>
  <c r="X38" i="62"/>
  <c r="N38" i="62"/>
  <c r="L38" i="62"/>
  <c r="B38" i="62"/>
  <c r="Z37" i="62"/>
  <c r="X37" i="62"/>
  <c r="N37" i="62"/>
  <c r="L37" i="62"/>
  <c r="F37" i="62"/>
  <c r="B37" i="62"/>
  <c r="Z36" i="62"/>
  <c r="X36" i="62"/>
  <c r="N36" i="62"/>
  <c r="L36" i="62"/>
  <c r="J36" i="62"/>
  <c r="B36" i="62"/>
  <c r="X35" i="62"/>
  <c r="Z35" i="62" s="1"/>
  <c r="L35" i="62"/>
  <c r="N35" i="62" s="1"/>
  <c r="F35" i="62"/>
  <c r="B35" i="62"/>
  <c r="Z34" i="62"/>
  <c r="X34" i="62"/>
  <c r="N34" i="62"/>
  <c r="L34" i="62"/>
  <c r="J34" i="62"/>
  <c r="B34" i="62"/>
  <c r="X33" i="62"/>
  <c r="Z33" i="62" s="1"/>
  <c r="R33" i="62"/>
  <c r="L33" i="62"/>
  <c r="N33" i="62" s="1"/>
  <c r="B33" i="62"/>
  <c r="X32" i="62"/>
  <c r="Z32" i="62" s="1"/>
  <c r="N32" i="62"/>
  <c r="L32" i="62"/>
  <c r="B32" i="62"/>
  <c r="X31" i="62"/>
  <c r="T31" i="62"/>
  <c r="P31" i="62"/>
  <c r="H31" i="62"/>
  <c r="D31" i="62"/>
  <c r="L31" i="62" s="1"/>
  <c r="B31" i="62"/>
  <c r="Z30" i="62"/>
  <c r="X30" i="62"/>
  <c r="N30" i="62"/>
  <c r="L30" i="62"/>
  <c r="J30" i="62"/>
  <c r="B30" i="62"/>
  <c r="X29" i="62"/>
  <c r="Z29" i="62" s="1"/>
  <c r="R29" i="62"/>
  <c r="L29" i="62"/>
  <c r="N29" i="62" s="1"/>
  <c r="B29" i="62"/>
  <c r="X28" i="62"/>
  <c r="Z28" i="62" s="1"/>
  <c r="N28" i="62"/>
  <c r="L28" i="62"/>
  <c r="B28" i="62"/>
  <c r="Z27" i="62"/>
  <c r="X27" i="62"/>
  <c r="R27" i="62"/>
  <c r="N27" i="62"/>
  <c r="L27" i="62"/>
  <c r="B27" i="62"/>
  <c r="Z26" i="62"/>
  <c r="X26" i="62"/>
  <c r="N26" i="62"/>
  <c r="L26" i="62"/>
  <c r="B26" i="62"/>
  <c r="X25" i="62"/>
  <c r="Z25" i="62" s="1"/>
  <c r="L25" i="62"/>
  <c r="N25" i="62" s="1"/>
  <c r="F25" i="62"/>
  <c r="B25" i="62"/>
  <c r="Z24" i="62"/>
  <c r="X24" i="62"/>
  <c r="L24" i="62"/>
  <c r="N24" i="62" s="1"/>
  <c r="J24" i="62"/>
  <c r="B24" i="62"/>
  <c r="X23" i="62"/>
  <c r="Z23" i="62" s="1"/>
  <c r="L23" i="62"/>
  <c r="N23" i="62" s="1"/>
  <c r="F23" i="62"/>
  <c r="B23" i="62"/>
  <c r="Z22" i="62"/>
  <c r="X22" i="62"/>
  <c r="N22" i="62"/>
  <c r="L22" i="62"/>
  <c r="J22" i="62"/>
  <c r="B22" i="62"/>
  <c r="X21" i="62"/>
  <c r="Z21" i="62" s="1"/>
  <c r="R21" i="62"/>
  <c r="L21" i="62"/>
  <c r="N21" i="62" s="1"/>
  <c r="F21" i="62"/>
  <c r="B21" i="62"/>
  <c r="T20" i="62"/>
  <c r="R20" i="62"/>
  <c r="P20" i="62"/>
  <c r="X20" i="62" s="1"/>
  <c r="Z20" i="62" s="1"/>
  <c r="H20" i="62"/>
  <c r="F20" i="62"/>
  <c r="D20" i="62"/>
  <c r="L20" i="62" s="1"/>
  <c r="N20" i="62" s="1"/>
  <c r="B20" i="62"/>
  <c r="T19" i="62"/>
  <c r="P19" i="62"/>
  <c r="X19" i="62" s="1"/>
  <c r="H19" i="62"/>
  <c r="D19" i="62"/>
  <c r="L19" i="62" s="1"/>
  <c r="T17" i="62"/>
  <c r="P17" i="62"/>
  <c r="H17" i="62"/>
  <c r="D17" i="62"/>
  <c r="Z15" i="62"/>
  <c r="X15" i="62"/>
  <c r="R15" i="62"/>
  <c r="N15" i="62"/>
  <c r="L15" i="62"/>
  <c r="F15" i="62"/>
  <c r="B15" i="62"/>
  <c r="Z14" i="62"/>
  <c r="T14" i="62"/>
  <c r="R14" i="62"/>
  <c r="P14" i="62"/>
  <c r="X14" i="62" s="1"/>
  <c r="N14" i="62"/>
  <c r="L14" i="62"/>
  <c r="H14" i="62"/>
  <c r="F14" i="62"/>
  <c r="D14" i="62"/>
  <c r="T12" i="62"/>
  <c r="V68" i="62" s="1"/>
  <c r="P12" i="62"/>
  <c r="R102" i="62" s="1"/>
  <c r="H12" i="62"/>
  <c r="J107" i="62" s="1"/>
  <c r="D12" i="62"/>
  <c r="F109" i="62" s="1"/>
  <c r="D6" i="62"/>
  <c r="D4" i="62"/>
  <c r="V64" i="61"/>
  <c r="R64" i="61"/>
  <c r="F64" i="61"/>
  <c r="Z62" i="61"/>
  <c r="X62" i="61"/>
  <c r="N62" i="61"/>
  <c r="L62" i="61"/>
  <c r="J60" i="61"/>
  <c r="Z58" i="61"/>
  <c r="V58" i="61"/>
  <c r="T58" i="61"/>
  <c r="R58" i="61"/>
  <c r="P58" i="61"/>
  <c r="X58" i="61" s="1"/>
  <c r="N58" i="61"/>
  <c r="H58" i="61"/>
  <c r="F58" i="61"/>
  <c r="D58" i="61"/>
  <c r="L58" i="61" s="1"/>
  <c r="Z56" i="61"/>
  <c r="X56" i="61"/>
  <c r="N56" i="61"/>
  <c r="L56" i="61"/>
  <c r="B56" i="61"/>
  <c r="T55" i="61"/>
  <c r="Z55" i="61" s="1"/>
  <c r="P55" i="61"/>
  <c r="X55" i="61" s="1"/>
  <c r="L55" i="61"/>
  <c r="H55" i="61"/>
  <c r="N55" i="61" s="1"/>
  <c r="D55" i="61"/>
  <c r="B55" i="61"/>
  <c r="Z54" i="61"/>
  <c r="X54" i="61"/>
  <c r="V54" i="61"/>
  <c r="N54" i="61"/>
  <c r="L54" i="61"/>
  <c r="B54" i="61"/>
  <c r="X53" i="61"/>
  <c r="Z53" i="61" s="1"/>
  <c r="N53" i="61"/>
  <c r="L53" i="61"/>
  <c r="F53" i="61"/>
  <c r="B53" i="61"/>
  <c r="Z52" i="61"/>
  <c r="X52" i="61"/>
  <c r="T52" i="61"/>
  <c r="R52" i="61"/>
  <c r="P52" i="61"/>
  <c r="N52" i="61"/>
  <c r="H52" i="61"/>
  <c r="L52" i="61" s="1"/>
  <c r="D52" i="61"/>
  <c r="B52" i="61"/>
  <c r="X51" i="61"/>
  <c r="Z51" i="61" s="1"/>
  <c r="R51" i="61"/>
  <c r="L51" i="61"/>
  <c r="N51" i="61" s="1"/>
  <c r="B51" i="61"/>
  <c r="V50" i="61"/>
  <c r="T50" i="61"/>
  <c r="X50" i="61" s="1"/>
  <c r="Z50" i="61" s="1"/>
  <c r="P50" i="61"/>
  <c r="H50" i="61"/>
  <c r="F50" i="61"/>
  <c r="D50" i="61"/>
  <c r="L50" i="61" s="1"/>
  <c r="N50" i="61" s="1"/>
  <c r="B50" i="61"/>
  <c r="X49" i="61"/>
  <c r="Z49" i="61" s="1"/>
  <c r="R49" i="61"/>
  <c r="N49" i="61"/>
  <c r="L49" i="61"/>
  <c r="B49" i="61"/>
  <c r="V48" i="61"/>
  <c r="T48" i="61"/>
  <c r="R48" i="61"/>
  <c r="P48" i="61"/>
  <c r="X48" i="61" s="1"/>
  <c r="Z48" i="61" s="1"/>
  <c r="N48" i="61"/>
  <c r="H48" i="61"/>
  <c r="F48" i="61"/>
  <c r="D48" i="61"/>
  <c r="L48" i="61" s="1"/>
  <c r="B48" i="61"/>
  <c r="X47" i="61"/>
  <c r="Z47" i="61" s="1"/>
  <c r="R47" i="61"/>
  <c r="L47" i="61"/>
  <c r="N47" i="61" s="1"/>
  <c r="F47" i="61"/>
  <c r="B47" i="61"/>
  <c r="T46" i="61"/>
  <c r="R46" i="61"/>
  <c r="P46" i="61"/>
  <c r="X46" i="61" s="1"/>
  <c r="Z46" i="61" s="1"/>
  <c r="N46" i="61"/>
  <c r="L46" i="61"/>
  <c r="H46" i="61"/>
  <c r="D46" i="61"/>
  <c r="B46" i="61"/>
  <c r="X45" i="61"/>
  <c r="Z45" i="61" s="1"/>
  <c r="N45" i="61"/>
  <c r="L45" i="61"/>
  <c r="F45" i="61"/>
  <c r="B45" i="61"/>
  <c r="Z44" i="61"/>
  <c r="X44" i="61"/>
  <c r="T44" i="61"/>
  <c r="R44" i="61"/>
  <c r="P44" i="61"/>
  <c r="N44" i="61"/>
  <c r="H44" i="61"/>
  <c r="D44" i="61"/>
  <c r="L44" i="61" s="1"/>
  <c r="B44" i="61"/>
  <c r="X43" i="61"/>
  <c r="Z43" i="61" s="1"/>
  <c r="R43" i="61"/>
  <c r="N43" i="61"/>
  <c r="L43" i="61"/>
  <c r="B43" i="61"/>
  <c r="V42" i="61"/>
  <c r="T42" i="61"/>
  <c r="P42" i="61"/>
  <c r="X42" i="61" s="1"/>
  <c r="Z42" i="61" s="1"/>
  <c r="N42" i="61"/>
  <c r="H42" i="61"/>
  <c r="F42" i="61"/>
  <c r="D42" i="61"/>
  <c r="L42" i="61" s="1"/>
  <c r="B42" i="61"/>
  <c r="X41" i="61"/>
  <c r="Z41" i="61" s="1"/>
  <c r="R41" i="61"/>
  <c r="L41" i="61"/>
  <c r="N41" i="61" s="1"/>
  <c r="B41" i="61"/>
  <c r="V40" i="61"/>
  <c r="T40" i="61"/>
  <c r="R40" i="61"/>
  <c r="P40" i="61"/>
  <c r="X40" i="61" s="1"/>
  <c r="Z40" i="61" s="1"/>
  <c r="H40" i="61"/>
  <c r="F40" i="61"/>
  <c r="D40" i="61"/>
  <c r="L40" i="61" s="1"/>
  <c r="N40" i="61" s="1"/>
  <c r="B40" i="61"/>
  <c r="Z39" i="61"/>
  <c r="X39" i="61"/>
  <c r="R39" i="61"/>
  <c r="N39" i="61"/>
  <c r="L39" i="61"/>
  <c r="F39" i="61"/>
  <c r="B39" i="61"/>
  <c r="Z38" i="61"/>
  <c r="X38" i="61"/>
  <c r="N38" i="61"/>
  <c r="L38" i="61"/>
  <c r="J38" i="61"/>
  <c r="B38" i="61"/>
  <c r="X37" i="61"/>
  <c r="Z37" i="61" s="1"/>
  <c r="R37" i="61"/>
  <c r="N37" i="61"/>
  <c r="L37" i="61"/>
  <c r="B37" i="61"/>
  <c r="Z36" i="61"/>
  <c r="X36" i="61"/>
  <c r="V36" i="61"/>
  <c r="N36" i="61"/>
  <c r="L36" i="61"/>
  <c r="B36" i="61"/>
  <c r="Z35" i="61"/>
  <c r="X35" i="61"/>
  <c r="R35" i="61"/>
  <c r="N35" i="61"/>
  <c r="L35" i="61"/>
  <c r="F35" i="61"/>
  <c r="B35" i="61"/>
  <c r="Z34" i="61"/>
  <c r="X34" i="61"/>
  <c r="V34" i="61"/>
  <c r="N34" i="61"/>
  <c r="L34" i="61"/>
  <c r="B34" i="61"/>
  <c r="X33" i="61"/>
  <c r="Z33" i="61" s="1"/>
  <c r="R33" i="61"/>
  <c r="L33" i="61"/>
  <c r="N33" i="61" s="1"/>
  <c r="F33" i="61"/>
  <c r="B33" i="61"/>
  <c r="Z32" i="61"/>
  <c r="X32" i="61"/>
  <c r="N32" i="61"/>
  <c r="L32" i="61"/>
  <c r="B32" i="61"/>
  <c r="Z31" i="61"/>
  <c r="X31" i="61"/>
  <c r="R31" i="61"/>
  <c r="N31" i="61"/>
  <c r="L31" i="61"/>
  <c r="F31" i="61"/>
  <c r="B31" i="61"/>
  <c r="Z30" i="61"/>
  <c r="X30" i="61"/>
  <c r="N30" i="61"/>
  <c r="L30" i="61"/>
  <c r="J30" i="61"/>
  <c r="B30" i="61"/>
  <c r="T29" i="61"/>
  <c r="P29" i="61"/>
  <c r="X29" i="61" s="1"/>
  <c r="H29" i="61"/>
  <c r="D29" i="61"/>
  <c r="L29" i="61" s="1"/>
  <c r="B29" i="61"/>
  <c r="Z28" i="61"/>
  <c r="X28" i="61"/>
  <c r="N28" i="61"/>
  <c r="L28" i="61"/>
  <c r="B28" i="61"/>
  <c r="X27" i="61"/>
  <c r="Z27" i="61" s="1"/>
  <c r="R27" i="61"/>
  <c r="L27" i="61"/>
  <c r="N27" i="61" s="1"/>
  <c r="F27" i="61"/>
  <c r="B27" i="61"/>
  <c r="Z26" i="61"/>
  <c r="X26" i="61"/>
  <c r="N26" i="61"/>
  <c r="L26" i="61"/>
  <c r="B26" i="61"/>
  <c r="Z25" i="61"/>
  <c r="X25" i="61"/>
  <c r="R25" i="61"/>
  <c r="N25" i="61"/>
  <c r="L25" i="61"/>
  <c r="B25" i="61"/>
  <c r="Z24" i="61"/>
  <c r="X24" i="61"/>
  <c r="V24" i="61"/>
  <c r="N24" i="61"/>
  <c r="L24" i="61"/>
  <c r="B24" i="61"/>
  <c r="X23" i="61"/>
  <c r="Z23" i="61" s="1"/>
  <c r="R23" i="61"/>
  <c r="L23" i="61"/>
  <c r="N23" i="61" s="1"/>
  <c r="F23" i="61"/>
  <c r="B23" i="61"/>
  <c r="Z22" i="61"/>
  <c r="X22" i="61"/>
  <c r="V22" i="61"/>
  <c r="N22" i="61"/>
  <c r="L22" i="61"/>
  <c r="B22" i="61"/>
  <c r="X21" i="61"/>
  <c r="Z21" i="61" s="1"/>
  <c r="R21" i="61"/>
  <c r="L21" i="61"/>
  <c r="N21" i="61" s="1"/>
  <c r="F21" i="61"/>
  <c r="B21" i="61"/>
  <c r="Z20" i="61"/>
  <c r="X20" i="61"/>
  <c r="N20" i="61"/>
  <c r="L20" i="61"/>
  <c r="J20" i="61"/>
  <c r="B20" i="61"/>
  <c r="T19" i="61"/>
  <c r="P19" i="61"/>
  <c r="X19" i="61" s="1"/>
  <c r="L19" i="61"/>
  <c r="H19" i="61"/>
  <c r="N19" i="61" s="1"/>
  <c r="D19" i="61"/>
  <c r="B19" i="61"/>
  <c r="V18" i="61"/>
  <c r="T18" i="61"/>
  <c r="R18" i="61"/>
  <c r="P18" i="61"/>
  <c r="X18" i="61" s="1"/>
  <c r="Z18" i="61" s="1"/>
  <c r="H18" i="61"/>
  <c r="F18" i="61"/>
  <c r="D18" i="61"/>
  <c r="L18" i="61" s="1"/>
  <c r="N18" i="61" s="1"/>
  <c r="R16" i="61"/>
  <c r="F16" i="61"/>
  <c r="Z14" i="61"/>
  <c r="V14" i="61"/>
  <c r="T14" i="61"/>
  <c r="R14" i="61"/>
  <c r="P14" i="61"/>
  <c r="X14" i="61" s="1"/>
  <c r="N14" i="61"/>
  <c r="H14" i="61"/>
  <c r="F14" i="61"/>
  <c r="D14" i="61"/>
  <c r="L14" i="61" s="1"/>
  <c r="T12" i="61"/>
  <c r="V53" i="61" s="1"/>
  <c r="P12" i="61"/>
  <c r="R54" i="61" s="1"/>
  <c r="N12" i="61"/>
  <c r="H12" i="61"/>
  <c r="J14" i="61" s="1"/>
  <c r="D12" i="61"/>
  <c r="F38" i="61" s="1"/>
  <c r="D6" i="61"/>
  <c r="D4" i="61"/>
  <c r="V66" i="60"/>
  <c r="J66" i="60"/>
  <c r="F66" i="60"/>
  <c r="V63" i="60"/>
  <c r="J63" i="60"/>
  <c r="Z61" i="60"/>
  <c r="X61" i="60"/>
  <c r="V61" i="60"/>
  <c r="N61" i="60"/>
  <c r="L61" i="60"/>
  <c r="J61" i="60"/>
  <c r="V59" i="60"/>
  <c r="J59" i="60"/>
  <c r="F59" i="60"/>
  <c r="Z57" i="60"/>
  <c r="X57" i="60"/>
  <c r="V57" i="60"/>
  <c r="T57" i="60"/>
  <c r="P57" i="60"/>
  <c r="N57" i="60"/>
  <c r="J57" i="60"/>
  <c r="H57" i="60"/>
  <c r="D57" i="60"/>
  <c r="L57" i="60" s="1"/>
  <c r="Z55" i="60"/>
  <c r="X55" i="60"/>
  <c r="V55" i="60"/>
  <c r="N55" i="60"/>
  <c r="L55" i="60"/>
  <c r="J55" i="60"/>
  <c r="B55" i="60"/>
  <c r="T54" i="60"/>
  <c r="P54" i="60"/>
  <c r="J54" i="60"/>
  <c r="H54" i="60"/>
  <c r="D54" i="60"/>
  <c r="B54" i="60"/>
  <c r="Z53" i="60"/>
  <c r="X53" i="60"/>
  <c r="V53" i="60"/>
  <c r="N53" i="60"/>
  <c r="L53" i="60"/>
  <c r="J53" i="60"/>
  <c r="B53" i="60"/>
  <c r="Z52" i="60"/>
  <c r="X52" i="60"/>
  <c r="V52" i="60"/>
  <c r="R52" i="60"/>
  <c r="N52" i="60"/>
  <c r="L52" i="60"/>
  <c r="J52" i="60"/>
  <c r="B52" i="60"/>
  <c r="Z51" i="60"/>
  <c r="X51" i="60"/>
  <c r="V51" i="60"/>
  <c r="N51" i="60"/>
  <c r="L51" i="60"/>
  <c r="J51" i="60"/>
  <c r="B51" i="60"/>
  <c r="T50" i="60"/>
  <c r="P50" i="60"/>
  <c r="J50" i="60"/>
  <c r="H50" i="60"/>
  <c r="N50" i="60" s="1"/>
  <c r="D50" i="60"/>
  <c r="B50" i="60"/>
  <c r="Z49" i="60"/>
  <c r="X49" i="60"/>
  <c r="V49" i="60"/>
  <c r="N49" i="60"/>
  <c r="L49" i="60"/>
  <c r="J49" i="60"/>
  <c r="B49" i="60"/>
  <c r="V48" i="60"/>
  <c r="T48" i="60"/>
  <c r="P48" i="60"/>
  <c r="H48" i="60"/>
  <c r="N48" i="60" s="1"/>
  <c r="D48" i="60"/>
  <c r="L48" i="60" s="1"/>
  <c r="B48" i="60"/>
  <c r="Z47" i="60"/>
  <c r="X47" i="60"/>
  <c r="V47" i="60"/>
  <c r="N47" i="60"/>
  <c r="L47" i="60"/>
  <c r="J47" i="60"/>
  <c r="B47" i="60"/>
  <c r="X46" i="60"/>
  <c r="Z46" i="60" s="1"/>
  <c r="L46" i="60"/>
  <c r="N46" i="60" s="1"/>
  <c r="F46" i="60"/>
  <c r="B46" i="60"/>
  <c r="Z45" i="60"/>
  <c r="X45" i="60"/>
  <c r="V45" i="60"/>
  <c r="N45" i="60"/>
  <c r="L45" i="60"/>
  <c r="J45" i="60"/>
  <c r="B45" i="60"/>
  <c r="V44" i="60"/>
  <c r="T44" i="60"/>
  <c r="P44" i="60"/>
  <c r="H44" i="60"/>
  <c r="N44" i="60" s="1"/>
  <c r="D44" i="60"/>
  <c r="L44" i="60" s="1"/>
  <c r="B44" i="60"/>
  <c r="Z43" i="60"/>
  <c r="X43" i="60"/>
  <c r="V43" i="60"/>
  <c r="N43" i="60"/>
  <c r="L43" i="60"/>
  <c r="J43" i="60"/>
  <c r="B43" i="60"/>
  <c r="T42" i="60"/>
  <c r="P42" i="60"/>
  <c r="X42" i="60" s="1"/>
  <c r="L42" i="60"/>
  <c r="J42" i="60"/>
  <c r="H42" i="60"/>
  <c r="D42" i="60"/>
  <c r="B42" i="60"/>
  <c r="Z41" i="60"/>
  <c r="X41" i="60"/>
  <c r="V41" i="60"/>
  <c r="N41" i="60"/>
  <c r="L41" i="60"/>
  <c r="J41" i="60"/>
  <c r="B41" i="60"/>
  <c r="X40" i="60"/>
  <c r="V40" i="60"/>
  <c r="T40" i="60"/>
  <c r="P40" i="60"/>
  <c r="L40" i="60"/>
  <c r="H40" i="60"/>
  <c r="N40" i="60" s="1"/>
  <c r="D40" i="60"/>
  <c r="B40" i="60"/>
  <c r="Z39" i="60"/>
  <c r="X39" i="60"/>
  <c r="V39" i="60"/>
  <c r="N39" i="60"/>
  <c r="L39" i="60"/>
  <c r="J39" i="60"/>
  <c r="B39" i="60"/>
  <c r="Z38" i="60"/>
  <c r="X38" i="60"/>
  <c r="N38" i="60"/>
  <c r="L38" i="60"/>
  <c r="B38" i="60"/>
  <c r="Z37" i="60"/>
  <c r="X37" i="60"/>
  <c r="V37" i="60"/>
  <c r="N37" i="60"/>
  <c r="L37" i="60"/>
  <c r="J37" i="60"/>
  <c r="B37" i="60"/>
  <c r="Z36" i="60"/>
  <c r="X36" i="60"/>
  <c r="V36" i="60"/>
  <c r="N36" i="60"/>
  <c r="L36" i="60"/>
  <c r="J36" i="60"/>
  <c r="F36" i="60"/>
  <c r="B36" i="60"/>
  <c r="Z35" i="60"/>
  <c r="X35" i="60"/>
  <c r="V35" i="60"/>
  <c r="N35" i="60"/>
  <c r="L35" i="60"/>
  <c r="J35" i="60"/>
  <c r="B35" i="60"/>
  <c r="Z34" i="60"/>
  <c r="X34" i="60"/>
  <c r="N34" i="60"/>
  <c r="L34" i="60"/>
  <c r="F34" i="60"/>
  <c r="B34" i="60"/>
  <c r="Z33" i="60"/>
  <c r="X33" i="60"/>
  <c r="V33" i="60"/>
  <c r="N33" i="60"/>
  <c r="L33" i="60"/>
  <c r="J33" i="60"/>
  <c r="B33" i="60"/>
  <c r="Z32" i="60"/>
  <c r="X32" i="60"/>
  <c r="V32" i="60"/>
  <c r="R32" i="60"/>
  <c r="N32" i="60"/>
  <c r="L32" i="60"/>
  <c r="J32" i="60"/>
  <c r="B32" i="60"/>
  <c r="Z31" i="60"/>
  <c r="X31" i="60"/>
  <c r="V31" i="60"/>
  <c r="N31" i="60"/>
  <c r="L31" i="60"/>
  <c r="J31" i="60"/>
  <c r="B31" i="60"/>
  <c r="Z30" i="60"/>
  <c r="X30" i="60"/>
  <c r="N30" i="60"/>
  <c r="L30" i="60"/>
  <c r="B30" i="60"/>
  <c r="V29" i="60"/>
  <c r="T29" i="60"/>
  <c r="P29" i="60"/>
  <c r="X29" i="60" s="1"/>
  <c r="Z29" i="60" s="1"/>
  <c r="J29" i="60"/>
  <c r="H29" i="60"/>
  <c r="F29" i="60"/>
  <c r="D29" i="60"/>
  <c r="L29" i="60" s="1"/>
  <c r="N29" i="60" s="1"/>
  <c r="B29" i="60"/>
  <c r="Z28" i="60"/>
  <c r="X28" i="60"/>
  <c r="V28" i="60"/>
  <c r="N28" i="60"/>
  <c r="L28" i="60"/>
  <c r="J28" i="60"/>
  <c r="B28" i="60"/>
  <c r="Z27" i="60"/>
  <c r="X27" i="60"/>
  <c r="V27" i="60"/>
  <c r="N27" i="60"/>
  <c r="L27" i="60"/>
  <c r="J27" i="60"/>
  <c r="B27" i="60"/>
  <c r="X26" i="60"/>
  <c r="Z26" i="60" s="1"/>
  <c r="R26" i="60"/>
  <c r="L26" i="60"/>
  <c r="N26" i="60" s="1"/>
  <c r="B26" i="60"/>
  <c r="Z25" i="60"/>
  <c r="X25" i="60"/>
  <c r="V25" i="60"/>
  <c r="N25" i="60"/>
  <c r="L25" i="60"/>
  <c r="J25" i="60"/>
  <c r="B25" i="60"/>
  <c r="Z24" i="60"/>
  <c r="X24" i="60"/>
  <c r="V24" i="60"/>
  <c r="N24" i="60"/>
  <c r="L24" i="60"/>
  <c r="J24" i="60"/>
  <c r="F24" i="60"/>
  <c r="B24" i="60"/>
  <c r="Z23" i="60"/>
  <c r="X23" i="60"/>
  <c r="V23" i="60"/>
  <c r="N23" i="60"/>
  <c r="L23" i="60"/>
  <c r="J23" i="60"/>
  <c r="B23" i="60"/>
  <c r="X22" i="60"/>
  <c r="Z22" i="60" s="1"/>
  <c r="L22" i="60"/>
  <c r="N22" i="60" s="1"/>
  <c r="F22" i="60"/>
  <c r="B22" i="60"/>
  <c r="Z21" i="60"/>
  <c r="X21" i="60"/>
  <c r="V21" i="60"/>
  <c r="N21" i="60"/>
  <c r="L21" i="60"/>
  <c r="J21" i="60"/>
  <c r="B21" i="60"/>
  <c r="X20" i="60"/>
  <c r="Z20" i="60" s="1"/>
  <c r="V20" i="60"/>
  <c r="R20" i="60"/>
  <c r="L20" i="60"/>
  <c r="N20" i="60" s="1"/>
  <c r="J20" i="60"/>
  <c r="B20" i="60"/>
  <c r="V19" i="60"/>
  <c r="T19" i="60"/>
  <c r="P19" i="60"/>
  <c r="X19" i="60" s="1"/>
  <c r="Z19" i="60" s="1"/>
  <c r="J19" i="60"/>
  <c r="H19" i="60"/>
  <c r="F19" i="60"/>
  <c r="D19" i="60"/>
  <c r="L19" i="60" s="1"/>
  <c r="N19" i="60" s="1"/>
  <c r="B19" i="60"/>
  <c r="T18" i="60"/>
  <c r="P18" i="60"/>
  <c r="X18" i="60" s="1"/>
  <c r="J18" i="60"/>
  <c r="H18" i="60"/>
  <c r="D18" i="60"/>
  <c r="L18" i="60" s="1"/>
  <c r="T16" i="60"/>
  <c r="J16" i="60"/>
  <c r="H16" i="60"/>
  <c r="D16" i="60"/>
  <c r="T14" i="60"/>
  <c r="Z14" i="60" s="1"/>
  <c r="P14" i="60"/>
  <c r="X14" i="60" s="1"/>
  <c r="L14" i="60"/>
  <c r="J14" i="60"/>
  <c r="H14" i="60"/>
  <c r="N14" i="60" s="1"/>
  <c r="D14" i="60"/>
  <c r="Z12" i="60"/>
  <c r="X12" i="60"/>
  <c r="T12" i="60"/>
  <c r="V46" i="60" s="1"/>
  <c r="P12" i="60"/>
  <c r="R59" i="60" s="1"/>
  <c r="N12" i="60"/>
  <c r="H12" i="60"/>
  <c r="J48" i="60" s="1"/>
  <c r="D12" i="60"/>
  <c r="F53" i="60" s="1"/>
  <c r="D6" i="60"/>
  <c r="D4" i="60"/>
  <c r="F78" i="59"/>
  <c r="F75" i="59"/>
  <c r="Z73" i="59"/>
  <c r="X73" i="59"/>
  <c r="R73" i="59"/>
  <c r="N73" i="59"/>
  <c r="L73" i="59"/>
  <c r="F73" i="59"/>
  <c r="F71" i="59"/>
  <c r="T69" i="59"/>
  <c r="Z69" i="59" s="1"/>
  <c r="P69" i="59"/>
  <c r="X69" i="59" s="1"/>
  <c r="H69" i="59"/>
  <c r="N69" i="59" s="1"/>
  <c r="F69" i="59"/>
  <c r="D69" i="59"/>
  <c r="L69" i="59" s="1"/>
  <c r="X67" i="59"/>
  <c r="Z67" i="59" s="1"/>
  <c r="R67" i="59"/>
  <c r="L67" i="59"/>
  <c r="N67" i="59" s="1"/>
  <c r="F67" i="59"/>
  <c r="B67" i="59"/>
  <c r="Z66" i="59"/>
  <c r="X66" i="59"/>
  <c r="T66" i="59"/>
  <c r="R66" i="59"/>
  <c r="P66" i="59"/>
  <c r="H66" i="59"/>
  <c r="F66" i="59"/>
  <c r="D66" i="59"/>
  <c r="L66" i="59" s="1"/>
  <c r="N66" i="59" s="1"/>
  <c r="B66" i="59"/>
  <c r="Z65" i="59"/>
  <c r="X65" i="59"/>
  <c r="R65" i="59"/>
  <c r="N65" i="59"/>
  <c r="L65" i="59"/>
  <c r="F65" i="59"/>
  <c r="B65" i="59"/>
  <c r="Z64" i="59"/>
  <c r="V64" i="59"/>
  <c r="T64" i="59"/>
  <c r="R64" i="59"/>
  <c r="P64" i="59"/>
  <c r="X64" i="59" s="1"/>
  <c r="N64" i="59"/>
  <c r="H64" i="59"/>
  <c r="F64" i="59"/>
  <c r="D64" i="59"/>
  <c r="L64" i="59" s="1"/>
  <c r="B64" i="59"/>
  <c r="X63" i="59"/>
  <c r="Z63" i="59" s="1"/>
  <c r="R63" i="59"/>
  <c r="L63" i="59"/>
  <c r="N63" i="59" s="1"/>
  <c r="F63" i="59"/>
  <c r="B63" i="59"/>
  <c r="Z62" i="59"/>
  <c r="X62" i="59"/>
  <c r="V62" i="59"/>
  <c r="N62" i="59"/>
  <c r="L62" i="59"/>
  <c r="B62" i="59"/>
  <c r="T61" i="59"/>
  <c r="R61" i="59"/>
  <c r="P61" i="59"/>
  <c r="H61" i="59"/>
  <c r="D61" i="59"/>
  <c r="B61" i="59"/>
  <c r="Z60" i="59"/>
  <c r="X60" i="59"/>
  <c r="R60" i="59"/>
  <c r="N60" i="59"/>
  <c r="L60" i="59"/>
  <c r="J60" i="59"/>
  <c r="F60" i="59"/>
  <c r="B60" i="59"/>
  <c r="T59" i="59"/>
  <c r="P59" i="59"/>
  <c r="H59" i="59"/>
  <c r="N59" i="59" s="1"/>
  <c r="F59" i="59"/>
  <c r="D59" i="59"/>
  <c r="L59" i="59" s="1"/>
  <c r="B59" i="59"/>
  <c r="Z58" i="59"/>
  <c r="X58" i="59"/>
  <c r="N58" i="59"/>
  <c r="L58" i="59"/>
  <c r="J58" i="59"/>
  <c r="B58" i="59"/>
  <c r="X57" i="59"/>
  <c r="Z57" i="59" s="1"/>
  <c r="R57" i="59"/>
  <c r="N57" i="59"/>
  <c r="L57" i="59"/>
  <c r="F57" i="59"/>
  <c r="B57" i="59"/>
  <c r="T56" i="59"/>
  <c r="R56" i="59"/>
  <c r="P56" i="59"/>
  <c r="X56" i="59" s="1"/>
  <c r="Z56" i="59" s="1"/>
  <c r="N56" i="59"/>
  <c r="L56" i="59"/>
  <c r="H56" i="59"/>
  <c r="F56" i="59"/>
  <c r="D56" i="59"/>
  <c r="B56" i="59"/>
  <c r="X55" i="59"/>
  <c r="Z55" i="59" s="1"/>
  <c r="R55" i="59"/>
  <c r="L55" i="59"/>
  <c r="N55" i="59" s="1"/>
  <c r="F55" i="59"/>
  <c r="B55" i="59"/>
  <c r="Z54" i="59"/>
  <c r="X54" i="59"/>
  <c r="N54" i="59"/>
  <c r="L54" i="59"/>
  <c r="B54" i="59"/>
  <c r="X53" i="59"/>
  <c r="Z53" i="59" s="1"/>
  <c r="R53" i="59"/>
  <c r="L53" i="59"/>
  <c r="N53" i="59" s="1"/>
  <c r="F53" i="59"/>
  <c r="B53" i="59"/>
  <c r="T52" i="59"/>
  <c r="R52" i="59"/>
  <c r="P52" i="59"/>
  <c r="X52" i="59" s="1"/>
  <c r="Z52" i="59" s="1"/>
  <c r="N52" i="59"/>
  <c r="L52" i="59"/>
  <c r="H52" i="59"/>
  <c r="F52" i="59"/>
  <c r="D52" i="59"/>
  <c r="B52" i="59"/>
  <c r="X51" i="59"/>
  <c r="Z51" i="59" s="1"/>
  <c r="R51" i="59"/>
  <c r="L51" i="59"/>
  <c r="N51" i="59" s="1"/>
  <c r="F51" i="59"/>
  <c r="B51" i="59"/>
  <c r="Z50" i="59"/>
  <c r="X50" i="59"/>
  <c r="T50" i="59"/>
  <c r="R50" i="59"/>
  <c r="P50" i="59"/>
  <c r="N50" i="59"/>
  <c r="H50" i="59"/>
  <c r="L50" i="59" s="1"/>
  <c r="F50" i="59"/>
  <c r="D50" i="59"/>
  <c r="B50" i="59"/>
  <c r="X49" i="59"/>
  <c r="Z49" i="59" s="1"/>
  <c r="R49" i="59"/>
  <c r="N49" i="59"/>
  <c r="L49" i="59"/>
  <c r="F49" i="59"/>
  <c r="B49" i="59"/>
  <c r="Z48" i="59"/>
  <c r="V48" i="59"/>
  <c r="T48" i="59"/>
  <c r="X48" i="59" s="1"/>
  <c r="R48" i="59"/>
  <c r="P48" i="59"/>
  <c r="N48" i="59"/>
  <c r="J48" i="59"/>
  <c r="H48" i="59"/>
  <c r="F48" i="59"/>
  <c r="D48" i="59"/>
  <c r="L48" i="59" s="1"/>
  <c r="B48" i="59"/>
  <c r="Z47" i="59"/>
  <c r="X47" i="59"/>
  <c r="R47" i="59"/>
  <c r="N47" i="59"/>
  <c r="L47" i="59"/>
  <c r="F47" i="59"/>
  <c r="B47" i="59"/>
  <c r="Z46" i="59"/>
  <c r="V46" i="59"/>
  <c r="T46" i="59"/>
  <c r="R46" i="59"/>
  <c r="P46" i="59"/>
  <c r="X46" i="59" s="1"/>
  <c r="N46" i="59"/>
  <c r="H46" i="59"/>
  <c r="F46" i="59"/>
  <c r="D46" i="59"/>
  <c r="L46" i="59" s="1"/>
  <c r="B46" i="59"/>
  <c r="X45" i="59"/>
  <c r="Z45" i="59" s="1"/>
  <c r="R45" i="59"/>
  <c r="N45" i="59"/>
  <c r="L45" i="59"/>
  <c r="F45" i="59"/>
  <c r="B45" i="59"/>
  <c r="Z44" i="59"/>
  <c r="X44" i="59"/>
  <c r="R44" i="59"/>
  <c r="N44" i="59"/>
  <c r="L44" i="59"/>
  <c r="F44" i="59"/>
  <c r="B44" i="59"/>
  <c r="T43" i="59"/>
  <c r="P43" i="59"/>
  <c r="X43" i="59" s="1"/>
  <c r="H43" i="59"/>
  <c r="N43" i="59" s="1"/>
  <c r="F43" i="59"/>
  <c r="D43" i="59"/>
  <c r="L43" i="59" s="1"/>
  <c r="B43" i="59"/>
  <c r="Z42" i="59"/>
  <c r="X42" i="59"/>
  <c r="N42" i="59"/>
  <c r="L42" i="59"/>
  <c r="J42" i="59"/>
  <c r="B42" i="59"/>
  <c r="T41" i="59"/>
  <c r="R41" i="59"/>
  <c r="P41" i="59"/>
  <c r="X41" i="59" s="1"/>
  <c r="L41" i="59"/>
  <c r="H41" i="59"/>
  <c r="N41" i="59" s="1"/>
  <c r="D41" i="59"/>
  <c r="B41" i="59"/>
  <c r="Z40" i="59"/>
  <c r="X40" i="59"/>
  <c r="V40" i="59"/>
  <c r="R40" i="59"/>
  <c r="N40" i="59"/>
  <c r="L40" i="59"/>
  <c r="F40" i="59"/>
  <c r="B40" i="59"/>
  <c r="Z39" i="59"/>
  <c r="X39" i="59"/>
  <c r="R39" i="59"/>
  <c r="N39" i="59"/>
  <c r="L39" i="59"/>
  <c r="F39" i="59"/>
  <c r="B39" i="59"/>
  <c r="Z38" i="59"/>
  <c r="X38" i="59"/>
  <c r="N38" i="59"/>
  <c r="L38" i="59"/>
  <c r="J38" i="59"/>
  <c r="B38" i="59"/>
  <c r="Z37" i="59"/>
  <c r="X37" i="59"/>
  <c r="R37" i="59"/>
  <c r="N37" i="59"/>
  <c r="L37" i="59"/>
  <c r="F37" i="59"/>
  <c r="B37" i="59"/>
  <c r="Z36" i="59"/>
  <c r="X36" i="59"/>
  <c r="R36" i="59"/>
  <c r="N36" i="59"/>
  <c r="L36" i="59"/>
  <c r="J36" i="59"/>
  <c r="F36" i="59"/>
  <c r="B36" i="59"/>
  <c r="Z35" i="59"/>
  <c r="X35" i="59"/>
  <c r="R35" i="59"/>
  <c r="N35" i="59"/>
  <c r="L35" i="59"/>
  <c r="F35" i="59"/>
  <c r="B35" i="59"/>
  <c r="Z34" i="59"/>
  <c r="X34" i="59"/>
  <c r="V34" i="59"/>
  <c r="N34" i="59"/>
  <c r="L34" i="59"/>
  <c r="B34" i="59"/>
  <c r="Z33" i="59"/>
  <c r="X33" i="59"/>
  <c r="R33" i="59"/>
  <c r="N33" i="59"/>
  <c r="L33" i="59"/>
  <c r="F33" i="59"/>
  <c r="B33" i="59"/>
  <c r="Z32" i="59"/>
  <c r="X32" i="59"/>
  <c r="V32" i="59"/>
  <c r="R32" i="59"/>
  <c r="N32" i="59"/>
  <c r="L32" i="59"/>
  <c r="F32" i="59"/>
  <c r="B32" i="59"/>
  <c r="Z31" i="59"/>
  <c r="X31" i="59"/>
  <c r="R31" i="59"/>
  <c r="N31" i="59"/>
  <c r="L31" i="59"/>
  <c r="F31" i="59"/>
  <c r="B31" i="59"/>
  <c r="Z30" i="59"/>
  <c r="X30" i="59"/>
  <c r="T30" i="59"/>
  <c r="R30" i="59"/>
  <c r="P30" i="59"/>
  <c r="N30" i="59"/>
  <c r="H30" i="59"/>
  <c r="F30" i="59"/>
  <c r="D30" i="59"/>
  <c r="L30" i="59" s="1"/>
  <c r="B30" i="59"/>
  <c r="X29" i="59"/>
  <c r="Z29" i="59" s="1"/>
  <c r="R29" i="59"/>
  <c r="L29" i="59"/>
  <c r="N29" i="59" s="1"/>
  <c r="F29" i="59"/>
  <c r="B29" i="59"/>
  <c r="Z28" i="59"/>
  <c r="X28" i="59"/>
  <c r="V28" i="59"/>
  <c r="R28" i="59"/>
  <c r="N28" i="59"/>
  <c r="L28" i="59"/>
  <c r="F28" i="59"/>
  <c r="B28" i="59"/>
  <c r="X27" i="59"/>
  <c r="Z27" i="59" s="1"/>
  <c r="R27" i="59"/>
  <c r="L27" i="59"/>
  <c r="N27" i="59" s="1"/>
  <c r="F27" i="59"/>
  <c r="B27" i="59"/>
  <c r="Z26" i="59"/>
  <c r="X26" i="59"/>
  <c r="N26" i="59"/>
  <c r="L26" i="59"/>
  <c r="B26" i="59"/>
  <c r="X25" i="59"/>
  <c r="Z25" i="59" s="1"/>
  <c r="R25" i="59"/>
  <c r="L25" i="59"/>
  <c r="N25" i="59" s="1"/>
  <c r="F25" i="59"/>
  <c r="B25" i="59"/>
  <c r="Z24" i="59"/>
  <c r="X24" i="59"/>
  <c r="V24" i="59"/>
  <c r="R24" i="59"/>
  <c r="N24" i="59"/>
  <c r="L24" i="59"/>
  <c r="F24" i="59"/>
  <c r="B24" i="59"/>
  <c r="X23" i="59"/>
  <c r="Z23" i="59" s="1"/>
  <c r="R23" i="59"/>
  <c r="L23" i="59"/>
  <c r="N23" i="59" s="1"/>
  <c r="F23" i="59"/>
  <c r="B23" i="59"/>
  <c r="Z22" i="59"/>
  <c r="X22" i="59"/>
  <c r="V22" i="59"/>
  <c r="N22" i="59"/>
  <c r="L22" i="59"/>
  <c r="B22" i="59"/>
  <c r="X21" i="59"/>
  <c r="Z21" i="59" s="1"/>
  <c r="R21" i="59"/>
  <c r="L21" i="59"/>
  <c r="N21" i="59" s="1"/>
  <c r="F21" i="59"/>
  <c r="B21" i="59"/>
  <c r="Z20" i="59"/>
  <c r="X20" i="59"/>
  <c r="V20" i="59"/>
  <c r="R20" i="59"/>
  <c r="N20" i="59"/>
  <c r="L20" i="59"/>
  <c r="F20" i="59"/>
  <c r="B20" i="59"/>
  <c r="X19" i="59"/>
  <c r="T19" i="59"/>
  <c r="Z19" i="59" s="1"/>
  <c r="P19" i="59"/>
  <c r="L19" i="59"/>
  <c r="H19" i="59"/>
  <c r="F19" i="59"/>
  <c r="D19" i="59"/>
  <c r="B19" i="59"/>
  <c r="V18" i="59"/>
  <c r="T18" i="59"/>
  <c r="R18" i="59"/>
  <c r="P18" i="59"/>
  <c r="X18" i="59" s="1"/>
  <c r="Z18" i="59" s="1"/>
  <c r="H18" i="59"/>
  <c r="F18" i="59"/>
  <c r="D18" i="59"/>
  <c r="L18" i="59" s="1"/>
  <c r="N18" i="59" s="1"/>
  <c r="R16" i="59"/>
  <c r="F16" i="59"/>
  <c r="Z14" i="59"/>
  <c r="V14" i="59"/>
  <c r="T14" i="59"/>
  <c r="R14" i="59"/>
  <c r="P14" i="59"/>
  <c r="P16" i="59" s="1"/>
  <c r="N14" i="59"/>
  <c r="H14" i="59"/>
  <c r="F14" i="59"/>
  <c r="D14" i="59"/>
  <c r="L14" i="59" s="1"/>
  <c r="Z12" i="59"/>
  <c r="T12" i="59"/>
  <c r="V78" i="59" s="1"/>
  <c r="P12" i="59"/>
  <c r="R78" i="59" s="1"/>
  <c r="H12" i="59"/>
  <c r="J64" i="59" s="1"/>
  <c r="D12" i="59"/>
  <c r="F62" i="59" s="1"/>
  <c r="D6" i="59"/>
  <c r="D4" i="59"/>
  <c r="V84" i="58"/>
  <c r="J84" i="58"/>
  <c r="V81" i="58"/>
  <c r="J81" i="58"/>
  <c r="F81" i="58"/>
  <c r="Z79" i="58"/>
  <c r="X79" i="58"/>
  <c r="V79" i="58"/>
  <c r="N79" i="58"/>
  <c r="L79" i="58"/>
  <c r="J79" i="58"/>
  <c r="V77" i="58"/>
  <c r="R77" i="58"/>
  <c r="J77" i="58"/>
  <c r="Z75" i="58"/>
  <c r="V75" i="58"/>
  <c r="T75" i="58"/>
  <c r="X75" i="58" s="1"/>
  <c r="P75" i="58"/>
  <c r="N75" i="58"/>
  <c r="J75" i="58"/>
  <c r="H75" i="58"/>
  <c r="D75" i="58"/>
  <c r="L75" i="58" s="1"/>
  <c r="Z73" i="58"/>
  <c r="X73" i="58"/>
  <c r="V73" i="58"/>
  <c r="N73" i="58"/>
  <c r="L73" i="58"/>
  <c r="J73" i="58"/>
  <c r="B73" i="58"/>
  <c r="V72" i="58"/>
  <c r="T72" i="58"/>
  <c r="Z72" i="58" s="1"/>
  <c r="P72" i="58"/>
  <c r="H72" i="58"/>
  <c r="N72" i="58" s="1"/>
  <c r="D72" i="58"/>
  <c r="L72" i="58" s="1"/>
  <c r="B72" i="58"/>
  <c r="Z71" i="58"/>
  <c r="X71" i="58"/>
  <c r="V71" i="58"/>
  <c r="N71" i="58"/>
  <c r="L71" i="58"/>
  <c r="J71" i="58"/>
  <c r="B71" i="58"/>
  <c r="T70" i="58"/>
  <c r="Z70" i="58" s="1"/>
  <c r="P70" i="58"/>
  <c r="X70" i="58" s="1"/>
  <c r="L70" i="58"/>
  <c r="J70" i="58"/>
  <c r="H70" i="58"/>
  <c r="N70" i="58" s="1"/>
  <c r="D70" i="58"/>
  <c r="B70" i="58"/>
  <c r="Z69" i="58"/>
  <c r="X69" i="58"/>
  <c r="V69" i="58"/>
  <c r="N69" i="58"/>
  <c r="L69" i="58"/>
  <c r="J69" i="58"/>
  <c r="B69" i="58"/>
  <c r="X68" i="58"/>
  <c r="V68" i="58"/>
  <c r="T68" i="58"/>
  <c r="Z68" i="58" s="1"/>
  <c r="P68" i="58"/>
  <c r="H68" i="58"/>
  <c r="D68" i="58"/>
  <c r="B68" i="58"/>
  <c r="Z67" i="58"/>
  <c r="X67" i="58"/>
  <c r="V67" i="58"/>
  <c r="N67" i="58"/>
  <c r="L67" i="58"/>
  <c r="J67" i="58"/>
  <c r="B67" i="58"/>
  <c r="X66" i="58"/>
  <c r="Z66" i="58" s="1"/>
  <c r="L66" i="58"/>
  <c r="N66" i="58" s="1"/>
  <c r="B66" i="58"/>
  <c r="Z65" i="58"/>
  <c r="X65" i="58"/>
  <c r="V65" i="58"/>
  <c r="N65" i="58"/>
  <c r="L65" i="58"/>
  <c r="J65" i="58"/>
  <c r="B65" i="58"/>
  <c r="X64" i="58"/>
  <c r="Z64" i="58" s="1"/>
  <c r="V64" i="58"/>
  <c r="L64" i="58"/>
  <c r="N64" i="58" s="1"/>
  <c r="J64" i="58"/>
  <c r="F64" i="58"/>
  <c r="B64" i="58"/>
  <c r="Z63" i="58"/>
  <c r="X63" i="58"/>
  <c r="V63" i="58"/>
  <c r="T63" i="58"/>
  <c r="P63" i="58"/>
  <c r="N63" i="58"/>
  <c r="J63" i="58"/>
  <c r="H63" i="58"/>
  <c r="D63" i="58"/>
  <c r="L63" i="58" s="1"/>
  <c r="B63" i="58"/>
  <c r="X62" i="58"/>
  <c r="Z62" i="58" s="1"/>
  <c r="L62" i="58"/>
  <c r="N62" i="58" s="1"/>
  <c r="B62" i="58"/>
  <c r="Z61" i="58"/>
  <c r="V61" i="58"/>
  <c r="T61" i="58"/>
  <c r="P61" i="58"/>
  <c r="X61" i="58" s="1"/>
  <c r="J61" i="58"/>
  <c r="H61" i="58"/>
  <c r="D61" i="58"/>
  <c r="L61" i="58" s="1"/>
  <c r="N61" i="58" s="1"/>
  <c r="B61" i="58"/>
  <c r="Z60" i="58"/>
  <c r="X60" i="58"/>
  <c r="V60" i="58"/>
  <c r="R60" i="58"/>
  <c r="N60" i="58"/>
  <c r="L60" i="58"/>
  <c r="J60" i="58"/>
  <c r="B60" i="58"/>
  <c r="Z59" i="58"/>
  <c r="X59" i="58"/>
  <c r="V59" i="58"/>
  <c r="N59" i="58"/>
  <c r="L59" i="58"/>
  <c r="J59" i="58"/>
  <c r="B59" i="58"/>
  <c r="X58" i="58"/>
  <c r="T58" i="58"/>
  <c r="P58" i="58"/>
  <c r="J58" i="58"/>
  <c r="H58" i="58"/>
  <c r="D58" i="58"/>
  <c r="L58" i="58" s="1"/>
  <c r="B58" i="58"/>
  <c r="Z57" i="58"/>
  <c r="X57" i="58"/>
  <c r="V57" i="58"/>
  <c r="N57" i="58"/>
  <c r="L57" i="58"/>
  <c r="J57" i="58"/>
  <c r="B57" i="58"/>
  <c r="X56" i="58"/>
  <c r="Z56" i="58" s="1"/>
  <c r="V56" i="58"/>
  <c r="L56" i="58"/>
  <c r="N56" i="58" s="1"/>
  <c r="J56" i="58"/>
  <c r="B56" i="58"/>
  <c r="Z55" i="58"/>
  <c r="X55" i="58"/>
  <c r="V55" i="58"/>
  <c r="N55" i="58"/>
  <c r="L55" i="58"/>
  <c r="J55" i="58"/>
  <c r="B55" i="58"/>
  <c r="X54" i="58"/>
  <c r="T54" i="58"/>
  <c r="P54" i="58"/>
  <c r="L54" i="58"/>
  <c r="J54" i="58"/>
  <c r="H54" i="58"/>
  <c r="D54" i="58"/>
  <c r="B54" i="58"/>
  <c r="Z53" i="58"/>
  <c r="X53" i="58"/>
  <c r="V53" i="58"/>
  <c r="N53" i="58"/>
  <c r="L53" i="58"/>
  <c r="J53" i="58"/>
  <c r="B53" i="58"/>
  <c r="X52" i="58"/>
  <c r="Z52" i="58" s="1"/>
  <c r="V52" i="58"/>
  <c r="N52" i="58"/>
  <c r="L52" i="58"/>
  <c r="J52" i="58"/>
  <c r="B52" i="58"/>
  <c r="Z51" i="58"/>
  <c r="V51" i="58"/>
  <c r="T51" i="58"/>
  <c r="P51" i="58"/>
  <c r="X51" i="58" s="1"/>
  <c r="J51" i="58"/>
  <c r="H51" i="58"/>
  <c r="L51" i="58" s="1"/>
  <c r="N51" i="58" s="1"/>
  <c r="F51" i="58"/>
  <c r="D51" i="58"/>
  <c r="B51" i="58"/>
  <c r="X50" i="58"/>
  <c r="Z50" i="58" s="1"/>
  <c r="L50" i="58"/>
  <c r="N50" i="58" s="1"/>
  <c r="F50" i="58"/>
  <c r="B50" i="58"/>
  <c r="V49" i="58"/>
  <c r="T49" i="58"/>
  <c r="X49" i="58" s="1"/>
  <c r="Z49" i="58" s="1"/>
  <c r="P49" i="58"/>
  <c r="N49" i="58"/>
  <c r="L49" i="58"/>
  <c r="J49" i="58"/>
  <c r="H49" i="58"/>
  <c r="F49" i="58"/>
  <c r="D49" i="58"/>
  <c r="B49" i="58"/>
  <c r="X48" i="58"/>
  <c r="Z48" i="58" s="1"/>
  <c r="V48" i="58"/>
  <c r="L48" i="58"/>
  <c r="N48" i="58" s="1"/>
  <c r="J48" i="58"/>
  <c r="F48" i="58"/>
  <c r="B48" i="58"/>
  <c r="Z47" i="58"/>
  <c r="X47" i="58"/>
  <c r="V47" i="58"/>
  <c r="T47" i="58"/>
  <c r="P47" i="58"/>
  <c r="J47" i="58"/>
  <c r="H47" i="58"/>
  <c r="D47" i="58"/>
  <c r="L47" i="58" s="1"/>
  <c r="N47" i="58" s="1"/>
  <c r="B47" i="58"/>
  <c r="X46" i="58"/>
  <c r="Z46" i="58" s="1"/>
  <c r="R46" i="58"/>
  <c r="L46" i="58"/>
  <c r="N46" i="58" s="1"/>
  <c r="F46" i="58"/>
  <c r="B46" i="58"/>
  <c r="V45" i="58"/>
  <c r="T45" i="58"/>
  <c r="P45" i="58"/>
  <c r="X45" i="58" s="1"/>
  <c r="Z45" i="58" s="1"/>
  <c r="N45" i="58"/>
  <c r="J45" i="58"/>
  <c r="H45" i="58"/>
  <c r="D45" i="58"/>
  <c r="L45" i="58" s="1"/>
  <c r="B45" i="58"/>
  <c r="X44" i="58"/>
  <c r="Z44" i="58" s="1"/>
  <c r="V44" i="58"/>
  <c r="R44" i="58"/>
  <c r="N44" i="58"/>
  <c r="L44" i="58"/>
  <c r="J44" i="58"/>
  <c r="F44" i="58"/>
  <c r="B44" i="58"/>
  <c r="V43" i="58"/>
  <c r="T43" i="58"/>
  <c r="P43" i="58"/>
  <c r="X43" i="58" s="1"/>
  <c r="Z43" i="58" s="1"/>
  <c r="N43" i="58"/>
  <c r="J43" i="58"/>
  <c r="H43" i="58"/>
  <c r="L43" i="58" s="1"/>
  <c r="D43" i="58"/>
  <c r="B43" i="58"/>
  <c r="X42" i="58"/>
  <c r="Z42" i="58" s="1"/>
  <c r="L42" i="58"/>
  <c r="N42" i="58" s="1"/>
  <c r="F42" i="58"/>
  <c r="B42" i="58"/>
  <c r="V41" i="58"/>
  <c r="T41" i="58"/>
  <c r="X41" i="58" s="1"/>
  <c r="Z41" i="58" s="1"/>
  <c r="P41" i="58"/>
  <c r="L41" i="58"/>
  <c r="N41" i="58" s="1"/>
  <c r="J41" i="58"/>
  <c r="H41" i="58"/>
  <c r="F41" i="58"/>
  <c r="D41" i="58"/>
  <c r="B41" i="58"/>
  <c r="Z40" i="58"/>
  <c r="X40" i="58"/>
  <c r="V40" i="58"/>
  <c r="N40" i="58"/>
  <c r="L40" i="58"/>
  <c r="J40" i="58"/>
  <c r="F40" i="58"/>
  <c r="B40" i="58"/>
  <c r="Z39" i="58"/>
  <c r="X39" i="58"/>
  <c r="V39" i="58"/>
  <c r="N39" i="58"/>
  <c r="L39" i="58"/>
  <c r="J39" i="58"/>
  <c r="B39" i="58"/>
  <c r="Z38" i="58"/>
  <c r="X38" i="58"/>
  <c r="R38" i="58"/>
  <c r="N38" i="58"/>
  <c r="L38" i="58"/>
  <c r="F38" i="58"/>
  <c r="B38" i="58"/>
  <c r="Z37" i="58"/>
  <c r="X37" i="58"/>
  <c r="V37" i="58"/>
  <c r="R37" i="58"/>
  <c r="N37" i="58"/>
  <c r="L37" i="58"/>
  <c r="J37" i="58"/>
  <c r="F37" i="58"/>
  <c r="B37" i="58"/>
  <c r="Z36" i="58"/>
  <c r="X36" i="58"/>
  <c r="V36" i="58"/>
  <c r="N36" i="58"/>
  <c r="L36" i="58"/>
  <c r="J36" i="58"/>
  <c r="F36" i="58"/>
  <c r="B36" i="58"/>
  <c r="X35" i="58"/>
  <c r="Z35" i="58" s="1"/>
  <c r="V35" i="58"/>
  <c r="L35" i="58"/>
  <c r="N35" i="58" s="1"/>
  <c r="J35" i="58"/>
  <c r="B35" i="58"/>
  <c r="Z34" i="58"/>
  <c r="X34" i="58"/>
  <c r="R34" i="58"/>
  <c r="N34" i="58"/>
  <c r="L34" i="58"/>
  <c r="F34" i="58"/>
  <c r="B34" i="58"/>
  <c r="Z33" i="58"/>
  <c r="X33" i="58"/>
  <c r="V33" i="58"/>
  <c r="R33" i="58"/>
  <c r="N33" i="58"/>
  <c r="L33" i="58"/>
  <c r="J33" i="58"/>
  <c r="F33" i="58"/>
  <c r="B33" i="58"/>
  <c r="Z32" i="58"/>
  <c r="X32" i="58"/>
  <c r="V32" i="58"/>
  <c r="N32" i="58"/>
  <c r="L32" i="58"/>
  <c r="J32" i="58"/>
  <c r="F32" i="58"/>
  <c r="B32" i="58"/>
  <c r="X31" i="58"/>
  <c r="Z31" i="58" s="1"/>
  <c r="V31" i="58"/>
  <c r="L31" i="58"/>
  <c r="N31" i="58" s="1"/>
  <c r="J31" i="58"/>
  <c r="B31" i="58"/>
  <c r="T30" i="58"/>
  <c r="Z30" i="58" s="1"/>
  <c r="P30" i="58"/>
  <c r="X30" i="58" s="1"/>
  <c r="L30" i="58"/>
  <c r="J30" i="58"/>
  <c r="H30" i="58"/>
  <c r="D30" i="58"/>
  <c r="B30" i="58"/>
  <c r="Z29" i="58"/>
  <c r="X29" i="58"/>
  <c r="V29" i="58"/>
  <c r="R29" i="58"/>
  <c r="N29" i="58"/>
  <c r="L29" i="58"/>
  <c r="J29" i="58"/>
  <c r="B29" i="58"/>
  <c r="X28" i="58"/>
  <c r="Z28" i="58" s="1"/>
  <c r="V28" i="58"/>
  <c r="R28" i="58"/>
  <c r="L28" i="58"/>
  <c r="N28" i="58" s="1"/>
  <c r="J28" i="58"/>
  <c r="F28" i="58"/>
  <c r="B28" i="58"/>
  <c r="Z27" i="58"/>
  <c r="X27" i="58"/>
  <c r="V27" i="58"/>
  <c r="N27" i="58"/>
  <c r="L27" i="58"/>
  <c r="J27" i="58"/>
  <c r="B27" i="58"/>
  <c r="Z26" i="58"/>
  <c r="X26" i="58"/>
  <c r="N26" i="58"/>
  <c r="L26" i="58"/>
  <c r="F26" i="58"/>
  <c r="B26" i="58"/>
  <c r="Z25" i="58"/>
  <c r="X25" i="58"/>
  <c r="V25" i="58"/>
  <c r="N25" i="58"/>
  <c r="L25" i="58"/>
  <c r="J25" i="58"/>
  <c r="F25" i="58"/>
  <c r="B25" i="58"/>
  <c r="X24" i="58"/>
  <c r="Z24" i="58" s="1"/>
  <c r="V24" i="58"/>
  <c r="L24" i="58"/>
  <c r="N24" i="58" s="1"/>
  <c r="J24" i="58"/>
  <c r="F24" i="58"/>
  <c r="B24" i="58"/>
  <c r="Z23" i="58"/>
  <c r="X23" i="58"/>
  <c r="V23" i="58"/>
  <c r="N23" i="58"/>
  <c r="L23" i="58"/>
  <c r="J23" i="58"/>
  <c r="B23" i="58"/>
  <c r="X22" i="58"/>
  <c r="Z22" i="58" s="1"/>
  <c r="N22" i="58"/>
  <c r="L22" i="58"/>
  <c r="B22" i="58"/>
  <c r="Z21" i="58"/>
  <c r="X21" i="58"/>
  <c r="V21" i="58"/>
  <c r="N21" i="58"/>
  <c r="L21" i="58"/>
  <c r="J21" i="58"/>
  <c r="F21" i="58"/>
  <c r="B21" i="58"/>
  <c r="X20" i="58"/>
  <c r="Z20" i="58" s="1"/>
  <c r="V20" i="58"/>
  <c r="L20" i="58"/>
  <c r="N20" i="58" s="1"/>
  <c r="J20" i="58"/>
  <c r="B20" i="58"/>
  <c r="Z19" i="58"/>
  <c r="X19" i="58"/>
  <c r="V19" i="58"/>
  <c r="T19" i="58"/>
  <c r="R19" i="58"/>
  <c r="P19" i="58"/>
  <c r="J19" i="58"/>
  <c r="H19" i="58"/>
  <c r="L19" i="58" s="1"/>
  <c r="F19" i="58"/>
  <c r="D19" i="58"/>
  <c r="B19" i="58"/>
  <c r="T18" i="58"/>
  <c r="R18" i="58"/>
  <c r="P18" i="58"/>
  <c r="X18" i="58" s="1"/>
  <c r="Z18" i="58" s="1"/>
  <c r="J18" i="58"/>
  <c r="H18" i="58"/>
  <c r="D18" i="58"/>
  <c r="T16" i="58"/>
  <c r="R16" i="58"/>
  <c r="J16" i="58"/>
  <c r="H16" i="58"/>
  <c r="D16" i="58"/>
  <c r="X14" i="58"/>
  <c r="T14" i="58"/>
  <c r="Z14" i="58" s="1"/>
  <c r="P14" i="58"/>
  <c r="J14" i="58"/>
  <c r="H14" i="58"/>
  <c r="N14" i="58" s="1"/>
  <c r="D14" i="58"/>
  <c r="Z12" i="58"/>
  <c r="X12" i="58"/>
  <c r="T12" i="58"/>
  <c r="V70" i="58" s="1"/>
  <c r="P12" i="58"/>
  <c r="R49" i="58" s="1"/>
  <c r="N12" i="58"/>
  <c r="L12" i="58"/>
  <c r="H12" i="58"/>
  <c r="J72" i="58" s="1"/>
  <c r="D12" i="58"/>
  <c r="D6" i="58"/>
  <c r="D4" i="58"/>
  <c r="Z76" i="57"/>
  <c r="X76" i="57"/>
  <c r="N76" i="57"/>
  <c r="L76" i="57"/>
  <c r="J76" i="57"/>
  <c r="Z72" i="57"/>
  <c r="X72" i="57"/>
  <c r="R72" i="57"/>
  <c r="P72" i="57"/>
  <c r="N72" i="57"/>
  <c r="D72" i="57"/>
  <c r="L72" i="57" s="1"/>
  <c r="B72" i="57"/>
  <c r="Z71" i="57"/>
  <c r="P71" i="57"/>
  <c r="X71" i="57" s="1"/>
  <c r="N71" i="57"/>
  <c r="L71" i="57"/>
  <c r="J71" i="57"/>
  <c r="D71" i="57"/>
  <c r="B71" i="57"/>
  <c r="Z70" i="57"/>
  <c r="X70" i="57"/>
  <c r="P70" i="57"/>
  <c r="P69" i="57" s="1"/>
  <c r="X69" i="57" s="1"/>
  <c r="N70" i="57"/>
  <c r="J70" i="57"/>
  <c r="D70" i="57"/>
  <c r="B70" i="57"/>
  <c r="Z69" i="57"/>
  <c r="T69" i="57"/>
  <c r="N69" i="57"/>
  <c r="J69" i="57"/>
  <c r="H69" i="57"/>
  <c r="Z67" i="57"/>
  <c r="X67" i="57"/>
  <c r="N67" i="57"/>
  <c r="L67" i="57"/>
  <c r="J67" i="57"/>
  <c r="B67" i="57"/>
  <c r="T66" i="57"/>
  <c r="Z66" i="57" s="1"/>
  <c r="P66" i="57"/>
  <c r="L66" i="57"/>
  <c r="J66" i="57"/>
  <c r="H66" i="57"/>
  <c r="N66" i="57" s="1"/>
  <c r="D66" i="57"/>
  <c r="B66" i="57"/>
  <c r="Z65" i="57"/>
  <c r="X65" i="57"/>
  <c r="R65" i="57"/>
  <c r="N65" i="57"/>
  <c r="L65" i="57"/>
  <c r="J65" i="57"/>
  <c r="B65" i="57"/>
  <c r="T64" i="57"/>
  <c r="P64" i="57"/>
  <c r="L64" i="57"/>
  <c r="N64" i="57" s="1"/>
  <c r="H64" i="57"/>
  <c r="D64" i="57"/>
  <c r="B64" i="57"/>
  <c r="Z63" i="57"/>
  <c r="X63" i="57"/>
  <c r="N63" i="57"/>
  <c r="L63" i="57"/>
  <c r="J63" i="57"/>
  <c r="B63" i="57"/>
  <c r="X62" i="57"/>
  <c r="T62" i="57"/>
  <c r="Z62" i="57" s="1"/>
  <c r="P62" i="57"/>
  <c r="J62" i="57"/>
  <c r="H62" i="57"/>
  <c r="D62" i="57"/>
  <c r="B62" i="57"/>
  <c r="Z61" i="57"/>
  <c r="X61" i="57"/>
  <c r="N61" i="57"/>
  <c r="L61" i="57"/>
  <c r="F61" i="57"/>
  <c r="B61" i="57"/>
  <c r="Z60" i="57"/>
  <c r="X60" i="57"/>
  <c r="N60" i="57"/>
  <c r="L60" i="57"/>
  <c r="J60" i="57"/>
  <c r="B60" i="57"/>
  <c r="Z59" i="57"/>
  <c r="X59" i="57"/>
  <c r="N59" i="57"/>
  <c r="L59" i="57"/>
  <c r="J59" i="57"/>
  <c r="B59" i="57"/>
  <c r="X58" i="57"/>
  <c r="Z58" i="57" s="1"/>
  <c r="T58" i="57"/>
  <c r="P58" i="57"/>
  <c r="J58" i="57"/>
  <c r="H58" i="57"/>
  <c r="D58" i="57"/>
  <c r="L58" i="57" s="1"/>
  <c r="B58" i="57"/>
  <c r="Z57" i="57"/>
  <c r="X57" i="57"/>
  <c r="N57" i="57"/>
  <c r="L57" i="57"/>
  <c r="J57" i="57"/>
  <c r="B57" i="57"/>
  <c r="T56" i="57"/>
  <c r="P56" i="57"/>
  <c r="X56" i="57" s="1"/>
  <c r="H56" i="57"/>
  <c r="D56" i="57"/>
  <c r="L56" i="57" s="1"/>
  <c r="N56" i="57" s="1"/>
  <c r="B56" i="57"/>
  <c r="Z55" i="57"/>
  <c r="X55" i="57"/>
  <c r="N55" i="57"/>
  <c r="L55" i="57"/>
  <c r="B55" i="57"/>
  <c r="Z54" i="57"/>
  <c r="X54" i="57"/>
  <c r="R54" i="57"/>
  <c r="N54" i="57"/>
  <c r="L54" i="57"/>
  <c r="B54" i="57"/>
  <c r="Z53" i="57"/>
  <c r="X53" i="57"/>
  <c r="R53" i="57"/>
  <c r="N53" i="57"/>
  <c r="L53" i="57"/>
  <c r="J53" i="57"/>
  <c r="B53" i="57"/>
  <c r="T52" i="57"/>
  <c r="P52" i="57"/>
  <c r="X52" i="57" s="1"/>
  <c r="L52" i="57"/>
  <c r="N52" i="57" s="1"/>
  <c r="H52" i="57"/>
  <c r="D52" i="57"/>
  <c r="B52" i="57"/>
  <c r="Z51" i="57"/>
  <c r="X51" i="57"/>
  <c r="N51" i="57"/>
  <c r="L51" i="57"/>
  <c r="J51" i="57"/>
  <c r="B51" i="57"/>
  <c r="X50" i="57"/>
  <c r="T50" i="57"/>
  <c r="P50" i="57"/>
  <c r="J50" i="57"/>
  <c r="H50" i="57"/>
  <c r="D50" i="57"/>
  <c r="B50" i="57"/>
  <c r="Z49" i="57"/>
  <c r="X49" i="57"/>
  <c r="N49" i="57"/>
  <c r="L49" i="57"/>
  <c r="F49" i="57"/>
  <c r="B49" i="57"/>
  <c r="T48" i="57"/>
  <c r="P48" i="57"/>
  <c r="X48" i="57" s="1"/>
  <c r="H48" i="57"/>
  <c r="D48" i="57"/>
  <c r="L48" i="57" s="1"/>
  <c r="B48" i="57"/>
  <c r="X47" i="57"/>
  <c r="Z47" i="57" s="1"/>
  <c r="L47" i="57"/>
  <c r="N47" i="57" s="1"/>
  <c r="J47" i="57"/>
  <c r="B47" i="57"/>
  <c r="Z46" i="57"/>
  <c r="X46" i="57"/>
  <c r="N46" i="57"/>
  <c r="L46" i="57"/>
  <c r="F46" i="57"/>
  <c r="B46" i="57"/>
  <c r="Z45" i="57"/>
  <c r="T45" i="57"/>
  <c r="P45" i="57"/>
  <c r="X45" i="57" s="1"/>
  <c r="L45" i="57"/>
  <c r="N45" i="57" s="1"/>
  <c r="J45" i="57"/>
  <c r="H45" i="57"/>
  <c r="D45" i="57"/>
  <c r="B45" i="57"/>
  <c r="X44" i="57"/>
  <c r="Z44" i="57" s="1"/>
  <c r="R44" i="57"/>
  <c r="L44" i="57"/>
  <c r="N44" i="57" s="1"/>
  <c r="J44" i="57"/>
  <c r="B44" i="57"/>
  <c r="T43" i="57"/>
  <c r="P43" i="57"/>
  <c r="X43" i="57" s="1"/>
  <c r="Z43" i="57" s="1"/>
  <c r="H43" i="57"/>
  <c r="L43" i="57" s="1"/>
  <c r="D43" i="57"/>
  <c r="B43" i="57"/>
  <c r="Z42" i="57"/>
  <c r="X42" i="57"/>
  <c r="L42" i="57"/>
  <c r="N42" i="57" s="1"/>
  <c r="B42" i="57"/>
  <c r="T41" i="57"/>
  <c r="P41" i="57"/>
  <c r="H41" i="57"/>
  <c r="D41" i="57"/>
  <c r="L41" i="57" s="1"/>
  <c r="N41" i="57" s="1"/>
  <c r="B41" i="57"/>
  <c r="Z40" i="57"/>
  <c r="X40" i="57"/>
  <c r="N40" i="57"/>
  <c r="L40" i="57"/>
  <c r="J40" i="57"/>
  <c r="B40" i="57"/>
  <c r="Z39" i="57"/>
  <c r="X39" i="57"/>
  <c r="N39" i="57"/>
  <c r="L39" i="57"/>
  <c r="J39" i="57"/>
  <c r="B39" i="57"/>
  <c r="X38" i="57"/>
  <c r="Z38" i="57" s="1"/>
  <c r="L38" i="57"/>
  <c r="N38" i="57" s="1"/>
  <c r="B38" i="57"/>
  <c r="Z37" i="57"/>
  <c r="X37" i="57"/>
  <c r="N37" i="57"/>
  <c r="L37" i="57"/>
  <c r="J37" i="57"/>
  <c r="B37" i="57"/>
  <c r="Z36" i="57"/>
  <c r="X36" i="57"/>
  <c r="N36" i="57"/>
  <c r="L36" i="57"/>
  <c r="J36" i="57"/>
  <c r="B36" i="57"/>
  <c r="Z35" i="57"/>
  <c r="X35" i="57"/>
  <c r="N35" i="57"/>
  <c r="L35" i="57"/>
  <c r="J35" i="57"/>
  <c r="B35" i="57"/>
  <c r="Z34" i="57"/>
  <c r="X34" i="57"/>
  <c r="N34" i="57"/>
  <c r="L34" i="57"/>
  <c r="B34" i="57"/>
  <c r="Z33" i="57"/>
  <c r="X33" i="57"/>
  <c r="N33" i="57"/>
  <c r="L33" i="57"/>
  <c r="J33" i="57"/>
  <c r="B33" i="57"/>
  <c r="X32" i="57"/>
  <c r="Z32" i="57" s="1"/>
  <c r="L32" i="57"/>
  <c r="N32" i="57" s="1"/>
  <c r="J32" i="57"/>
  <c r="B32" i="57"/>
  <c r="Z31" i="57"/>
  <c r="X31" i="57"/>
  <c r="N31" i="57"/>
  <c r="L31" i="57"/>
  <c r="J31" i="57"/>
  <c r="B31" i="57"/>
  <c r="X30" i="57"/>
  <c r="Z30" i="57" s="1"/>
  <c r="T30" i="57"/>
  <c r="P30" i="57"/>
  <c r="J30" i="57"/>
  <c r="H30" i="57"/>
  <c r="D30" i="57"/>
  <c r="L30" i="57" s="1"/>
  <c r="B30" i="57"/>
  <c r="Z29" i="57"/>
  <c r="X29" i="57"/>
  <c r="N29" i="57"/>
  <c r="L29" i="57"/>
  <c r="J29" i="57"/>
  <c r="B29" i="57"/>
  <c r="X28" i="57"/>
  <c r="Z28" i="57" s="1"/>
  <c r="L28" i="57"/>
  <c r="N28" i="57" s="1"/>
  <c r="J28" i="57"/>
  <c r="B28" i="57"/>
  <c r="X27" i="57"/>
  <c r="Z27" i="57" s="1"/>
  <c r="L27" i="57"/>
  <c r="N27" i="57" s="1"/>
  <c r="J27" i="57"/>
  <c r="B27" i="57"/>
  <c r="Z26" i="57"/>
  <c r="X26" i="57"/>
  <c r="N26" i="57"/>
  <c r="L26" i="57"/>
  <c r="F26" i="57"/>
  <c r="B26" i="57"/>
  <c r="Z25" i="57"/>
  <c r="X25" i="57"/>
  <c r="N25" i="57"/>
  <c r="L25" i="57"/>
  <c r="J25" i="57"/>
  <c r="F25" i="57"/>
  <c r="B25" i="57"/>
  <c r="X24" i="57"/>
  <c r="Z24" i="57" s="1"/>
  <c r="L24" i="57"/>
  <c r="N24" i="57" s="1"/>
  <c r="F24" i="57"/>
  <c r="B24" i="57"/>
  <c r="Z23" i="57"/>
  <c r="X23" i="57"/>
  <c r="N23" i="57"/>
  <c r="L23" i="57"/>
  <c r="B23" i="57"/>
  <c r="Z22" i="57"/>
  <c r="X22" i="57"/>
  <c r="L22" i="57"/>
  <c r="N22" i="57" s="1"/>
  <c r="B22" i="57"/>
  <c r="Z21" i="57"/>
  <c r="X21" i="57"/>
  <c r="N21" i="57"/>
  <c r="L21" i="57"/>
  <c r="J21" i="57"/>
  <c r="B21" i="57"/>
  <c r="X20" i="57"/>
  <c r="T20" i="57"/>
  <c r="P20" i="57"/>
  <c r="H20" i="57"/>
  <c r="F20" i="57"/>
  <c r="D20" i="57"/>
  <c r="L20" i="57" s="1"/>
  <c r="N20" i="57" s="1"/>
  <c r="B20" i="57"/>
  <c r="T19" i="57"/>
  <c r="P19" i="57"/>
  <c r="J19" i="57"/>
  <c r="H19" i="57"/>
  <c r="D19" i="57"/>
  <c r="L19" i="57" s="1"/>
  <c r="N19" i="57" s="1"/>
  <c r="H17" i="57"/>
  <c r="F17" i="57"/>
  <c r="T15" i="57"/>
  <c r="Z15" i="57" s="1"/>
  <c r="P15" i="57"/>
  <c r="X15" i="57" s="1"/>
  <c r="N15" i="57"/>
  <c r="J15" i="57"/>
  <c r="H15" i="57"/>
  <c r="D15" i="57"/>
  <c r="L15" i="57" s="1"/>
  <c r="Z13" i="57"/>
  <c r="X13" i="57"/>
  <c r="P13" i="57"/>
  <c r="N13" i="57"/>
  <c r="L13" i="57"/>
  <c r="D13" i="57"/>
  <c r="B13" i="57"/>
  <c r="T12" i="57"/>
  <c r="P12" i="57"/>
  <c r="R62" i="57" s="1"/>
  <c r="N12" i="57"/>
  <c r="H12" i="57"/>
  <c r="J61" i="57" s="1"/>
  <c r="D12" i="57"/>
  <c r="F71" i="57" s="1"/>
  <c r="D6" i="57"/>
  <c r="D4" i="57"/>
  <c r="J87" i="56"/>
  <c r="R84" i="56"/>
  <c r="Z82" i="56"/>
  <c r="X82" i="56"/>
  <c r="N82" i="56"/>
  <c r="L82" i="56"/>
  <c r="J80" i="56"/>
  <c r="Z78" i="56"/>
  <c r="T78" i="56"/>
  <c r="R78" i="56"/>
  <c r="P78" i="56"/>
  <c r="X78" i="56" s="1"/>
  <c r="H78" i="56"/>
  <c r="N78" i="56" s="1"/>
  <c r="D78" i="56"/>
  <c r="Z76" i="56"/>
  <c r="X76" i="56"/>
  <c r="N76" i="56"/>
  <c r="L76" i="56"/>
  <c r="B76" i="56"/>
  <c r="T75" i="56"/>
  <c r="P75" i="56"/>
  <c r="X75" i="56" s="1"/>
  <c r="Z75" i="56" s="1"/>
  <c r="L75" i="56"/>
  <c r="H75" i="56"/>
  <c r="N75" i="56" s="1"/>
  <c r="D75" i="56"/>
  <c r="B75" i="56"/>
  <c r="Z74" i="56"/>
  <c r="X74" i="56"/>
  <c r="V74" i="56"/>
  <c r="R74" i="56"/>
  <c r="N74" i="56"/>
  <c r="L74" i="56"/>
  <c r="B74" i="56"/>
  <c r="X73" i="56"/>
  <c r="T73" i="56"/>
  <c r="Z73" i="56" s="1"/>
  <c r="P73" i="56"/>
  <c r="H73" i="56"/>
  <c r="N73" i="56" s="1"/>
  <c r="D73" i="56"/>
  <c r="L73" i="56" s="1"/>
  <c r="B73" i="56"/>
  <c r="X72" i="56"/>
  <c r="Z72" i="56" s="1"/>
  <c r="N72" i="56"/>
  <c r="L72" i="56"/>
  <c r="B72" i="56"/>
  <c r="T71" i="56"/>
  <c r="R71" i="56"/>
  <c r="P71" i="56"/>
  <c r="X71" i="56" s="1"/>
  <c r="H71" i="56"/>
  <c r="D71" i="56"/>
  <c r="L71" i="56" s="1"/>
  <c r="N71" i="56" s="1"/>
  <c r="B71" i="56"/>
  <c r="X70" i="56"/>
  <c r="Z70" i="56" s="1"/>
  <c r="N70" i="56"/>
  <c r="L70" i="56"/>
  <c r="J70" i="56"/>
  <c r="B70" i="56"/>
  <c r="Z69" i="56"/>
  <c r="X69" i="56"/>
  <c r="L69" i="56"/>
  <c r="N69" i="56" s="1"/>
  <c r="J69" i="56"/>
  <c r="B69" i="56"/>
  <c r="X68" i="56"/>
  <c r="Z68" i="56" s="1"/>
  <c r="N68" i="56"/>
  <c r="L68" i="56"/>
  <c r="B68" i="56"/>
  <c r="T67" i="56"/>
  <c r="R67" i="56"/>
  <c r="P67" i="56"/>
  <c r="H67" i="56"/>
  <c r="D67" i="56"/>
  <c r="L67" i="56" s="1"/>
  <c r="N67" i="56" s="1"/>
  <c r="B67" i="56"/>
  <c r="X66" i="56"/>
  <c r="Z66" i="56" s="1"/>
  <c r="N66" i="56"/>
  <c r="L66" i="56"/>
  <c r="J66" i="56"/>
  <c r="B66" i="56"/>
  <c r="T65" i="56"/>
  <c r="P65" i="56"/>
  <c r="X65" i="56" s="1"/>
  <c r="Z65" i="56" s="1"/>
  <c r="N65" i="56"/>
  <c r="L65" i="56"/>
  <c r="H65" i="56"/>
  <c r="D65" i="56"/>
  <c r="B65" i="56"/>
  <c r="Z64" i="56"/>
  <c r="X64" i="56"/>
  <c r="L64" i="56"/>
  <c r="N64" i="56" s="1"/>
  <c r="B64" i="56"/>
  <c r="Z63" i="56"/>
  <c r="X63" i="56"/>
  <c r="N63" i="56"/>
  <c r="L63" i="56"/>
  <c r="F63" i="56"/>
  <c r="B63" i="56"/>
  <c r="T62" i="56"/>
  <c r="P62" i="56"/>
  <c r="N62" i="56"/>
  <c r="L62" i="56"/>
  <c r="H62" i="56"/>
  <c r="D62" i="56"/>
  <c r="B62" i="56"/>
  <c r="X61" i="56"/>
  <c r="Z61" i="56" s="1"/>
  <c r="V61" i="56"/>
  <c r="N61" i="56"/>
  <c r="L61" i="56"/>
  <c r="B61" i="56"/>
  <c r="Z60" i="56"/>
  <c r="X60" i="56"/>
  <c r="N60" i="56"/>
  <c r="L60" i="56"/>
  <c r="B60" i="56"/>
  <c r="Z59" i="56"/>
  <c r="X59" i="56"/>
  <c r="N59" i="56"/>
  <c r="L59" i="56"/>
  <c r="F59" i="56"/>
  <c r="B59" i="56"/>
  <c r="T58" i="56"/>
  <c r="P58" i="56"/>
  <c r="N58" i="56"/>
  <c r="L58" i="56"/>
  <c r="H58" i="56"/>
  <c r="D58" i="56"/>
  <c r="B58" i="56"/>
  <c r="X57" i="56"/>
  <c r="Z57" i="56" s="1"/>
  <c r="V57" i="56"/>
  <c r="N57" i="56"/>
  <c r="L57" i="56"/>
  <c r="J57" i="56"/>
  <c r="B57" i="56"/>
  <c r="Z56" i="56"/>
  <c r="X56" i="56"/>
  <c r="T56" i="56"/>
  <c r="P56" i="56"/>
  <c r="J56" i="56"/>
  <c r="H56" i="56"/>
  <c r="D56" i="56"/>
  <c r="L56" i="56" s="1"/>
  <c r="B56" i="56"/>
  <c r="Z55" i="56"/>
  <c r="X55" i="56"/>
  <c r="R55" i="56"/>
  <c r="N55" i="56"/>
  <c r="L55" i="56"/>
  <c r="B55" i="56"/>
  <c r="V54" i="56"/>
  <c r="T54" i="56"/>
  <c r="P54" i="56"/>
  <c r="X54" i="56" s="1"/>
  <c r="H54" i="56"/>
  <c r="F54" i="56"/>
  <c r="D54" i="56"/>
  <c r="L54" i="56" s="1"/>
  <c r="B54" i="56"/>
  <c r="Z53" i="56"/>
  <c r="X53" i="56"/>
  <c r="L53" i="56"/>
  <c r="N53" i="56" s="1"/>
  <c r="J53" i="56"/>
  <c r="B53" i="56"/>
  <c r="T52" i="56"/>
  <c r="R52" i="56"/>
  <c r="P52" i="56"/>
  <c r="X52" i="56" s="1"/>
  <c r="H52" i="56"/>
  <c r="D52" i="56"/>
  <c r="B52" i="56"/>
  <c r="Z51" i="56"/>
  <c r="X51" i="56"/>
  <c r="N51" i="56"/>
  <c r="L51" i="56"/>
  <c r="F51" i="56"/>
  <c r="B51" i="56"/>
  <c r="T50" i="56"/>
  <c r="P50" i="56"/>
  <c r="N50" i="56"/>
  <c r="L50" i="56"/>
  <c r="H50" i="56"/>
  <c r="D50" i="56"/>
  <c r="B50" i="56"/>
  <c r="X49" i="56"/>
  <c r="Z49" i="56" s="1"/>
  <c r="V49" i="56"/>
  <c r="N49" i="56"/>
  <c r="L49" i="56"/>
  <c r="J49" i="56"/>
  <c r="B49" i="56"/>
  <c r="Z48" i="56"/>
  <c r="X48" i="56"/>
  <c r="T48" i="56"/>
  <c r="P48" i="56"/>
  <c r="J48" i="56"/>
  <c r="H48" i="56"/>
  <c r="N48" i="56" s="1"/>
  <c r="D48" i="56"/>
  <c r="L48" i="56" s="1"/>
  <c r="B48" i="56"/>
  <c r="Z47" i="56"/>
  <c r="X47" i="56"/>
  <c r="R47" i="56"/>
  <c r="N47" i="56"/>
  <c r="L47" i="56"/>
  <c r="B47" i="56"/>
  <c r="Z46" i="56"/>
  <c r="X46" i="56"/>
  <c r="V46" i="56"/>
  <c r="R46" i="56"/>
  <c r="N46" i="56"/>
  <c r="L46" i="56"/>
  <c r="B46" i="56"/>
  <c r="X45" i="56"/>
  <c r="V45" i="56"/>
  <c r="T45" i="56"/>
  <c r="P45" i="56"/>
  <c r="H45" i="56"/>
  <c r="D45" i="56"/>
  <c r="B45" i="56"/>
  <c r="X44" i="56"/>
  <c r="Z44" i="56" s="1"/>
  <c r="N44" i="56"/>
  <c r="L44" i="56"/>
  <c r="B44" i="56"/>
  <c r="T43" i="56"/>
  <c r="R43" i="56"/>
  <c r="P43" i="56"/>
  <c r="J43" i="56"/>
  <c r="H43" i="56"/>
  <c r="D43" i="56"/>
  <c r="L43" i="56" s="1"/>
  <c r="N43" i="56" s="1"/>
  <c r="B43" i="56"/>
  <c r="Z42" i="56"/>
  <c r="X42" i="56"/>
  <c r="R42" i="56"/>
  <c r="N42" i="56"/>
  <c r="L42" i="56"/>
  <c r="J42" i="56"/>
  <c r="B42" i="56"/>
  <c r="V41" i="56"/>
  <c r="T41" i="56"/>
  <c r="P41" i="56"/>
  <c r="X41" i="56" s="1"/>
  <c r="Z41" i="56" s="1"/>
  <c r="N41" i="56"/>
  <c r="L41" i="56"/>
  <c r="H41" i="56"/>
  <c r="D41" i="56"/>
  <c r="B41" i="56"/>
  <c r="Z40" i="56"/>
  <c r="X40" i="56"/>
  <c r="N40" i="56"/>
  <c r="L40" i="56"/>
  <c r="B40" i="56"/>
  <c r="Z39" i="56"/>
  <c r="X39" i="56"/>
  <c r="N39" i="56"/>
  <c r="L39" i="56"/>
  <c r="F39" i="56"/>
  <c r="B39" i="56"/>
  <c r="Z38" i="56"/>
  <c r="X38" i="56"/>
  <c r="R38" i="56"/>
  <c r="N38" i="56"/>
  <c r="L38" i="56"/>
  <c r="J38" i="56"/>
  <c r="B38" i="56"/>
  <c r="Z37" i="56"/>
  <c r="X37" i="56"/>
  <c r="V37" i="56"/>
  <c r="N37" i="56"/>
  <c r="L37" i="56"/>
  <c r="J37" i="56"/>
  <c r="B37" i="56"/>
  <c r="Z36" i="56"/>
  <c r="X36" i="56"/>
  <c r="N36" i="56"/>
  <c r="L36" i="56"/>
  <c r="B36" i="56"/>
  <c r="Z35" i="56"/>
  <c r="X35" i="56"/>
  <c r="R35" i="56"/>
  <c r="N35" i="56"/>
  <c r="L35" i="56"/>
  <c r="B35" i="56"/>
  <c r="Z34" i="56"/>
  <c r="X34" i="56"/>
  <c r="V34" i="56"/>
  <c r="R34" i="56"/>
  <c r="N34" i="56"/>
  <c r="L34" i="56"/>
  <c r="B34" i="56"/>
  <c r="Z33" i="56"/>
  <c r="X33" i="56"/>
  <c r="V33" i="56"/>
  <c r="N33" i="56"/>
  <c r="L33" i="56"/>
  <c r="J33" i="56"/>
  <c r="B33" i="56"/>
  <c r="Z32" i="56"/>
  <c r="X32" i="56"/>
  <c r="L32" i="56"/>
  <c r="N32" i="56" s="1"/>
  <c r="B32" i="56"/>
  <c r="Z31" i="56"/>
  <c r="X31" i="56"/>
  <c r="N31" i="56"/>
  <c r="L31" i="56"/>
  <c r="F31" i="56"/>
  <c r="B31" i="56"/>
  <c r="T30" i="56"/>
  <c r="P30" i="56"/>
  <c r="N30" i="56"/>
  <c r="L30" i="56"/>
  <c r="H30" i="56"/>
  <c r="D30" i="56"/>
  <c r="B30" i="56"/>
  <c r="X29" i="56"/>
  <c r="Z29" i="56" s="1"/>
  <c r="V29" i="56"/>
  <c r="N29" i="56"/>
  <c r="L29" i="56"/>
  <c r="J29" i="56"/>
  <c r="B29" i="56"/>
  <c r="Z28" i="56"/>
  <c r="X28" i="56"/>
  <c r="L28" i="56"/>
  <c r="N28" i="56" s="1"/>
  <c r="B28" i="56"/>
  <c r="Z27" i="56"/>
  <c r="X27" i="56"/>
  <c r="N27" i="56"/>
  <c r="L27" i="56"/>
  <c r="F27" i="56"/>
  <c r="B27" i="56"/>
  <c r="Z26" i="56"/>
  <c r="X26" i="56"/>
  <c r="R26" i="56"/>
  <c r="N26" i="56"/>
  <c r="L26" i="56"/>
  <c r="J26" i="56"/>
  <c r="B26" i="56"/>
  <c r="Z25" i="56"/>
  <c r="X25" i="56"/>
  <c r="V25" i="56"/>
  <c r="L25" i="56"/>
  <c r="N25" i="56" s="1"/>
  <c r="J25" i="56"/>
  <c r="B25" i="56"/>
  <c r="X24" i="56"/>
  <c r="Z24" i="56" s="1"/>
  <c r="N24" i="56"/>
  <c r="L24" i="56"/>
  <c r="B24" i="56"/>
  <c r="Z23" i="56"/>
  <c r="X23" i="56"/>
  <c r="R23" i="56"/>
  <c r="N23" i="56"/>
  <c r="L23" i="56"/>
  <c r="B23" i="56"/>
  <c r="Z22" i="56"/>
  <c r="X22" i="56"/>
  <c r="V22" i="56"/>
  <c r="R22" i="56"/>
  <c r="N22" i="56"/>
  <c r="L22" i="56"/>
  <c r="B22" i="56"/>
  <c r="X21" i="56"/>
  <c r="Z21" i="56" s="1"/>
  <c r="V21" i="56"/>
  <c r="N21" i="56"/>
  <c r="L21" i="56"/>
  <c r="J21" i="56"/>
  <c r="B21" i="56"/>
  <c r="Z20" i="56"/>
  <c r="X20" i="56"/>
  <c r="T20" i="56"/>
  <c r="P20" i="56"/>
  <c r="J20" i="56"/>
  <c r="H20" i="56"/>
  <c r="D20" i="56"/>
  <c r="L20" i="56" s="1"/>
  <c r="B20" i="56"/>
  <c r="T19" i="56"/>
  <c r="R19" i="56"/>
  <c r="P19" i="56"/>
  <c r="J19" i="56"/>
  <c r="H19" i="56"/>
  <c r="N19" i="56" s="1"/>
  <c r="D19" i="56"/>
  <c r="L19" i="56" s="1"/>
  <c r="R17" i="56"/>
  <c r="J17" i="56"/>
  <c r="H17" i="56"/>
  <c r="H80" i="56" s="1"/>
  <c r="T15" i="56"/>
  <c r="Z15" i="56" s="1"/>
  <c r="R15" i="56"/>
  <c r="P15" i="56"/>
  <c r="X15" i="56" s="1"/>
  <c r="J15" i="56"/>
  <c r="H15" i="56"/>
  <c r="N15" i="56" s="1"/>
  <c r="D15" i="56"/>
  <c r="L15" i="56" s="1"/>
  <c r="Z13" i="56"/>
  <c r="X13" i="56"/>
  <c r="P13" i="56"/>
  <c r="N13" i="56"/>
  <c r="L13" i="56"/>
  <c r="D13" i="56"/>
  <c r="D12" i="56" s="1"/>
  <c r="B13" i="56"/>
  <c r="Z12" i="56"/>
  <c r="X12" i="56"/>
  <c r="T12" i="56"/>
  <c r="V73" i="56" s="1"/>
  <c r="P12" i="56"/>
  <c r="R61" i="56" s="1"/>
  <c r="H12" i="56"/>
  <c r="J75" i="56" s="1"/>
  <c r="D6" i="56"/>
  <c r="D4" i="56"/>
  <c r="J41" i="55"/>
  <c r="V38" i="55"/>
  <c r="J38" i="55"/>
  <c r="F38" i="55"/>
  <c r="Z36" i="55"/>
  <c r="X36" i="55"/>
  <c r="N36" i="55"/>
  <c r="L36" i="55"/>
  <c r="J36" i="55"/>
  <c r="J34" i="55"/>
  <c r="T32" i="55"/>
  <c r="Z32" i="55" s="1"/>
  <c r="P32" i="55"/>
  <c r="X32" i="55" s="1"/>
  <c r="J32" i="55"/>
  <c r="H32" i="55"/>
  <c r="N32" i="55" s="1"/>
  <c r="F32" i="55"/>
  <c r="D32" i="55"/>
  <c r="L32" i="55" s="1"/>
  <c r="Z30" i="55"/>
  <c r="X30" i="55"/>
  <c r="N30" i="55"/>
  <c r="L30" i="55"/>
  <c r="J30" i="55"/>
  <c r="B30" i="55"/>
  <c r="Z29" i="55"/>
  <c r="X29" i="55"/>
  <c r="N29" i="55"/>
  <c r="L29" i="55"/>
  <c r="J29" i="55"/>
  <c r="B29" i="55"/>
  <c r="T28" i="55"/>
  <c r="Z28" i="55" s="1"/>
  <c r="R28" i="55"/>
  <c r="P28" i="55"/>
  <c r="X28" i="55" s="1"/>
  <c r="H28" i="55"/>
  <c r="N28" i="55" s="1"/>
  <c r="D28" i="55"/>
  <c r="B28" i="55"/>
  <c r="Z27" i="55"/>
  <c r="X27" i="55"/>
  <c r="N27" i="55"/>
  <c r="L27" i="55"/>
  <c r="F27" i="55"/>
  <c r="B27" i="55"/>
  <c r="T26" i="55"/>
  <c r="P26" i="55"/>
  <c r="N26" i="55"/>
  <c r="L26" i="55"/>
  <c r="J26" i="55"/>
  <c r="H26" i="55"/>
  <c r="D26" i="55"/>
  <c r="B26" i="55"/>
  <c r="X25" i="55"/>
  <c r="Z25" i="55" s="1"/>
  <c r="N25" i="55"/>
  <c r="L25" i="55"/>
  <c r="J25" i="55"/>
  <c r="B25" i="55"/>
  <c r="Z24" i="55"/>
  <c r="X24" i="55"/>
  <c r="T24" i="55"/>
  <c r="P24" i="55"/>
  <c r="J24" i="55"/>
  <c r="H24" i="55"/>
  <c r="N24" i="55" s="1"/>
  <c r="D24" i="55"/>
  <c r="L24" i="55" s="1"/>
  <c r="B24" i="55"/>
  <c r="Z23" i="55"/>
  <c r="X23" i="55"/>
  <c r="R23" i="55"/>
  <c r="N23" i="55"/>
  <c r="L23" i="55"/>
  <c r="J23" i="55"/>
  <c r="B23" i="55"/>
  <c r="T22" i="55"/>
  <c r="Z22" i="55" s="1"/>
  <c r="P22" i="55"/>
  <c r="X22" i="55" s="1"/>
  <c r="J22" i="55"/>
  <c r="H22" i="55"/>
  <c r="F22" i="55"/>
  <c r="D22" i="55"/>
  <c r="L22" i="55" s="1"/>
  <c r="B22" i="55"/>
  <c r="Z21" i="55"/>
  <c r="X21" i="55"/>
  <c r="L21" i="55"/>
  <c r="N21" i="55" s="1"/>
  <c r="J21" i="55"/>
  <c r="B21" i="55"/>
  <c r="Z20" i="55"/>
  <c r="X20" i="55"/>
  <c r="N20" i="55"/>
  <c r="L20" i="55"/>
  <c r="J20" i="55"/>
  <c r="B20" i="55"/>
  <c r="T19" i="55"/>
  <c r="Z19" i="55" s="1"/>
  <c r="P19" i="55"/>
  <c r="J19" i="55"/>
  <c r="H19" i="55"/>
  <c r="D19" i="55"/>
  <c r="L19" i="55" s="1"/>
  <c r="N19" i="55" s="1"/>
  <c r="B19" i="55"/>
  <c r="T18" i="55"/>
  <c r="P18" i="55"/>
  <c r="L18" i="55"/>
  <c r="J18" i="55"/>
  <c r="H18" i="55"/>
  <c r="N18" i="55" s="1"/>
  <c r="D18" i="55"/>
  <c r="J16" i="55"/>
  <c r="F16" i="55"/>
  <c r="D16" i="55"/>
  <c r="D34" i="55" s="1"/>
  <c r="T14" i="55"/>
  <c r="Z14" i="55" s="1"/>
  <c r="P14" i="55"/>
  <c r="N14" i="55"/>
  <c r="L14" i="55"/>
  <c r="J14" i="55"/>
  <c r="H14" i="55"/>
  <c r="H16" i="55" s="1"/>
  <c r="D14" i="55"/>
  <c r="T12" i="55"/>
  <c r="P12" i="55"/>
  <c r="R19" i="55" s="1"/>
  <c r="N12" i="55"/>
  <c r="H12" i="55"/>
  <c r="J28" i="55" s="1"/>
  <c r="D12" i="55"/>
  <c r="F36" i="55" s="1"/>
  <c r="D6" i="55"/>
  <c r="D4" i="55"/>
  <c r="V31" i="54"/>
  <c r="J31" i="54"/>
  <c r="T29" i="54"/>
  <c r="R29" i="54"/>
  <c r="P29" i="54"/>
  <c r="X29" i="54" s="1"/>
  <c r="H29" i="54"/>
  <c r="D29" i="54"/>
  <c r="Z28" i="54"/>
  <c r="X28" i="54"/>
  <c r="V28" i="54"/>
  <c r="T28" i="54"/>
  <c r="P28" i="54"/>
  <c r="J28" i="54"/>
  <c r="H28" i="54"/>
  <c r="D28" i="54"/>
  <c r="L28" i="54" s="1"/>
  <c r="R26" i="54"/>
  <c r="Z24" i="54"/>
  <c r="X24" i="54"/>
  <c r="V24" i="54"/>
  <c r="R24" i="54"/>
  <c r="N24" i="54"/>
  <c r="L24" i="54"/>
  <c r="V22" i="54"/>
  <c r="J22" i="54"/>
  <c r="T20" i="54"/>
  <c r="Z20" i="54" s="1"/>
  <c r="R20" i="54"/>
  <c r="P20" i="54"/>
  <c r="X20" i="54" s="1"/>
  <c r="H20" i="54"/>
  <c r="N20" i="54" s="1"/>
  <c r="D20" i="54"/>
  <c r="Z18" i="54"/>
  <c r="X18" i="54"/>
  <c r="V18" i="54"/>
  <c r="T18" i="54"/>
  <c r="P18" i="54"/>
  <c r="J18" i="54"/>
  <c r="H18" i="54"/>
  <c r="N18" i="54" s="1"/>
  <c r="F18" i="54"/>
  <c r="D18" i="54"/>
  <c r="L18" i="54" s="1"/>
  <c r="R16" i="54"/>
  <c r="P16" i="54"/>
  <c r="P22" i="54" s="1"/>
  <c r="Z14" i="54"/>
  <c r="X14" i="54"/>
  <c r="V14" i="54"/>
  <c r="T14" i="54"/>
  <c r="P14" i="54"/>
  <c r="J14" i="54"/>
  <c r="H14" i="54"/>
  <c r="H16" i="54" s="1"/>
  <c r="F14" i="54"/>
  <c r="D14" i="54"/>
  <c r="L14" i="54" s="1"/>
  <c r="X12" i="54"/>
  <c r="T12" i="54"/>
  <c r="Z12" i="54" s="1"/>
  <c r="P12" i="54"/>
  <c r="R31" i="54" s="1"/>
  <c r="N12" i="54"/>
  <c r="L12" i="54"/>
  <c r="H12" i="54"/>
  <c r="J29" i="54" s="1"/>
  <c r="D12" i="54"/>
  <c r="F31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4" i="53" s="1"/>
  <c r="P12" i="53"/>
  <c r="H12" i="53"/>
  <c r="D12" i="53"/>
  <c r="F24" i="53" s="1"/>
  <c r="D5" i="53"/>
  <c r="D4" i="53"/>
  <c r="B39" i="52"/>
  <c r="B38" i="52"/>
  <c r="T34" i="52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D13" i="52"/>
  <c r="B13" i="52"/>
  <c r="T12" i="52"/>
  <c r="V24" i="52" s="1"/>
  <c r="P12" i="52"/>
  <c r="R34" i="52" s="1"/>
  <c r="H12" i="52"/>
  <c r="J34" i="52" s="1"/>
  <c r="D12" i="52"/>
  <c r="F21" i="52" s="1"/>
  <c r="D5" i="52"/>
  <c r="D4" i="52"/>
  <c r="Z111" i="51"/>
  <c r="X111" i="51"/>
  <c r="L111" i="51"/>
  <c r="N111" i="51" s="1"/>
  <c r="P107" i="51"/>
  <c r="X107" i="51" s="1"/>
  <c r="Z107" i="51" s="1"/>
  <c r="D107" i="51"/>
  <c r="L107" i="51" s="1"/>
  <c r="N107" i="51" s="1"/>
  <c r="B107" i="51"/>
  <c r="Z106" i="51"/>
  <c r="X106" i="51"/>
  <c r="P106" i="51"/>
  <c r="N106" i="51"/>
  <c r="D106" i="51"/>
  <c r="B106" i="51"/>
  <c r="T105" i="51"/>
  <c r="H105" i="51"/>
  <c r="Z103" i="51"/>
  <c r="X103" i="51"/>
  <c r="V103" i="51"/>
  <c r="N103" i="51"/>
  <c r="L103" i="51"/>
  <c r="B103" i="51"/>
  <c r="X102" i="51"/>
  <c r="T102" i="51"/>
  <c r="P102" i="51"/>
  <c r="H102" i="51"/>
  <c r="D102" i="51"/>
  <c r="B102" i="51"/>
  <c r="X101" i="51"/>
  <c r="Z101" i="51" s="1"/>
  <c r="N101" i="51"/>
  <c r="L101" i="51"/>
  <c r="B101" i="51"/>
  <c r="T100" i="51"/>
  <c r="P100" i="51"/>
  <c r="J100" i="51"/>
  <c r="H100" i="51"/>
  <c r="N100" i="51" s="1"/>
  <c r="D100" i="51"/>
  <c r="L100" i="51" s="1"/>
  <c r="B100" i="51"/>
  <c r="X99" i="51"/>
  <c r="Z99" i="51" s="1"/>
  <c r="N99" i="51"/>
  <c r="L99" i="51"/>
  <c r="J99" i="51"/>
  <c r="B99" i="51"/>
  <c r="Z98" i="51"/>
  <c r="X98" i="51"/>
  <c r="L98" i="51"/>
  <c r="N98" i="51" s="1"/>
  <c r="J98" i="51"/>
  <c r="B98" i="51"/>
  <c r="Z97" i="51"/>
  <c r="X97" i="51"/>
  <c r="N97" i="51"/>
  <c r="L97" i="51"/>
  <c r="B97" i="51"/>
  <c r="Z96" i="51"/>
  <c r="X96" i="51"/>
  <c r="N96" i="51"/>
  <c r="L96" i="51"/>
  <c r="B96" i="51"/>
  <c r="V95" i="51"/>
  <c r="T95" i="51"/>
  <c r="Z95" i="51" s="1"/>
  <c r="P95" i="51"/>
  <c r="X95" i="51" s="1"/>
  <c r="H95" i="51"/>
  <c r="D95" i="51"/>
  <c r="L95" i="51" s="1"/>
  <c r="N95" i="51" s="1"/>
  <c r="B95" i="51"/>
  <c r="Z94" i="51"/>
  <c r="X94" i="51"/>
  <c r="N94" i="51"/>
  <c r="L94" i="51"/>
  <c r="J94" i="51"/>
  <c r="B94" i="51"/>
  <c r="Z93" i="51"/>
  <c r="T93" i="51"/>
  <c r="P93" i="51"/>
  <c r="X93" i="51" s="1"/>
  <c r="H93" i="51"/>
  <c r="N93" i="51" s="1"/>
  <c r="D93" i="51"/>
  <c r="B93" i="51"/>
  <c r="Z92" i="51"/>
  <c r="X92" i="51"/>
  <c r="N92" i="51"/>
  <c r="L92" i="51"/>
  <c r="B92" i="51"/>
  <c r="Z91" i="51"/>
  <c r="X91" i="51"/>
  <c r="N91" i="51"/>
  <c r="L91" i="51"/>
  <c r="J91" i="51"/>
  <c r="B91" i="51"/>
  <c r="T90" i="51"/>
  <c r="P90" i="51"/>
  <c r="X90" i="51" s="1"/>
  <c r="Z90" i="51" s="1"/>
  <c r="N90" i="51"/>
  <c r="L90" i="51"/>
  <c r="H90" i="51"/>
  <c r="D90" i="51"/>
  <c r="B90" i="51"/>
  <c r="Z89" i="51"/>
  <c r="X89" i="51"/>
  <c r="L89" i="51"/>
  <c r="N89" i="51" s="1"/>
  <c r="B89" i="51"/>
  <c r="Z88" i="51"/>
  <c r="X88" i="51"/>
  <c r="T88" i="51"/>
  <c r="P88" i="51"/>
  <c r="L88" i="51"/>
  <c r="J88" i="51"/>
  <c r="H88" i="51"/>
  <c r="N88" i="51" s="1"/>
  <c r="D88" i="51"/>
  <c r="B88" i="51"/>
  <c r="Z87" i="51"/>
  <c r="X87" i="51"/>
  <c r="V87" i="51"/>
  <c r="N87" i="51"/>
  <c r="L87" i="51"/>
  <c r="B87" i="51"/>
  <c r="X86" i="51"/>
  <c r="T86" i="51"/>
  <c r="Z86" i="51" s="1"/>
  <c r="P86" i="51"/>
  <c r="H86" i="51"/>
  <c r="D86" i="51"/>
  <c r="B86" i="51"/>
  <c r="Z85" i="51"/>
  <c r="X85" i="51"/>
  <c r="N85" i="51"/>
  <c r="L85" i="51"/>
  <c r="B85" i="51"/>
  <c r="Z84" i="51"/>
  <c r="X84" i="51"/>
  <c r="N84" i="51"/>
  <c r="L84" i="51"/>
  <c r="B84" i="51"/>
  <c r="V83" i="51"/>
  <c r="T83" i="51"/>
  <c r="P83" i="51"/>
  <c r="X83" i="51" s="1"/>
  <c r="H83" i="51"/>
  <c r="D83" i="51"/>
  <c r="L83" i="51" s="1"/>
  <c r="N83" i="51" s="1"/>
  <c r="B83" i="51"/>
  <c r="Z82" i="51"/>
  <c r="X82" i="51"/>
  <c r="L82" i="51"/>
  <c r="N82" i="51" s="1"/>
  <c r="J82" i="51"/>
  <c r="B82" i="51"/>
  <c r="T81" i="51"/>
  <c r="P81" i="51"/>
  <c r="X81" i="51" s="1"/>
  <c r="Z81" i="51" s="1"/>
  <c r="H81" i="51"/>
  <c r="D81" i="51"/>
  <c r="B81" i="51"/>
  <c r="Z80" i="51"/>
  <c r="X80" i="51"/>
  <c r="N80" i="51"/>
  <c r="L80" i="51"/>
  <c r="B80" i="51"/>
  <c r="T79" i="51"/>
  <c r="P79" i="51"/>
  <c r="N79" i="51"/>
  <c r="L79" i="51"/>
  <c r="H79" i="51"/>
  <c r="D79" i="51"/>
  <c r="B79" i="51"/>
  <c r="X78" i="51"/>
  <c r="Z78" i="51" s="1"/>
  <c r="N78" i="51"/>
  <c r="L78" i="51"/>
  <c r="J78" i="51"/>
  <c r="B78" i="51"/>
  <c r="Z77" i="51"/>
  <c r="X77" i="51"/>
  <c r="T77" i="51"/>
  <c r="P77" i="51"/>
  <c r="J77" i="51"/>
  <c r="H77" i="51"/>
  <c r="D77" i="51"/>
  <c r="L77" i="51" s="1"/>
  <c r="B77" i="51"/>
  <c r="Z76" i="51"/>
  <c r="X76" i="51"/>
  <c r="N76" i="51"/>
  <c r="L76" i="51"/>
  <c r="B76" i="51"/>
  <c r="V75" i="51"/>
  <c r="T75" i="51"/>
  <c r="P75" i="51"/>
  <c r="X75" i="51" s="1"/>
  <c r="H75" i="51"/>
  <c r="N75" i="51" s="1"/>
  <c r="D75" i="51"/>
  <c r="L75" i="51" s="1"/>
  <c r="B75" i="51"/>
  <c r="Z74" i="51"/>
  <c r="X74" i="51"/>
  <c r="N74" i="51"/>
  <c r="L74" i="51"/>
  <c r="J74" i="51"/>
  <c r="B74" i="51"/>
  <c r="Z73" i="51"/>
  <c r="X73" i="51"/>
  <c r="N73" i="51"/>
  <c r="L73" i="51"/>
  <c r="B73" i="51"/>
  <c r="Z72" i="51"/>
  <c r="X72" i="51"/>
  <c r="N72" i="51"/>
  <c r="L72" i="51"/>
  <c r="B72" i="51"/>
  <c r="Z71" i="51"/>
  <c r="X71" i="51"/>
  <c r="V71" i="51"/>
  <c r="L71" i="51"/>
  <c r="N71" i="51" s="1"/>
  <c r="B71" i="51"/>
  <c r="Z70" i="51"/>
  <c r="X70" i="51"/>
  <c r="N70" i="51"/>
  <c r="L70" i="51"/>
  <c r="J70" i="51"/>
  <c r="B70" i="51"/>
  <c r="Z69" i="51"/>
  <c r="X69" i="51"/>
  <c r="N69" i="51"/>
  <c r="L69" i="51"/>
  <c r="B69" i="51"/>
  <c r="Z68" i="51"/>
  <c r="X68" i="51"/>
  <c r="N68" i="51"/>
  <c r="L68" i="51"/>
  <c r="B68" i="51"/>
  <c r="Z67" i="51"/>
  <c r="X67" i="51"/>
  <c r="N67" i="51"/>
  <c r="L67" i="51"/>
  <c r="J67" i="51"/>
  <c r="B67" i="51"/>
  <c r="Z66" i="51"/>
  <c r="X66" i="51"/>
  <c r="L66" i="51"/>
  <c r="N66" i="51" s="1"/>
  <c r="J66" i="51"/>
  <c r="B66" i="51"/>
  <c r="Z65" i="51"/>
  <c r="X65" i="51"/>
  <c r="N65" i="51"/>
  <c r="L65" i="51"/>
  <c r="J65" i="51"/>
  <c r="B65" i="51"/>
  <c r="T64" i="51"/>
  <c r="P64" i="51"/>
  <c r="X64" i="51" s="1"/>
  <c r="J64" i="51"/>
  <c r="H64" i="51"/>
  <c r="D64" i="51"/>
  <c r="L64" i="51" s="1"/>
  <c r="N64" i="51" s="1"/>
  <c r="B64" i="51"/>
  <c r="X63" i="51"/>
  <c r="Z63" i="51" s="1"/>
  <c r="N63" i="51"/>
  <c r="L63" i="51"/>
  <c r="J63" i="51"/>
  <c r="B63" i="51"/>
  <c r="Z62" i="51"/>
  <c r="X62" i="51"/>
  <c r="V62" i="51"/>
  <c r="L62" i="51"/>
  <c r="N62" i="51" s="1"/>
  <c r="J62" i="51"/>
  <c r="B62" i="51"/>
  <c r="X61" i="51"/>
  <c r="Z61" i="51" s="1"/>
  <c r="N61" i="51"/>
  <c r="L61" i="51"/>
  <c r="J61" i="51"/>
  <c r="B61" i="51"/>
  <c r="Z60" i="51"/>
  <c r="X60" i="51"/>
  <c r="N60" i="51"/>
  <c r="L60" i="51"/>
  <c r="J60" i="51"/>
  <c r="B60" i="51"/>
  <c r="Z59" i="51"/>
  <c r="X59" i="51"/>
  <c r="V59" i="51"/>
  <c r="N59" i="51"/>
  <c r="L59" i="51"/>
  <c r="B59" i="51"/>
  <c r="X58" i="51"/>
  <c r="Z58" i="51" s="1"/>
  <c r="V58" i="51"/>
  <c r="N58" i="51"/>
  <c r="L58" i="51"/>
  <c r="J58" i="51"/>
  <c r="B58" i="51"/>
  <c r="Z57" i="51"/>
  <c r="X57" i="51"/>
  <c r="L57" i="51"/>
  <c r="N57" i="51" s="1"/>
  <c r="J57" i="51"/>
  <c r="B57" i="51"/>
  <c r="Z56" i="51"/>
  <c r="X56" i="51"/>
  <c r="N56" i="51"/>
  <c r="L56" i="51"/>
  <c r="B56" i="51"/>
  <c r="X55" i="51"/>
  <c r="Z55" i="51" s="1"/>
  <c r="N55" i="51"/>
  <c r="L55" i="51"/>
  <c r="J55" i="51"/>
  <c r="B55" i="51"/>
  <c r="Z54" i="51"/>
  <c r="X54" i="51"/>
  <c r="V54" i="51"/>
  <c r="L54" i="51"/>
  <c r="N54" i="51" s="1"/>
  <c r="J54" i="51"/>
  <c r="B54" i="51"/>
  <c r="T53" i="51"/>
  <c r="P53" i="51"/>
  <c r="X53" i="51" s="1"/>
  <c r="H53" i="51"/>
  <c r="D53" i="51"/>
  <c r="B53" i="51"/>
  <c r="T52" i="51"/>
  <c r="P52" i="51"/>
  <c r="H52" i="51"/>
  <c r="D52" i="51"/>
  <c r="L52" i="51" s="1"/>
  <c r="T50" i="51"/>
  <c r="Z48" i="51"/>
  <c r="X48" i="51"/>
  <c r="N48" i="51"/>
  <c r="L48" i="51"/>
  <c r="B48" i="51"/>
  <c r="Z47" i="51"/>
  <c r="X47" i="51"/>
  <c r="N47" i="51"/>
  <c r="L47" i="51"/>
  <c r="J47" i="51"/>
  <c r="B47" i="51"/>
  <c r="Z46" i="51"/>
  <c r="X46" i="51"/>
  <c r="V46" i="51"/>
  <c r="N46" i="51"/>
  <c r="L46" i="51"/>
  <c r="J46" i="51"/>
  <c r="B46" i="51"/>
  <c r="Z45" i="51"/>
  <c r="X45" i="51"/>
  <c r="N45" i="51"/>
  <c r="L45" i="51"/>
  <c r="J45" i="51"/>
  <c r="B45" i="51"/>
  <c r="Z44" i="51"/>
  <c r="X44" i="51"/>
  <c r="N44" i="51"/>
  <c r="L44" i="51"/>
  <c r="J44" i="51"/>
  <c r="B44" i="51"/>
  <c r="Z43" i="51"/>
  <c r="X43" i="51"/>
  <c r="V43" i="51"/>
  <c r="N43" i="51"/>
  <c r="L43" i="51"/>
  <c r="B43" i="51"/>
  <c r="Z42" i="51"/>
  <c r="X42" i="51"/>
  <c r="V42" i="51"/>
  <c r="N42" i="51"/>
  <c r="L42" i="51"/>
  <c r="J42" i="51"/>
  <c r="B42" i="51"/>
  <c r="Z41" i="51"/>
  <c r="X41" i="51"/>
  <c r="N41" i="51"/>
  <c r="L41" i="51"/>
  <c r="J41" i="51"/>
  <c r="B41" i="51"/>
  <c r="Z40" i="51"/>
  <c r="X40" i="51"/>
  <c r="N40" i="51"/>
  <c r="L40" i="51"/>
  <c r="B40" i="51"/>
  <c r="Z39" i="51"/>
  <c r="X39" i="51"/>
  <c r="N39" i="51"/>
  <c r="L39" i="51"/>
  <c r="J39" i="51"/>
  <c r="B39" i="51"/>
  <c r="Z38" i="51"/>
  <c r="X38" i="51"/>
  <c r="V38" i="51"/>
  <c r="N38" i="51"/>
  <c r="L38" i="51"/>
  <c r="J38" i="51"/>
  <c r="B38" i="51"/>
  <c r="Z37" i="51"/>
  <c r="X37" i="51"/>
  <c r="N37" i="51"/>
  <c r="L37" i="51"/>
  <c r="J37" i="51"/>
  <c r="B37" i="51"/>
  <c r="Z36" i="51"/>
  <c r="X36" i="51"/>
  <c r="N36" i="51"/>
  <c r="L36" i="51"/>
  <c r="J36" i="51"/>
  <c r="B36" i="51"/>
  <c r="Z35" i="51"/>
  <c r="X35" i="51"/>
  <c r="V35" i="51"/>
  <c r="N35" i="51"/>
  <c r="L35" i="51"/>
  <c r="B35" i="51"/>
  <c r="X34" i="51"/>
  <c r="Z34" i="51" s="1"/>
  <c r="V34" i="51"/>
  <c r="N34" i="51"/>
  <c r="L34" i="51"/>
  <c r="J34" i="51"/>
  <c r="B34" i="51"/>
  <c r="Z33" i="51"/>
  <c r="X33" i="51"/>
  <c r="T33" i="51"/>
  <c r="P33" i="51"/>
  <c r="J33" i="51"/>
  <c r="H33" i="51"/>
  <c r="H50" i="51" s="1"/>
  <c r="D33" i="51"/>
  <c r="L33" i="51" s="1"/>
  <c r="Z31" i="51"/>
  <c r="X31" i="51"/>
  <c r="P31" i="51"/>
  <c r="N31" i="51"/>
  <c r="L31" i="51"/>
  <c r="D31" i="51"/>
  <c r="B31" i="51"/>
  <c r="Z30" i="51"/>
  <c r="P30" i="51"/>
  <c r="X30" i="51" s="1"/>
  <c r="N30" i="51"/>
  <c r="D30" i="51"/>
  <c r="L30" i="51" s="1"/>
  <c r="B30" i="51"/>
  <c r="Z29" i="51"/>
  <c r="X29" i="51"/>
  <c r="P29" i="51"/>
  <c r="N29" i="51"/>
  <c r="L29" i="51"/>
  <c r="D29" i="51"/>
  <c r="B29" i="51"/>
  <c r="Z28" i="51"/>
  <c r="X28" i="51"/>
  <c r="P28" i="51"/>
  <c r="N28" i="51"/>
  <c r="L28" i="51"/>
  <c r="D28" i="51"/>
  <c r="B28" i="51"/>
  <c r="Z27" i="51"/>
  <c r="X27" i="51"/>
  <c r="P27" i="51"/>
  <c r="N27" i="51"/>
  <c r="D27" i="51"/>
  <c r="L27" i="51" s="1"/>
  <c r="B27" i="51"/>
  <c r="Z26" i="51"/>
  <c r="X26" i="51"/>
  <c r="P26" i="51"/>
  <c r="N26" i="51"/>
  <c r="L26" i="51"/>
  <c r="D26" i="51"/>
  <c r="B26" i="51"/>
  <c r="Z25" i="51"/>
  <c r="P25" i="51"/>
  <c r="X25" i="51" s="1"/>
  <c r="N25" i="51"/>
  <c r="L25" i="51"/>
  <c r="D25" i="51"/>
  <c r="B25" i="51"/>
  <c r="Z24" i="51"/>
  <c r="X24" i="51"/>
  <c r="P24" i="51"/>
  <c r="N24" i="51"/>
  <c r="L24" i="51"/>
  <c r="D24" i="51"/>
  <c r="B24" i="51"/>
  <c r="Z23" i="51"/>
  <c r="X23" i="51"/>
  <c r="P23" i="51"/>
  <c r="N23" i="51"/>
  <c r="L23" i="51"/>
  <c r="D23" i="51"/>
  <c r="B23" i="51"/>
  <c r="Z22" i="51"/>
  <c r="P22" i="51"/>
  <c r="X22" i="51" s="1"/>
  <c r="N22" i="51"/>
  <c r="D22" i="51"/>
  <c r="L22" i="51" s="1"/>
  <c r="B22" i="51"/>
  <c r="Z21" i="51"/>
  <c r="X21" i="51"/>
  <c r="P21" i="51"/>
  <c r="N21" i="51"/>
  <c r="L21" i="51"/>
  <c r="D21" i="51"/>
  <c r="B21" i="51"/>
  <c r="Z20" i="51"/>
  <c r="X20" i="51"/>
  <c r="P20" i="51"/>
  <c r="N20" i="51"/>
  <c r="L20" i="51"/>
  <c r="D20" i="51"/>
  <c r="B20" i="51"/>
  <c r="Z19" i="51"/>
  <c r="X19" i="51"/>
  <c r="P19" i="51"/>
  <c r="D19" i="51"/>
  <c r="L19" i="51" s="1"/>
  <c r="N19" i="51" s="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L17" i="51"/>
  <c r="D17" i="51"/>
  <c r="B17" i="51"/>
  <c r="Z16" i="51"/>
  <c r="X16" i="51"/>
  <c r="P16" i="51"/>
  <c r="N16" i="51"/>
  <c r="L16" i="51"/>
  <c r="D16" i="51"/>
  <c r="B16" i="51"/>
  <c r="Z15" i="51"/>
  <c r="X15" i="51"/>
  <c r="P15" i="51"/>
  <c r="N15" i="51"/>
  <c r="L15" i="51"/>
  <c r="D15" i="51"/>
  <c r="B15" i="51"/>
  <c r="Z14" i="51"/>
  <c r="P14" i="51"/>
  <c r="X14" i="51" s="1"/>
  <c r="N14" i="51"/>
  <c r="D14" i="51"/>
  <c r="B14" i="51"/>
  <c r="Z13" i="51"/>
  <c r="X13" i="51"/>
  <c r="P13" i="51"/>
  <c r="N13" i="51"/>
  <c r="L13" i="51"/>
  <c r="D13" i="51"/>
  <c r="B13" i="51"/>
  <c r="T12" i="51"/>
  <c r="V106" i="51" s="1"/>
  <c r="H12" i="51"/>
  <c r="J105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D15" i="50"/>
  <c r="T13" i="50"/>
  <c r="Z13" i="50" s="1"/>
  <c r="P13" i="50"/>
  <c r="H13" i="50"/>
  <c r="N13" i="50" s="1"/>
  <c r="D13" i="50"/>
  <c r="B13" i="50"/>
  <c r="T12" i="50"/>
  <c r="V20" i="50" s="1"/>
  <c r="P12" i="50"/>
  <c r="R34" i="50" s="1"/>
  <c r="H12" i="50"/>
  <c r="J36" i="50" s="1"/>
  <c r="D12" i="50"/>
  <c r="F18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P13" i="49"/>
  <c r="H13" i="49"/>
  <c r="N13" i="49" s="1"/>
  <c r="D13" i="49"/>
  <c r="B13" i="49"/>
  <c r="T12" i="49"/>
  <c r="V24" i="49" s="1"/>
  <c r="P12" i="49"/>
  <c r="R36" i="49" s="1"/>
  <c r="H12" i="49"/>
  <c r="J34" i="49" s="1"/>
  <c r="D12" i="49"/>
  <c r="F22" i="49" s="1"/>
  <c r="D5" i="49"/>
  <c r="D4" i="49"/>
  <c r="X78" i="48"/>
  <c r="Z78" i="48" s="1"/>
  <c r="L78" i="48"/>
  <c r="N78" i="48" s="1"/>
  <c r="X74" i="48"/>
  <c r="Z74" i="48" s="1"/>
  <c r="P74" i="48"/>
  <c r="D74" i="48"/>
  <c r="B74" i="48"/>
  <c r="Z73" i="48"/>
  <c r="V73" i="48"/>
  <c r="T73" i="48"/>
  <c r="P73" i="48"/>
  <c r="X73" i="48" s="1"/>
  <c r="J73" i="48"/>
  <c r="H73" i="48"/>
  <c r="X71" i="48"/>
  <c r="Z71" i="48" s="1"/>
  <c r="N71" i="48"/>
  <c r="L71" i="48"/>
  <c r="J71" i="48"/>
  <c r="B71" i="48"/>
  <c r="X70" i="48"/>
  <c r="Z70" i="48" s="1"/>
  <c r="T70" i="48"/>
  <c r="P70" i="48"/>
  <c r="H70" i="48"/>
  <c r="N70" i="48" s="1"/>
  <c r="D70" i="48"/>
  <c r="B70" i="48"/>
  <c r="Z69" i="48"/>
  <c r="X69" i="48"/>
  <c r="L69" i="48"/>
  <c r="N69" i="48" s="1"/>
  <c r="J69" i="48"/>
  <c r="B69" i="48"/>
  <c r="Z68" i="48"/>
  <c r="T68" i="48"/>
  <c r="P68" i="48"/>
  <c r="X68" i="48" s="1"/>
  <c r="L68" i="48"/>
  <c r="J68" i="48"/>
  <c r="H68" i="48"/>
  <c r="D68" i="48"/>
  <c r="B68" i="48"/>
  <c r="Z67" i="48"/>
  <c r="X67" i="48"/>
  <c r="V67" i="48"/>
  <c r="N67" i="48"/>
  <c r="L67" i="48"/>
  <c r="J67" i="48"/>
  <c r="B67" i="48"/>
  <c r="X66" i="48"/>
  <c r="Z66" i="48" s="1"/>
  <c r="L66" i="48"/>
  <c r="N66" i="48" s="1"/>
  <c r="J66" i="48"/>
  <c r="B66" i="48"/>
  <c r="T65" i="48"/>
  <c r="P65" i="48"/>
  <c r="N65" i="48"/>
  <c r="J65" i="48"/>
  <c r="H65" i="48"/>
  <c r="D65" i="48"/>
  <c r="L65" i="48" s="1"/>
  <c r="B65" i="48"/>
  <c r="Z64" i="48"/>
  <c r="X64" i="48"/>
  <c r="N64" i="48"/>
  <c r="L64" i="48"/>
  <c r="B64" i="48"/>
  <c r="T63" i="48"/>
  <c r="P63" i="48"/>
  <c r="X63" i="48" s="1"/>
  <c r="Z63" i="48" s="1"/>
  <c r="N63" i="48"/>
  <c r="J63" i="48"/>
  <c r="H63" i="48"/>
  <c r="D63" i="48"/>
  <c r="L63" i="48" s="1"/>
  <c r="B63" i="48"/>
  <c r="Z62" i="48"/>
  <c r="X62" i="48"/>
  <c r="N62" i="48"/>
  <c r="L62" i="48"/>
  <c r="J62" i="48"/>
  <c r="B62" i="48"/>
  <c r="Z61" i="48"/>
  <c r="X61" i="48"/>
  <c r="N61" i="48"/>
  <c r="L61" i="48"/>
  <c r="B61" i="48"/>
  <c r="X60" i="48"/>
  <c r="Z60" i="48" s="1"/>
  <c r="N60" i="48"/>
  <c r="L60" i="48"/>
  <c r="B60" i="48"/>
  <c r="Z59" i="48"/>
  <c r="X59" i="48"/>
  <c r="N59" i="48"/>
  <c r="L59" i="48"/>
  <c r="J59" i="48"/>
  <c r="B59" i="48"/>
  <c r="X58" i="48"/>
  <c r="T58" i="48"/>
  <c r="R58" i="48"/>
  <c r="P58" i="48"/>
  <c r="N58" i="48"/>
  <c r="H58" i="48"/>
  <c r="L58" i="48" s="1"/>
  <c r="D58" i="48"/>
  <c r="B58" i="48"/>
  <c r="Z57" i="48"/>
  <c r="X57" i="48"/>
  <c r="V57" i="48"/>
  <c r="L57" i="48"/>
  <c r="N57" i="48" s="1"/>
  <c r="B57" i="48"/>
  <c r="X56" i="48"/>
  <c r="T56" i="48"/>
  <c r="Z56" i="48" s="1"/>
  <c r="R56" i="48"/>
  <c r="P56" i="48"/>
  <c r="L56" i="48"/>
  <c r="N56" i="48" s="1"/>
  <c r="J56" i="48"/>
  <c r="H56" i="48"/>
  <c r="D56" i="48"/>
  <c r="B56" i="48"/>
  <c r="X55" i="48"/>
  <c r="Z55" i="48" s="1"/>
  <c r="N55" i="48"/>
  <c r="L55" i="48"/>
  <c r="B55" i="48"/>
  <c r="Z54" i="48"/>
  <c r="T54" i="48"/>
  <c r="P54" i="48"/>
  <c r="X54" i="48" s="1"/>
  <c r="J54" i="48"/>
  <c r="H54" i="48"/>
  <c r="N54" i="48" s="1"/>
  <c r="D54" i="48"/>
  <c r="L54" i="48" s="1"/>
  <c r="B54" i="48"/>
  <c r="Z53" i="48"/>
  <c r="X53" i="48"/>
  <c r="N53" i="48"/>
  <c r="L53" i="48"/>
  <c r="J53" i="48"/>
  <c r="B53" i="48"/>
  <c r="V52" i="48"/>
  <c r="T52" i="48"/>
  <c r="Z52" i="48" s="1"/>
  <c r="P52" i="48"/>
  <c r="X52" i="48" s="1"/>
  <c r="J52" i="48"/>
  <c r="H52" i="48"/>
  <c r="D52" i="48"/>
  <c r="L52" i="48" s="1"/>
  <c r="B52" i="48"/>
  <c r="Z51" i="48"/>
  <c r="X51" i="48"/>
  <c r="R51" i="48"/>
  <c r="L51" i="48"/>
  <c r="N51" i="48" s="1"/>
  <c r="J51" i="48"/>
  <c r="B51" i="48"/>
  <c r="Z50" i="48"/>
  <c r="X50" i="48"/>
  <c r="N50" i="48"/>
  <c r="L50" i="48"/>
  <c r="J50" i="48"/>
  <c r="B50" i="48"/>
  <c r="X49" i="48"/>
  <c r="T49" i="48"/>
  <c r="Z49" i="48" s="1"/>
  <c r="R49" i="48"/>
  <c r="P49" i="48"/>
  <c r="J49" i="48"/>
  <c r="H49" i="48"/>
  <c r="D49" i="48"/>
  <c r="B49" i="48"/>
  <c r="X48" i="48"/>
  <c r="Z48" i="48" s="1"/>
  <c r="N48" i="48"/>
  <c r="L48" i="48"/>
  <c r="J48" i="48"/>
  <c r="B48" i="48"/>
  <c r="V47" i="48"/>
  <c r="T47" i="48"/>
  <c r="P47" i="48"/>
  <c r="H47" i="48"/>
  <c r="D47" i="48"/>
  <c r="L47" i="48" s="1"/>
  <c r="N47" i="48" s="1"/>
  <c r="B47" i="48"/>
  <c r="X46" i="48"/>
  <c r="Z46" i="48" s="1"/>
  <c r="L46" i="48"/>
  <c r="N46" i="48" s="1"/>
  <c r="B46" i="48"/>
  <c r="V45" i="48"/>
  <c r="T45" i="48"/>
  <c r="P45" i="48"/>
  <c r="X45" i="48" s="1"/>
  <c r="Z45" i="48" s="1"/>
  <c r="J45" i="48"/>
  <c r="H45" i="48"/>
  <c r="D45" i="48"/>
  <c r="B45" i="48"/>
  <c r="Z44" i="48"/>
  <c r="X44" i="48"/>
  <c r="R44" i="48"/>
  <c r="N44" i="48"/>
  <c r="L44" i="48"/>
  <c r="B44" i="48"/>
  <c r="T43" i="48"/>
  <c r="R43" i="48"/>
  <c r="P43" i="48"/>
  <c r="L43" i="48"/>
  <c r="H43" i="48"/>
  <c r="D43" i="48"/>
  <c r="B43" i="48"/>
  <c r="Z42" i="48"/>
  <c r="X42" i="48"/>
  <c r="N42" i="48"/>
  <c r="L42" i="48"/>
  <c r="B42" i="48"/>
  <c r="Z41" i="48"/>
  <c r="X41" i="48"/>
  <c r="N41" i="48"/>
  <c r="L41" i="48"/>
  <c r="B41" i="48"/>
  <c r="Z40" i="48"/>
  <c r="X40" i="48"/>
  <c r="N40" i="48"/>
  <c r="L40" i="48"/>
  <c r="B40" i="48"/>
  <c r="X39" i="48"/>
  <c r="Z39" i="48" s="1"/>
  <c r="V39" i="48"/>
  <c r="N39" i="48"/>
  <c r="L39" i="48"/>
  <c r="J39" i="48"/>
  <c r="B39" i="48"/>
  <c r="Z38" i="48"/>
  <c r="X38" i="48"/>
  <c r="N38" i="48"/>
  <c r="L38" i="48"/>
  <c r="B38" i="48"/>
  <c r="Z37" i="48"/>
  <c r="X37" i="48"/>
  <c r="N37" i="48"/>
  <c r="L37" i="48"/>
  <c r="B37" i="48"/>
  <c r="X36" i="48"/>
  <c r="Z36" i="48" s="1"/>
  <c r="N36" i="48"/>
  <c r="L36" i="48"/>
  <c r="B36" i="48"/>
  <c r="Z35" i="48"/>
  <c r="X35" i="48"/>
  <c r="R35" i="48"/>
  <c r="N35" i="48"/>
  <c r="L35" i="48"/>
  <c r="J35" i="48"/>
  <c r="B35" i="48"/>
  <c r="Z34" i="48"/>
  <c r="X34" i="48"/>
  <c r="V34" i="48"/>
  <c r="L34" i="48"/>
  <c r="N34" i="48" s="1"/>
  <c r="B34" i="48"/>
  <c r="X33" i="48"/>
  <c r="Z33" i="48" s="1"/>
  <c r="N33" i="48"/>
  <c r="L33" i="48"/>
  <c r="J33" i="48"/>
  <c r="B33" i="48"/>
  <c r="T32" i="48"/>
  <c r="P32" i="48"/>
  <c r="X32" i="48" s="1"/>
  <c r="Z32" i="48" s="1"/>
  <c r="J32" i="48"/>
  <c r="H32" i="48"/>
  <c r="N32" i="48" s="1"/>
  <c r="D32" i="48"/>
  <c r="L32" i="48" s="1"/>
  <c r="B32" i="48"/>
  <c r="Z31" i="48"/>
  <c r="X31" i="48"/>
  <c r="R31" i="48"/>
  <c r="N31" i="48"/>
  <c r="L31" i="48"/>
  <c r="J31" i="48"/>
  <c r="B31" i="48"/>
  <c r="Z30" i="48"/>
  <c r="X30" i="48"/>
  <c r="L30" i="48"/>
  <c r="N30" i="48" s="1"/>
  <c r="B30" i="48"/>
  <c r="X29" i="48"/>
  <c r="Z29" i="48" s="1"/>
  <c r="N29" i="48"/>
  <c r="L29" i="48"/>
  <c r="J29" i="48"/>
  <c r="B29" i="48"/>
  <c r="Z28" i="48"/>
  <c r="X28" i="48"/>
  <c r="R28" i="48"/>
  <c r="N28" i="48"/>
  <c r="L28" i="48"/>
  <c r="J28" i="48"/>
  <c r="B28" i="48"/>
  <c r="Z27" i="48"/>
  <c r="X27" i="48"/>
  <c r="N27" i="48"/>
  <c r="L27" i="48"/>
  <c r="J27" i="48"/>
  <c r="B27" i="48"/>
  <c r="X26" i="48"/>
  <c r="Z26" i="48" s="1"/>
  <c r="R26" i="48"/>
  <c r="N26" i="48"/>
  <c r="L26" i="48"/>
  <c r="J26" i="48"/>
  <c r="B26" i="48"/>
  <c r="Z25" i="48"/>
  <c r="X25" i="48"/>
  <c r="V25" i="48"/>
  <c r="L25" i="48"/>
  <c r="N25" i="48" s="1"/>
  <c r="J25" i="48"/>
  <c r="B25" i="48"/>
  <c r="X24" i="48"/>
  <c r="Z24" i="48" s="1"/>
  <c r="N24" i="48"/>
  <c r="L24" i="48"/>
  <c r="B24" i="48"/>
  <c r="Z23" i="48"/>
  <c r="X23" i="48"/>
  <c r="R23" i="48"/>
  <c r="N23" i="48"/>
  <c r="L23" i="48"/>
  <c r="J23" i="48"/>
  <c r="B23" i="48"/>
  <c r="Z22" i="48"/>
  <c r="X22" i="48"/>
  <c r="L22" i="48"/>
  <c r="N22" i="48" s="1"/>
  <c r="B22" i="48"/>
  <c r="X21" i="48"/>
  <c r="Z21" i="48" s="1"/>
  <c r="T21" i="48"/>
  <c r="R21" i="48"/>
  <c r="P21" i="48"/>
  <c r="H21" i="48"/>
  <c r="D21" i="48"/>
  <c r="B21" i="48"/>
  <c r="T20" i="48"/>
  <c r="P20" i="48"/>
  <c r="X20" i="48" s="1"/>
  <c r="H20" i="48"/>
  <c r="D20" i="48"/>
  <c r="P18" i="48"/>
  <c r="X16" i="48"/>
  <c r="T16" i="48"/>
  <c r="Z16" i="48" s="1"/>
  <c r="R16" i="48"/>
  <c r="P16" i="48"/>
  <c r="H16" i="48"/>
  <c r="D16" i="48"/>
  <c r="Z14" i="48"/>
  <c r="X14" i="48"/>
  <c r="P14" i="48"/>
  <c r="D14" i="48"/>
  <c r="L14" i="48" s="1"/>
  <c r="N14" i="48" s="1"/>
  <c r="B14" i="48"/>
  <c r="X13" i="48"/>
  <c r="Z13" i="48" s="1"/>
  <c r="P13" i="48"/>
  <c r="L13" i="48"/>
  <c r="N13" i="48" s="1"/>
  <c r="D13" i="48"/>
  <c r="B13" i="48"/>
  <c r="T12" i="48"/>
  <c r="V66" i="48" s="1"/>
  <c r="P12" i="48"/>
  <c r="R71" i="48" s="1"/>
  <c r="H12" i="48"/>
  <c r="J78" i="48" s="1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P22" i="47"/>
  <c r="H22" i="47"/>
  <c r="N22" i="47" s="1"/>
  <c r="D22" i="47"/>
  <c r="B22" i="47"/>
  <c r="T21" i="47"/>
  <c r="Z21" i="47" s="1"/>
  <c r="P21" i="47"/>
  <c r="H21" i="47"/>
  <c r="D21" i="47"/>
  <c r="B21" i="47"/>
  <c r="T20" i="47"/>
  <c r="Z20" i="47" s="1"/>
  <c r="P20" i="47"/>
  <c r="H20" i="47"/>
  <c r="D20" i="47"/>
  <c r="T16" i="47"/>
  <c r="Z16" i="47" s="1"/>
  <c r="P16" i="47"/>
  <c r="H16" i="47"/>
  <c r="D16" i="47"/>
  <c r="B16" i="47"/>
  <c r="T15" i="47"/>
  <c r="Z15" i="47" s="1"/>
  <c r="P15" i="47"/>
  <c r="H15" i="47"/>
  <c r="D15" i="47"/>
  <c r="T13" i="47"/>
  <c r="Z13" i="47" s="1"/>
  <c r="P13" i="47"/>
  <c r="H13" i="47"/>
  <c r="N13" i="47" s="1"/>
  <c r="D13" i="47"/>
  <c r="B13" i="47"/>
  <c r="T12" i="47"/>
  <c r="P12" i="47"/>
  <c r="R34" i="47" s="1"/>
  <c r="H12" i="47"/>
  <c r="D12" i="47"/>
  <c r="F24" i="47" s="1"/>
  <c r="D5" i="47"/>
  <c r="D4" i="47"/>
  <c r="B39" i="46"/>
  <c r="B38" i="46"/>
  <c r="T34" i="46"/>
  <c r="Z34" i="46" s="1"/>
  <c r="P34" i="46"/>
  <c r="H34" i="46"/>
  <c r="N34" i="46" s="1"/>
  <c r="D34" i="46"/>
  <c r="T33" i="46"/>
  <c r="P33" i="46"/>
  <c r="H33" i="46"/>
  <c r="N33" i="46" s="1"/>
  <c r="D33" i="46"/>
  <c r="T29" i="46"/>
  <c r="P29" i="46"/>
  <c r="H29" i="46"/>
  <c r="N29" i="46" s="1"/>
  <c r="D29" i="46"/>
  <c r="T25" i="46"/>
  <c r="P25" i="46"/>
  <c r="H25" i="46"/>
  <c r="N25" i="46" s="1"/>
  <c r="D25" i="46"/>
  <c r="B25" i="46"/>
  <c r="T24" i="46"/>
  <c r="Z24" i="46" s="1"/>
  <c r="P24" i="46"/>
  <c r="H24" i="46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P20" i="46"/>
  <c r="H20" i="46"/>
  <c r="N20" i="46" s="1"/>
  <c r="D20" i="46"/>
  <c r="T16" i="46"/>
  <c r="P16" i="46"/>
  <c r="H16" i="46"/>
  <c r="N16" i="46" s="1"/>
  <c r="D16" i="46"/>
  <c r="B16" i="46"/>
  <c r="T15" i="46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24" i="46" s="1"/>
  <c r="P12" i="46"/>
  <c r="H12" i="46"/>
  <c r="J21" i="46" s="1"/>
  <c r="D12" i="46"/>
  <c r="F21" i="46" s="1"/>
  <c r="D5" i="46"/>
  <c r="D4" i="46"/>
  <c r="J106" i="45"/>
  <c r="Z104" i="45"/>
  <c r="X104" i="45"/>
  <c r="N104" i="45"/>
  <c r="L104" i="45"/>
  <c r="Z100" i="45"/>
  <c r="T100" i="45"/>
  <c r="X100" i="45" s="1"/>
  <c r="P100" i="45"/>
  <c r="N100" i="45"/>
  <c r="J100" i="45"/>
  <c r="H100" i="45"/>
  <c r="D100" i="45"/>
  <c r="L100" i="45" s="1"/>
  <c r="Z98" i="45"/>
  <c r="X98" i="45"/>
  <c r="N98" i="45"/>
  <c r="L98" i="45"/>
  <c r="B98" i="45"/>
  <c r="X97" i="45"/>
  <c r="Z97" i="45" s="1"/>
  <c r="L97" i="45"/>
  <c r="N97" i="45" s="1"/>
  <c r="J97" i="45"/>
  <c r="B97" i="45"/>
  <c r="V96" i="45"/>
  <c r="T96" i="45"/>
  <c r="P96" i="45"/>
  <c r="X96" i="45" s="1"/>
  <c r="Z96" i="45" s="1"/>
  <c r="H96" i="45"/>
  <c r="D96" i="45"/>
  <c r="L96" i="45" s="1"/>
  <c r="N96" i="45" s="1"/>
  <c r="B96" i="45"/>
  <c r="Z95" i="45"/>
  <c r="X95" i="45"/>
  <c r="L95" i="45"/>
  <c r="N95" i="45" s="1"/>
  <c r="B95" i="45"/>
  <c r="T94" i="45"/>
  <c r="P94" i="45"/>
  <c r="X94" i="45" s="1"/>
  <c r="Z94" i="45" s="1"/>
  <c r="L94" i="45"/>
  <c r="N94" i="45" s="1"/>
  <c r="H94" i="45"/>
  <c r="D94" i="45"/>
  <c r="B94" i="45"/>
  <c r="X93" i="45"/>
  <c r="Z93" i="45" s="1"/>
  <c r="V93" i="45"/>
  <c r="L93" i="45"/>
  <c r="N93" i="45" s="1"/>
  <c r="B93" i="45"/>
  <c r="X92" i="45"/>
  <c r="Z92" i="45" s="1"/>
  <c r="N92" i="45"/>
  <c r="L92" i="45"/>
  <c r="J92" i="45"/>
  <c r="B92" i="45"/>
  <c r="T91" i="45"/>
  <c r="P91" i="45"/>
  <c r="X91" i="45" s="1"/>
  <c r="Z91" i="45" s="1"/>
  <c r="J91" i="45"/>
  <c r="H91" i="45"/>
  <c r="D91" i="45"/>
  <c r="L91" i="45" s="1"/>
  <c r="B91" i="45"/>
  <c r="Z90" i="45"/>
  <c r="X90" i="45"/>
  <c r="N90" i="45"/>
  <c r="L90" i="45"/>
  <c r="B90" i="45"/>
  <c r="X89" i="45"/>
  <c r="Z89" i="45" s="1"/>
  <c r="V89" i="45"/>
  <c r="N89" i="45"/>
  <c r="L89" i="45"/>
  <c r="B89" i="45"/>
  <c r="X88" i="45"/>
  <c r="Z88" i="45" s="1"/>
  <c r="N88" i="45"/>
  <c r="L88" i="45"/>
  <c r="J88" i="45"/>
  <c r="B88" i="45"/>
  <c r="Z87" i="45"/>
  <c r="X87" i="45"/>
  <c r="L87" i="45"/>
  <c r="N87" i="45" s="1"/>
  <c r="B87" i="45"/>
  <c r="Z86" i="45"/>
  <c r="X86" i="45"/>
  <c r="N86" i="45"/>
  <c r="L86" i="45"/>
  <c r="B86" i="45"/>
  <c r="X85" i="45"/>
  <c r="Z85" i="45" s="1"/>
  <c r="L85" i="45"/>
  <c r="N85" i="45" s="1"/>
  <c r="J85" i="45"/>
  <c r="B85" i="45"/>
  <c r="Z84" i="45"/>
  <c r="X84" i="45"/>
  <c r="V84" i="45"/>
  <c r="L84" i="45"/>
  <c r="N84" i="45" s="1"/>
  <c r="B84" i="45"/>
  <c r="X83" i="45"/>
  <c r="Z83" i="45" s="1"/>
  <c r="N83" i="45"/>
  <c r="L83" i="45"/>
  <c r="B83" i="45"/>
  <c r="Z82" i="45"/>
  <c r="X82" i="45"/>
  <c r="N82" i="45"/>
  <c r="L82" i="45"/>
  <c r="J82" i="45"/>
  <c r="B82" i="45"/>
  <c r="X81" i="45"/>
  <c r="Z81" i="45" s="1"/>
  <c r="V81" i="45"/>
  <c r="L81" i="45"/>
  <c r="N81" i="45" s="1"/>
  <c r="B81" i="45"/>
  <c r="X80" i="45"/>
  <c r="Z80" i="45" s="1"/>
  <c r="T80" i="45"/>
  <c r="P80" i="45"/>
  <c r="H80" i="45"/>
  <c r="D80" i="45"/>
  <c r="B80" i="45"/>
  <c r="Z79" i="45"/>
  <c r="X79" i="45"/>
  <c r="N79" i="45"/>
  <c r="L79" i="45"/>
  <c r="B79" i="45"/>
  <c r="Z78" i="45"/>
  <c r="T78" i="45"/>
  <c r="X78" i="45" s="1"/>
  <c r="P78" i="45"/>
  <c r="N78" i="45"/>
  <c r="J78" i="45"/>
  <c r="H78" i="45"/>
  <c r="D78" i="45"/>
  <c r="L78" i="45" s="1"/>
  <c r="B78" i="45"/>
  <c r="X77" i="45"/>
  <c r="Z77" i="45" s="1"/>
  <c r="L77" i="45"/>
  <c r="N77" i="45" s="1"/>
  <c r="J77" i="45"/>
  <c r="B77" i="45"/>
  <c r="Z76" i="45"/>
  <c r="X76" i="45"/>
  <c r="V76" i="45"/>
  <c r="L76" i="45"/>
  <c r="N76" i="45" s="1"/>
  <c r="B76" i="45"/>
  <c r="X75" i="45"/>
  <c r="Z75" i="45" s="1"/>
  <c r="N75" i="45"/>
  <c r="L75" i="45"/>
  <c r="B75" i="45"/>
  <c r="Z74" i="45"/>
  <c r="X74" i="45"/>
  <c r="N74" i="45"/>
  <c r="L74" i="45"/>
  <c r="J74" i="45"/>
  <c r="B74" i="45"/>
  <c r="V73" i="45"/>
  <c r="T73" i="45"/>
  <c r="P73" i="45"/>
  <c r="X73" i="45" s="1"/>
  <c r="L73" i="45"/>
  <c r="H73" i="45"/>
  <c r="D73" i="45"/>
  <c r="B73" i="45"/>
  <c r="Z72" i="45"/>
  <c r="X72" i="45"/>
  <c r="V72" i="45"/>
  <c r="L72" i="45"/>
  <c r="N72" i="45" s="1"/>
  <c r="B72" i="45"/>
  <c r="X71" i="45"/>
  <c r="Z71" i="45" s="1"/>
  <c r="N71" i="45"/>
  <c r="L71" i="45"/>
  <c r="B71" i="45"/>
  <c r="Z70" i="45"/>
  <c r="X70" i="45"/>
  <c r="N70" i="45"/>
  <c r="L70" i="45"/>
  <c r="J70" i="45"/>
  <c r="B70" i="45"/>
  <c r="X69" i="45"/>
  <c r="Z69" i="45" s="1"/>
  <c r="V69" i="45"/>
  <c r="N69" i="45"/>
  <c r="L69" i="45"/>
  <c r="B69" i="45"/>
  <c r="X68" i="45"/>
  <c r="Z68" i="45" s="1"/>
  <c r="T68" i="45"/>
  <c r="P68" i="45"/>
  <c r="H68" i="45"/>
  <c r="L68" i="45" s="1"/>
  <c r="D68" i="45"/>
  <c r="B68" i="45"/>
  <c r="X67" i="45"/>
  <c r="Z67" i="45" s="1"/>
  <c r="N67" i="45"/>
  <c r="L67" i="45"/>
  <c r="B67" i="45"/>
  <c r="T66" i="45"/>
  <c r="X66" i="45" s="1"/>
  <c r="P66" i="45"/>
  <c r="N66" i="45"/>
  <c r="J66" i="45"/>
  <c r="H66" i="45"/>
  <c r="D66" i="45"/>
  <c r="L66" i="45" s="1"/>
  <c r="B66" i="45"/>
  <c r="X65" i="45"/>
  <c r="Z65" i="45" s="1"/>
  <c r="N65" i="45"/>
  <c r="L65" i="45"/>
  <c r="J65" i="45"/>
  <c r="B65" i="45"/>
  <c r="V64" i="45"/>
  <c r="T64" i="45"/>
  <c r="P64" i="45"/>
  <c r="X64" i="45" s="1"/>
  <c r="Z64" i="45" s="1"/>
  <c r="J64" i="45"/>
  <c r="H64" i="45"/>
  <c r="D64" i="45"/>
  <c r="L64" i="45" s="1"/>
  <c r="N64" i="45" s="1"/>
  <c r="B64" i="45"/>
  <c r="Z63" i="45"/>
  <c r="X63" i="45"/>
  <c r="L63" i="45"/>
  <c r="N63" i="45" s="1"/>
  <c r="B63" i="45"/>
  <c r="T62" i="45"/>
  <c r="P62" i="45"/>
  <c r="X62" i="45" s="1"/>
  <c r="Z62" i="45" s="1"/>
  <c r="L62" i="45"/>
  <c r="N62" i="45" s="1"/>
  <c r="H62" i="45"/>
  <c r="D62" i="45"/>
  <c r="B62" i="45"/>
  <c r="X61" i="45"/>
  <c r="Z61" i="45" s="1"/>
  <c r="V61" i="45"/>
  <c r="L61" i="45"/>
  <c r="N61" i="45" s="1"/>
  <c r="B61" i="45"/>
  <c r="X60" i="45"/>
  <c r="Z60" i="45" s="1"/>
  <c r="T60" i="45"/>
  <c r="P60" i="45"/>
  <c r="H60" i="45"/>
  <c r="D60" i="45"/>
  <c r="B60" i="45"/>
  <c r="X59" i="45"/>
  <c r="Z59" i="45" s="1"/>
  <c r="N59" i="45"/>
  <c r="L59" i="45"/>
  <c r="B59" i="45"/>
  <c r="T58" i="45"/>
  <c r="P58" i="45"/>
  <c r="J58" i="45"/>
  <c r="H58" i="45"/>
  <c r="D58" i="45"/>
  <c r="L58" i="45" s="1"/>
  <c r="N58" i="45" s="1"/>
  <c r="B58" i="45"/>
  <c r="X57" i="45"/>
  <c r="Z57" i="45" s="1"/>
  <c r="N57" i="45"/>
  <c r="L57" i="45"/>
  <c r="J57" i="45"/>
  <c r="B57" i="45"/>
  <c r="V56" i="45"/>
  <c r="T56" i="45"/>
  <c r="P56" i="45"/>
  <c r="X56" i="45" s="1"/>
  <c r="Z56" i="45" s="1"/>
  <c r="N56" i="45"/>
  <c r="J56" i="45"/>
  <c r="H56" i="45"/>
  <c r="D56" i="45"/>
  <c r="L56" i="45" s="1"/>
  <c r="B56" i="45"/>
  <c r="Z55" i="45"/>
  <c r="X55" i="45"/>
  <c r="L55" i="45"/>
  <c r="N55" i="45" s="1"/>
  <c r="B55" i="45"/>
  <c r="T54" i="45"/>
  <c r="P54" i="45"/>
  <c r="X54" i="45" s="1"/>
  <c r="Z54" i="45" s="1"/>
  <c r="L54" i="45"/>
  <c r="N54" i="45" s="1"/>
  <c r="H54" i="45"/>
  <c r="D54" i="45"/>
  <c r="B54" i="45"/>
  <c r="Z53" i="45"/>
  <c r="X53" i="45"/>
  <c r="V53" i="45"/>
  <c r="L53" i="45"/>
  <c r="N53" i="45" s="1"/>
  <c r="B53" i="45"/>
  <c r="X52" i="45"/>
  <c r="Z52" i="45" s="1"/>
  <c r="T52" i="45"/>
  <c r="P52" i="45"/>
  <c r="H52" i="45"/>
  <c r="D52" i="45"/>
  <c r="B52" i="45"/>
  <c r="X51" i="45"/>
  <c r="Z51" i="45" s="1"/>
  <c r="N51" i="45"/>
  <c r="L51" i="45"/>
  <c r="B51" i="45"/>
  <c r="T50" i="45"/>
  <c r="P50" i="45"/>
  <c r="J50" i="45"/>
  <c r="H50" i="45"/>
  <c r="D50" i="45"/>
  <c r="L50" i="45" s="1"/>
  <c r="N50" i="45" s="1"/>
  <c r="B50" i="45"/>
  <c r="X49" i="45"/>
  <c r="Z49" i="45" s="1"/>
  <c r="N49" i="45"/>
  <c r="L49" i="45"/>
  <c r="J49" i="45"/>
  <c r="B49" i="45"/>
  <c r="V48" i="45"/>
  <c r="T48" i="45"/>
  <c r="P48" i="45"/>
  <c r="X48" i="45" s="1"/>
  <c r="Z48" i="45" s="1"/>
  <c r="J48" i="45"/>
  <c r="H48" i="45"/>
  <c r="D48" i="45"/>
  <c r="L48" i="45" s="1"/>
  <c r="N48" i="45" s="1"/>
  <c r="B48" i="45"/>
  <c r="Z47" i="45"/>
  <c r="X47" i="45"/>
  <c r="N47" i="45"/>
  <c r="L47" i="45"/>
  <c r="B47" i="45"/>
  <c r="Z46" i="45"/>
  <c r="X46" i="45"/>
  <c r="N46" i="45"/>
  <c r="L46" i="45"/>
  <c r="B46" i="45"/>
  <c r="X45" i="45"/>
  <c r="Z45" i="45" s="1"/>
  <c r="N45" i="45"/>
  <c r="L45" i="45"/>
  <c r="J45" i="45"/>
  <c r="B45" i="45"/>
  <c r="Z44" i="45"/>
  <c r="X44" i="45"/>
  <c r="V44" i="45"/>
  <c r="N44" i="45"/>
  <c r="L44" i="45"/>
  <c r="B44" i="45"/>
  <c r="Z43" i="45"/>
  <c r="X43" i="45"/>
  <c r="N43" i="45"/>
  <c r="L43" i="45"/>
  <c r="B43" i="45"/>
  <c r="Z42" i="45"/>
  <c r="X42" i="45"/>
  <c r="N42" i="45"/>
  <c r="L42" i="45"/>
  <c r="J42" i="45"/>
  <c r="B42" i="45"/>
  <c r="Z41" i="45"/>
  <c r="X41" i="45"/>
  <c r="V41" i="45"/>
  <c r="L41" i="45"/>
  <c r="N41" i="45" s="1"/>
  <c r="B41" i="45"/>
  <c r="Z40" i="45"/>
  <c r="X40" i="45"/>
  <c r="N40" i="45"/>
  <c r="L40" i="45"/>
  <c r="J40" i="45"/>
  <c r="B40" i="45"/>
  <c r="Z39" i="45"/>
  <c r="X39" i="45"/>
  <c r="L39" i="45"/>
  <c r="N39" i="45" s="1"/>
  <c r="B39" i="45"/>
  <c r="Z38" i="45"/>
  <c r="X38" i="45"/>
  <c r="N38" i="45"/>
  <c r="L38" i="45"/>
  <c r="B38" i="45"/>
  <c r="T37" i="45"/>
  <c r="P37" i="45"/>
  <c r="N37" i="45"/>
  <c r="H37" i="45"/>
  <c r="D37" i="45"/>
  <c r="L37" i="45" s="1"/>
  <c r="B37" i="45"/>
  <c r="X36" i="45"/>
  <c r="Z36" i="45" s="1"/>
  <c r="N36" i="45"/>
  <c r="L36" i="45"/>
  <c r="J36" i="45"/>
  <c r="B36" i="45"/>
  <c r="Z35" i="45"/>
  <c r="X35" i="45"/>
  <c r="L35" i="45"/>
  <c r="N35" i="45" s="1"/>
  <c r="B35" i="45"/>
  <c r="Z34" i="45"/>
  <c r="X34" i="45"/>
  <c r="N34" i="45"/>
  <c r="L34" i="45"/>
  <c r="B34" i="45"/>
  <c r="Z33" i="45"/>
  <c r="X33" i="45"/>
  <c r="N33" i="45"/>
  <c r="L33" i="45"/>
  <c r="J33" i="45"/>
  <c r="B33" i="45"/>
  <c r="Z32" i="45"/>
  <c r="X32" i="45"/>
  <c r="V32" i="45"/>
  <c r="N32" i="45"/>
  <c r="L32" i="45"/>
  <c r="J32" i="45"/>
  <c r="B32" i="45"/>
  <c r="X31" i="45"/>
  <c r="Z31" i="45" s="1"/>
  <c r="N31" i="45"/>
  <c r="L31" i="45"/>
  <c r="B31" i="45"/>
  <c r="Z30" i="45"/>
  <c r="X30" i="45"/>
  <c r="N30" i="45"/>
  <c r="L30" i="45"/>
  <c r="J30" i="45"/>
  <c r="B30" i="45"/>
  <c r="Z29" i="45"/>
  <c r="X29" i="45"/>
  <c r="V29" i="45"/>
  <c r="L29" i="45"/>
  <c r="N29" i="45" s="1"/>
  <c r="B29" i="45"/>
  <c r="X28" i="45"/>
  <c r="Z28" i="45" s="1"/>
  <c r="N28" i="45"/>
  <c r="L28" i="45"/>
  <c r="J28" i="45"/>
  <c r="B28" i="45"/>
  <c r="Z27" i="45"/>
  <c r="X27" i="45"/>
  <c r="L27" i="45"/>
  <c r="N27" i="45" s="1"/>
  <c r="B27" i="45"/>
  <c r="T26" i="45"/>
  <c r="P26" i="45"/>
  <c r="X26" i="45" s="1"/>
  <c r="Z26" i="45" s="1"/>
  <c r="L26" i="45"/>
  <c r="N26" i="45" s="1"/>
  <c r="J26" i="45"/>
  <c r="H26" i="45"/>
  <c r="D26" i="45"/>
  <c r="B26" i="45"/>
  <c r="T25" i="45"/>
  <c r="P25" i="45"/>
  <c r="X25" i="45" s="1"/>
  <c r="H25" i="45"/>
  <c r="D25" i="45"/>
  <c r="L25" i="45" s="1"/>
  <c r="T23" i="45"/>
  <c r="N23" i="45"/>
  <c r="H23" i="45"/>
  <c r="Z21" i="45"/>
  <c r="X21" i="45"/>
  <c r="V21" i="45"/>
  <c r="N21" i="45"/>
  <c r="L21" i="45"/>
  <c r="B21" i="45"/>
  <c r="Z20" i="45"/>
  <c r="X20" i="45"/>
  <c r="N20" i="45"/>
  <c r="L20" i="45"/>
  <c r="J20" i="45"/>
  <c r="B20" i="45"/>
  <c r="Z19" i="45"/>
  <c r="X19" i="45"/>
  <c r="N19" i="45"/>
  <c r="L19" i="45"/>
  <c r="B19" i="45"/>
  <c r="T18" i="45"/>
  <c r="P18" i="45"/>
  <c r="X18" i="45" s="1"/>
  <c r="Z18" i="45" s="1"/>
  <c r="N18" i="45"/>
  <c r="L18" i="45"/>
  <c r="J18" i="45"/>
  <c r="H18" i="45"/>
  <c r="D18" i="45"/>
  <c r="Z16" i="45"/>
  <c r="P16" i="45"/>
  <c r="X16" i="45" s="1"/>
  <c r="N16" i="45"/>
  <c r="L16" i="45"/>
  <c r="D16" i="45"/>
  <c r="B16" i="45"/>
  <c r="Z15" i="45"/>
  <c r="X15" i="45"/>
  <c r="P15" i="45"/>
  <c r="N15" i="45"/>
  <c r="L15" i="45"/>
  <c r="D15" i="45"/>
  <c r="B15" i="45"/>
  <c r="P14" i="45"/>
  <c r="N14" i="45"/>
  <c r="D14" i="45"/>
  <c r="B14" i="45"/>
  <c r="Z13" i="45"/>
  <c r="X13" i="45"/>
  <c r="P13" i="45"/>
  <c r="N13" i="45"/>
  <c r="D13" i="45"/>
  <c r="L13" i="45" s="1"/>
  <c r="B13" i="45"/>
  <c r="T12" i="45"/>
  <c r="V92" i="45" s="1"/>
  <c r="N12" i="45"/>
  <c r="H12" i="45"/>
  <c r="J109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D33" i="44"/>
  <c r="T29" i="44"/>
  <c r="Z29" i="44" s="1"/>
  <c r="P29" i="44"/>
  <c r="H29" i="44"/>
  <c r="D29" i="44"/>
  <c r="T25" i="44"/>
  <c r="Z25" i="44" s="1"/>
  <c r="P25" i="44"/>
  <c r="H25" i="44"/>
  <c r="D25" i="44"/>
  <c r="B25" i="44"/>
  <c r="T24" i="44"/>
  <c r="Z24" i="44" s="1"/>
  <c r="P24" i="44"/>
  <c r="H24" i="44"/>
  <c r="N24" i="44" s="1"/>
  <c r="D24" i="44"/>
  <c r="T22" i="44"/>
  <c r="P22" i="44"/>
  <c r="H22" i="44"/>
  <c r="N22" i="44" s="1"/>
  <c r="D22" i="44"/>
  <c r="B22" i="44"/>
  <c r="T21" i="44"/>
  <c r="P21" i="44"/>
  <c r="H21" i="44"/>
  <c r="N21" i="44" s="1"/>
  <c r="D21" i="44"/>
  <c r="B21" i="44"/>
  <c r="T20" i="44"/>
  <c r="Z20" i="44" s="1"/>
  <c r="P20" i="44"/>
  <c r="H20" i="44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V20" i="44" s="1"/>
  <c r="P12" i="44"/>
  <c r="R29" i="44" s="1"/>
  <c r="H12" i="44"/>
  <c r="J18" i="44" s="1"/>
  <c r="D12" i="44"/>
  <c r="D5" i="44"/>
  <c r="D4" i="44"/>
  <c r="B39" i="43"/>
  <c r="B38" i="43"/>
  <c r="T34" i="43"/>
  <c r="Z34" i="43" s="1"/>
  <c r="P34" i="43"/>
  <c r="H34" i="43"/>
  <c r="N34" i="43" s="1"/>
  <c r="D34" i="43"/>
  <c r="T33" i="43"/>
  <c r="P33" i="43"/>
  <c r="H33" i="43"/>
  <c r="N33" i="43" s="1"/>
  <c r="D33" i="43"/>
  <c r="T29" i="43"/>
  <c r="P29" i="43"/>
  <c r="H29" i="43"/>
  <c r="N29" i="43" s="1"/>
  <c r="D29" i="43"/>
  <c r="T25" i="43"/>
  <c r="P25" i="43"/>
  <c r="H25" i="43"/>
  <c r="N25" i="43" s="1"/>
  <c r="D25" i="43"/>
  <c r="B25" i="43"/>
  <c r="T24" i="43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0" i="43" s="1"/>
  <c r="P12" i="43"/>
  <c r="H12" i="43"/>
  <c r="J29" i="43" s="1"/>
  <c r="D12" i="43"/>
  <c r="D5" i="43"/>
  <c r="D4" i="43"/>
  <c r="X125" i="42"/>
  <c r="Z125" i="42" s="1"/>
  <c r="N125" i="42"/>
  <c r="L125" i="42"/>
  <c r="Z121" i="42"/>
  <c r="X121" i="42"/>
  <c r="P121" i="42"/>
  <c r="N121" i="42"/>
  <c r="D121" i="42"/>
  <c r="L121" i="42" s="1"/>
  <c r="B121" i="42"/>
  <c r="P120" i="42"/>
  <c r="X120" i="42" s="1"/>
  <c r="Z120" i="42" s="1"/>
  <c r="N120" i="42"/>
  <c r="L120" i="42"/>
  <c r="D120" i="42"/>
  <c r="B120" i="42"/>
  <c r="X119" i="42"/>
  <c r="Z119" i="42" s="1"/>
  <c r="P119" i="42"/>
  <c r="J119" i="42"/>
  <c r="D119" i="42"/>
  <c r="L119" i="42" s="1"/>
  <c r="N119" i="42" s="1"/>
  <c r="B119" i="42"/>
  <c r="P118" i="42"/>
  <c r="L118" i="42"/>
  <c r="N118" i="42" s="1"/>
  <c r="J118" i="42"/>
  <c r="D118" i="42"/>
  <c r="B118" i="42"/>
  <c r="T117" i="42"/>
  <c r="H117" i="42"/>
  <c r="Z115" i="42"/>
  <c r="X115" i="42"/>
  <c r="L115" i="42"/>
  <c r="N115" i="42" s="1"/>
  <c r="B115" i="42"/>
  <c r="T114" i="42"/>
  <c r="P114" i="42"/>
  <c r="X114" i="42" s="1"/>
  <c r="Z114" i="42" s="1"/>
  <c r="L114" i="42"/>
  <c r="N114" i="42" s="1"/>
  <c r="H114" i="42"/>
  <c r="D114" i="42"/>
  <c r="B114" i="42"/>
  <c r="Z113" i="42"/>
  <c r="X113" i="42"/>
  <c r="N113" i="42"/>
  <c r="L113" i="42"/>
  <c r="B113" i="42"/>
  <c r="Z112" i="42"/>
  <c r="X112" i="42"/>
  <c r="N112" i="42"/>
  <c r="L112" i="42"/>
  <c r="J112" i="42"/>
  <c r="B112" i="42"/>
  <c r="Z111" i="42"/>
  <c r="X111" i="42"/>
  <c r="N111" i="42"/>
  <c r="L111" i="42"/>
  <c r="B111" i="42"/>
  <c r="Z110" i="42"/>
  <c r="T110" i="42"/>
  <c r="P110" i="42"/>
  <c r="X110" i="42" s="1"/>
  <c r="N110" i="42"/>
  <c r="L110" i="42"/>
  <c r="H110" i="42"/>
  <c r="D110" i="42"/>
  <c r="B110" i="42"/>
  <c r="Z109" i="42"/>
  <c r="X109" i="42"/>
  <c r="N109" i="42"/>
  <c r="L109" i="42"/>
  <c r="B109" i="42"/>
  <c r="Z108" i="42"/>
  <c r="X108" i="42"/>
  <c r="T108" i="42"/>
  <c r="P108" i="42"/>
  <c r="N108" i="42"/>
  <c r="H108" i="42"/>
  <c r="L108" i="42" s="1"/>
  <c r="D108" i="42"/>
  <c r="B108" i="42"/>
  <c r="X107" i="42"/>
  <c r="Z107" i="42" s="1"/>
  <c r="N107" i="42"/>
  <c r="L107" i="42"/>
  <c r="B107" i="42"/>
  <c r="Z106" i="42"/>
  <c r="X106" i="42"/>
  <c r="N106" i="42"/>
  <c r="L106" i="42"/>
  <c r="B106" i="42"/>
  <c r="V105" i="42"/>
  <c r="T105" i="42"/>
  <c r="P105" i="42"/>
  <c r="X105" i="42" s="1"/>
  <c r="L105" i="42"/>
  <c r="H105" i="42"/>
  <c r="N105" i="42" s="1"/>
  <c r="D105" i="42"/>
  <c r="B105" i="42"/>
  <c r="Z104" i="42"/>
  <c r="X104" i="42"/>
  <c r="V104" i="42"/>
  <c r="N104" i="42"/>
  <c r="L104" i="42"/>
  <c r="B104" i="42"/>
  <c r="X103" i="42"/>
  <c r="Z103" i="42" s="1"/>
  <c r="N103" i="42"/>
  <c r="L103" i="42"/>
  <c r="B103" i="42"/>
  <c r="Z102" i="42"/>
  <c r="X102" i="42"/>
  <c r="N102" i="42"/>
  <c r="L102" i="42"/>
  <c r="B102" i="42"/>
  <c r="Z101" i="42"/>
  <c r="X101" i="42"/>
  <c r="V101" i="42"/>
  <c r="N101" i="42"/>
  <c r="L101" i="42"/>
  <c r="B101" i="42"/>
  <c r="Z100" i="42"/>
  <c r="X100" i="42"/>
  <c r="N100" i="42"/>
  <c r="L100" i="42"/>
  <c r="J100" i="42"/>
  <c r="B100" i="42"/>
  <c r="Z99" i="42"/>
  <c r="X99" i="42"/>
  <c r="N99" i="42"/>
  <c r="L99" i="42"/>
  <c r="B99" i="42"/>
  <c r="Z98" i="42"/>
  <c r="X98" i="42"/>
  <c r="N98" i="42"/>
  <c r="L98" i="42"/>
  <c r="B98" i="42"/>
  <c r="X97" i="42"/>
  <c r="Z97" i="42" s="1"/>
  <c r="L97" i="42"/>
  <c r="N97" i="42" s="1"/>
  <c r="J97" i="42"/>
  <c r="B97" i="42"/>
  <c r="Z96" i="42"/>
  <c r="X96" i="42"/>
  <c r="V96" i="42"/>
  <c r="L96" i="42"/>
  <c r="N96" i="42" s="1"/>
  <c r="B96" i="42"/>
  <c r="Z95" i="42"/>
  <c r="X95" i="42"/>
  <c r="N95" i="42"/>
  <c r="L95" i="42"/>
  <c r="B95" i="42"/>
  <c r="Z94" i="42"/>
  <c r="X94" i="42"/>
  <c r="N94" i="42"/>
  <c r="L94" i="42"/>
  <c r="B94" i="42"/>
  <c r="T93" i="42"/>
  <c r="P93" i="42"/>
  <c r="X93" i="42" s="1"/>
  <c r="L93" i="42"/>
  <c r="H93" i="42"/>
  <c r="D93" i="42"/>
  <c r="B93" i="42"/>
  <c r="Z92" i="42"/>
  <c r="X92" i="42"/>
  <c r="V92" i="42"/>
  <c r="L92" i="42"/>
  <c r="N92" i="42" s="1"/>
  <c r="B92" i="42"/>
  <c r="X91" i="42"/>
  <c r="Z91" i="42" s="1"/>
  <c r="N91" i="42"/>
  <c r="L91" i="42"/>
  <c r="B91" i="42"/>
  <c r="T90" i="42"/>
  <c r="X90" i="42" s="1"/>
  <c r="P90" i="42"/>
  <c r="J90" i="42"/>
  <c r="H90" i="42"/>
  <c r="D90" i="42"/>
  <c r="L90" i="42" s="1"/>
  <c r="N90" i="42" s="1"/>
  <c r="B90" i="42"/>
  <c r="Z89" i="42"/>
  <c r="X89" i="42"/>
  <c r="N89" i="42"/>
  <c r="L89" i="42"/>
  <c r="J89" i="42"/>
  <c r="B89" i="42"/>
  <c r="Z88" i="42"/>
  <c r="X88" i="42"/>
  <c r="L88" i="42"/>
  <c r="N88" i="42" s="1"/>
  <c r="B88" i="42"/>
  <c r="X87" i="42"/>
  <c r="Z87" i="42" s="1"/>
  <c r="N87" i="42"/>
  <c r="L87" i="42"/>
  <c r="B87" i="42"/>
  <c r="Z86" i="42"/>
  <c r="X86" i="42"/>
  <c r="N86" i="42"/>
  <c r="L86" i="42"/>
  <c r="B86" i="42"/>
  <c r="X85" i="42"/>
  <c r="Z85" i="42" s="1"/>
  <c r="L85" i="42"/>
  <c r="N85" i="42" s="1"/>
  <c r="B85" i="42"/>
  <c r="X84" i="42"/>
  <c r="Z84" i="42" s="1"/>
  <c r="T84" i="42"/>
  <c r="P84" i="42"/>
  <c r="H84" i="42"/>
  <c r="L84" i="42" s="1"/>
  <c r="D84" i="42"/>
  <c r="B84" i="42"/>
  <c r="Z83" i="42"/>
  <c r="X83" i="42"/>
  <c r="N83" i="42"/>
  <c r="L83" i="42"/>
  <c r="B83" i="42"/>
  <c r="Z82" i="42"/>
  <c r="X82" i="42"/>
  <c r="N82" i="42"/>
  <c r="L82" i="42"/>
  <c r="B82" i="42"/>
  <c r="V81" i="42"/>
  <c r="T81" i="42"/>
  <c r="Z81" i="42" s="1"/>
  <c r="P81" i="42"/>
  <c r="X81" i="42" s="1"/>
  <c r="L81" i="42"/>
  <c r="H81" i="42"/>
  <c r="N81" i="42" s="1"/>
  <c r="D81" i="42"/>
  <c r="B81" i="42"/>
  <c r="Z80" i="42"/>
  <c r="X80" i="42"/>
  <c r="N80" i="42"/>
  <c r="L80" i="42"/>
  <c r="B80" i="42"/>
  <c r="X79" i="42"/>
  <c r="Z79" i="42" s="1"/>
  <c r="N79" i="42"/>
  <c r="L79" i="42"/>
  <c r="B79" i="42"/>
  <c r="Z78" i="42"/>
  <c r="X78" i="42"/>
  <c r="N78" i="42"/>
  <c r="L78" i="42"/>
  <c r="B78" i="42"/>
  <c r="Z77" i="42"/>
  <c r="X77" i="42"/>
  <c r="N77" i="42"/>
  <c r="L77" i="42"/>
  <c r="B77" i="42"/>
  <c r="X76" i="42"/>
  <c r="Z76" i="42" s="1"/>
  <c r="T76" i="42"/>
  <c r="P76" i="42"/>
  <c r="N76" i="42"/>
  <c r="H76" i="42"/>
  <c r="L76" i="42" s="1"/>
  <c r="D76" i="42"/>
  <c r="B76" i="42"/>
  <c r="X75" i="42"/>
  <c r="Z75" i="42" s="1"/>
  <c r="N75" i="42"/>
  <c r="L75" i="42"/>
  <c r="B75" i="42"/>
  <c r="Z74" i="42"/>
  <c r="T74" i="42"/>
  <c r="X74" i="42" s="1"/>
  <c r="P74" i="42"/>
  <c r="J74" i="42"/>
  <c r="H74" i="42"/>
  <c r="D74" i="42"/>
  <c r="L74" i="42" s="1"/>
  <c r="N74" i="42" s="1"/>
  <c r="B74" i="42"/>
  <c r="X73" i="42"/>
  <c r="Z73" i="42" s="1"/>
  <c r="L73" i="42"/>
  <c r="N73" i="42" s="1"/>
  <c r="J73" i="42"/>
  <c r="B73" i="42"/>
  <c r="V72" i="42"/>
  <c r="T72" i="42"/>
  <c r="P72" i="42"/>
  <c r="X72" i="42" s="1"/>
  <c r="Z72" i="42" s="1"/>
  <c r="H72" i="42"/>
  <c r="D72" i="42"/>
  <c r="L72" i="42" s="1"/>
  <c r="N72" i="42" s="1"/>
  <c r="B72" i="42"/>
  <c r="Z71" i="42"/>
  <c r="X71" i="42"/>
  <c r="L71" i="42"/>
  <c r="N71" i="42" s="1"/>
  <c r="B71" i="42"/>
  <c r="T70" i="42"/>
  <c r="P70" i="42"/>
  <c r="X70" i="42" s="1"/>
  <c r="Z70" i="42" s="1"/>
  <c r="L70" i="42"/>
  <c r="N70" i="42" s="1"/>
  <c r="H70" i="42"/>
  <c r="D70" i="42"/>
  <c r="B70" i="42"/>
  <c r="X69" i="42"/>
  <c r="Z69" i="42" s="1"/>
  <c r="L69" i="42"/>
  <c r="N69" i="42" s="1"/>
  <c r="B69" i="42"/>
  <c r="X68" i="42"/>
  <c r="Z68" i="42" s="1"/>
  <c r="T68" i="42"/>
  <c r="P68" i="42"/>
  <c r="N68" i="42"/>
  <c r="H68" i="42"/>
  <c r="L68" i="42" s="1"/>
  <c r="D68" i="42"/>
  <c r="B68" i="42"/>
  <c r="X67" i="42"/>
  <c r="Z67" i="42" s="1"/>
  <c r="N67" i="42"/>
  <c r="L67" i="42"/>
  <c r="B67" i="42"/>
  <c r="Z66" i="42"/>
  <c r="T66" i="42"/>
  <c r="X66" i="42" s="1"/>
  <c r="P66" i="42"/>
  <c r="N66" i="42"/>
  <c r="J66" i="42"/>
  <c r="H66" i="42"/>
  <c r="D66" i="42"/>
  <c r="L66" i="42" s="1"/>
  <c r="B66" i="42"/>
  <c r="Z65" i="42"/>
  <c r="X65" i="42"/>
  <c r="N65" i="42"/>
  <c r="L65" i="42"/>
  <c r="J65" i="42"/>
  <c r="B65" i="42"/>
  <c r="Z64" i="42"/>
  <c r="V64" i="42"/>
  <c r="T64" i="42"/>
  <c r="P64" i="42"/>
  <c r="X64" i="42" s="1"/>
  <c r="N64" i="42"/>
  <c r="J64" i="42"/>
  <c r="H64" i="42"/>
  <c r="D64" i="42"/>
  <c r="L64" i="42" s="1"/>
  <c r="B64" i="42"/>
  <c r="Z63" i="42"/>
  <c r="X63" i="42"/>
  <c r="L63" i="42"/>
  <c r="N63" i="42" s="1"/>
  <c r="B63" i="42"/>
  <c r="T62" i="42"/>
  <c r="P62" i="42"/>
  <c r="X62" i="42" s="1"/>
  <c r="Z62" i="42" s="1"/>
  <c r="L62" i="42"/>
  <c r="N62" i="42" s="1"/>
  <c r="H62" i="42"/>
  <c r="D62" i="42"/>
  <c r="B62" i="42"/>
  <c r="X61" i="42"/>
  <c r="Z61" i="42" s="1"/>
  <c r="V61" i="42"/>
  <c r="N61" i="42"/>
  <c r="L61" i="42"/>
  <c r="B61" i="42"/>
  <c r="X60" i="42"/>
  <c r="Z60" i="42" s="1"/>
  <c r="T60" i="42"/>
  <c r="P60" i="42"/>
  <c r="H60" i="42"/>
  <c r="D60" i="42"/>
  <c r="B60" i="42"/>
  <c r="X59" i="42"/>
  <c r="Z59" i="42" s="1"/>
  <c r="N59" i="42"/>
  <c r="L59" i="42"/>
  <c r="B59" i="42"/>
  <c r="Z58" i="42"/>
  <c r="X58" i="42"/>
  <c r="N58" i="42"/>
  <c r="L58" i="42"/>
  <c r="J58" i="42"/>
  <c r="B58" i="42"/>
  <c r="Z57" i="42"/>
  <c r="X57" i="42"/>
  <c r="V57" i="42"/>
  <c r="N57" i="42"/>
  <c r="L57" i="42"/>
  <c r="B57" i="42"/>
  <c r="X56" i="42"/>
  <c r="Z56" i="42" s="1"/>
  <c r="T56" i="42"/>
  <c r="P56" i="42"/>
  <c r="N56" i="42"/>
  <c r="H56" i="42"/>
  <c r="L56" i="42" s="1"/>
  <c r="D56" i="42"/>
  <c r="B56" i="42"/>
  <c r="X55" i="42"/>
  <c r="Z55" i="42" s="1"/>
  <c r="N55" i="42"/>
  <c r="L55" i="42"/>
  <c r="B55" i="42"/>
  <c r="Z54" i="42"/>
  <c r="T54" i="42"/>
  <c r="X54" i="42" s="1"/>
  <c r="P54" i="42"/>
  <c r="J54" i="42"/>
  <c r="H54" i="42"/>
  <c r="D54" i="42"/>
  <c r="L54" i="42" s="1"/>
  <c r="N54" i="42" s="1"/>
  <c r="B54" i="42"/>
  <c r="X53" i="42"/>
  <c r="Z53" i="42" s="1"/>
  <c r="N53" i="42"/>
  <c r="L53" i="42"/>
  <c r="J53" i="42"/>
  <c r="B53" i="42"/>
  <c r="T52" i="42"/>
  <c r="P52" i="42"/>
  <c r="X52" i="42" s="1"/>
  <c r="Z52" i="42" s="1"/>
  <c r="J52" i="42"/>
  <c r="H52" i="42"/>
  <c r="D52" i="42"/>
  <c r="L52" i="42" s="1"/>
  <c r="N52" i="42" s="1"/>
  <c r="B52" i="42"/>
  <c r="Z51" i="42"/>
  <c r="X51" i="42"/>
  <c r="L51" i="42"/>
  <c r="N51" i="42" s="1"/>
  <c r="B51" i="42"/>
  <c r="T50" i="42"/>
  <c r="P50" i="42"/>
  <c r="X50" i="42" s="1"/>
  <c r="Z50" i="42" s="1"/>
  <c r="L50" i="42"/>
  <c r="N50" i="42" s="1"/>
  <c r="H50" i="42"/>
  <c r="D50" i="42"/>
  <c r="B50" i="42"/>
  <c r="Z49" i="42"/>
  <c r="X49" i="42"/>
  <c r="V49" i="42"/>
  <c r="N49" i="42"/>
  <c r="L49" i="42"/>
  <c r="B49" i="42"/>
  <c r="Z48" i="42"/>
  <c r="X48" i="42"/>
  <c r="N48" i="42"/>
  <c r="L48" i="42"/>
  <c r="J48" i="42"/>
  <c r="B48" i="42"/>
  <c r="Z47" i="42"/>
  <c r="X47" i="42"/>
  <c r="N47" i="42"/>
  <c r="L47" i="42"/>
  <c r="B47" i="42"/>
  <c r="Z46" i="42"/>
  <c r="X46" i="42"/>
  <c r="N46" i="42"/>
  <c r="L46" i="42"/>
  <c r="B46" i="42"/>
  <c r="Z45" i="42"/>
  <c r="X45" i="42"/>
  <c r="N45" i="42"/>
  <c r="L45" i="42"/>
  <c r="J45" i="42"/>
  <c r="B45" i="42"/>
  <c r="Z44" i="42"/>
  <c r="X44" i="42"/>
  <c r="L44" i="42"/>
  <c r="N44" i="42" s="1"/>
  <c r="B44" i="42"/>
  <c r="X43" i="42"/>
  <c r="Z43" i="42" s="1"/>
  <c r="N43" i="42"/>
  <c r="L43" i="42"/>
  <c r="B43" i="42"/>
  <c r="Z42" i="42"/>
  <c r="X42" i="42"/>
  <c r="N42" i="42"/>
  <c r="L42" i="42"/>
  <c r="J42" i="42"/>
  <c r="B42" i="42"/>
  <c r="Z41" i="42"/>
  <c r="X41" i="42"/>
  <c r="L41" i="42"/>
  <c r="N41" i="42" s="1"/>
  <c r="B41" i="42"/>
  <c r="X40" i="42"/>
  <c r="Z40" i="42" s="1"/>
  <c r="N40" i="42"/>
  <c r="L40" i="42"/>
  <c r="J40" i="42"/>
  <c r="B40" i="42"/>
  <c r="Z39" i="42"/>
  <c r="T39" i="42"/>
  <c r="P39" i="42"/>
  <c r="X39" i="42" s="1"/>
  <c r="J39" i="42"/>
  <c r="H39" i="42"/>
  <c r="D39" i="42"/>
  <c r="L39" i="42" s="1"/>
  <c r="B39" i="42"/>
  <c r="Z38" i="42"/>
  <c r="X38" i="42"/>
  <c r="N38" i="42"/>
  <c r="L38" i="42"/>
  <c r="J38" i="42"/>
  <c r="B38" i="42"/>
  <c r="Z37" i="42"/>
  <c r="X37" i="42"/>
  <c r="V37" i="42"/>
  <c r="L37" i="42"/>
  <c r="N37" i="42" s="1"/>
  <c r="B37" i="42"/>
  <c r="X36" i="42"/>
  <c r="Z36" i="42" s="1"/>
  <c r="N36" i="42"/>
  <c r="L36" i="42"/>
  <c r="J36" i="42"/>
  <c r="B36" i="42"/>
  <c r="Z35" i="42"/>
  <c r="X35" i="42"/>
  <c r="N35" i="42"/>
  <c r="L35" i="42"/>
  <c r="B35" i="42"/>
  <c r="Z34" i="42"/>
  <c r="X34" i="42"/>
  <c r="N34" i="42"/>
  <c r="L34" i="42"/>
  <c r="B34" i="42"/>
  <c r="X33" i="42"/>
  <c r="Z33" i="42" s="1"/>
  <c r="N33" i="42"/>
  <c r="L33" i="42"/>
  <c r="J33" i="42"/>
  <c r="B33" i="42"/>
  <c r="Z32" i="42"/>
  <c r="X32" i="42"/>
  <c r="V32" i="42"/>
  <c r="L32" i="42"/>
  <c r="N32" i="42" s="1"/>
  <c r="B32" i="42"/>
  <c r="X31" i="42"/>
  <c r="Z31" i="42" s="1"/>
  <c r="N31" i="42"/>
  <c r="L31" i="42"/>
  <c r="B31" i="42"/>
  <c r="Z30" i="42"/>
  <c r="X30" i="42"/>
  <c r="N30" i="42"/>
  <c r="L30" i="42"/>
  <c r="J30" i="42"/>
  <c r="B30" i="42"/>
  <c r="V29" i="42"/>
  <c r="T29" i="42"/>
  <c r="Z29" i="42" s="1"/>
  <c r="P29" i="42"/>
  <c r="X29" i="42" s="1"/>
  <c r="L29" i="42"/>
  <c r="H29" i="42"/>
  <c r="D29" i="42"/>
  <c r="B29" i="42"/>
  <c r="T28" i="42"/>
  <c r="V28" i="42" s="1"/>
  <c r="P28" i="42"/>
  <c r="X28" i="42" s="1"/>
  <c r="Z28" i="42" s="1"/>
  <c r="H28" i="42"/>
  <c r="J28" i="42" s="1"/>
  <c r="D28" i="42"/>
  <c r="L28" i="42" s="1"/>
  <c r="N28" i="42" s="1"/>
  <c r="H26" i="42"/>
  <c r="Z24" i="42"/>
  <c r="X24" i="42"/>
  <c r="N24" i="42"/>
  <c r="L24" i="42"/>
  <c r="B24" i="42"/>
  <c r="Z23" i="42"/>
  <c r="X23" i="42"/>
  <c r="N23" i="42"/>
  <c r="L23" i="42"/>
  <c r="B23" i="42"/>
  <c r="Z22" i="42"/>
  <c r="X22" i="42"/>
  <c r="N22" i="42"/>
  <c r="L22" i="42"/>
  <c r="J22" i="42"/>
  <c r="B22" i="42"/>
  <c r="T21" i="42"/>
  <c r="P21" i="42"/>
  <c r="X21" i="42" s="1"/>
  <c r="L21" i="42"/>
  <c r="H21" i="42"/>
  <c r="N21" i="42" s="1"/>
  <c r="D21" i="42"/>
  <c r="Z19" i="42"/>
  <c r="X19" i="42"/>
  <c r="P19" i="42"/>
  <c r="N19" i="42"/>
  <c r="L19" i="42"/>
  <c r="D19" i="42"/>
  <c r="B19" i="42"/>
  <c r="Z18" i="42"/>
  <c r="P18" i="42"/>
  <c r="X18" i="42" s="1"/>
  <c r="N18" i="42"/>
  <c r="L18" i="42"/>
  <c r="D18" i="42"/>
  <c r="B18" i="42"/>
  <c r="Z17" i="42"/>
  <c r="X17" i="42"/>
  <c r="P17" i="42"/>
  <c r="N17" i="42"/>
  <c r="D17" i="42"/>
  <c r="L17" i="42" s="1"/>
  <c r="B17" i="42"/>
  <c r="Z16" i="42"/>
  <c r="X16" i="42"/>
  <c r="P16" i="42"/>
  <c r="N16" i="42"/>
  <c r="L16" i="42"/>
  <c r="D16" i="42"/>
  <c r="B16" i="42"/>
  <c r="Z15" i="42"/>
  <c r="P15" i="42"/>
  <c r="N15" i="42"/>
  <c r="D15" i="42"/>
  <c r="L15" i="42" s="1"/>
  <c r="B15" i="42"/>
  <c r="Z14" i="42"/>
  <c r="X14" i="42"/>
  <c r="P14" i="42"/>
  <c r="N14" i="42"/>
  <c r="L14" i="42"/>
  <c r="D14" i="42"/>
  <c r="B14" i="42"/>
  <c r="X13" i="42"/>
  <c r="Z13" i="42" s="1"/>
  <c r="P13" i="42"/>
  <c r="L13" i="42"/>
  <c r="N13" i="42" s="1"/>
  <c r="D13" i="42"/>
  <c r="B13" i="42"/>
  <c r="T12" i="42"/>
  <c r="H12" i="42"/>
  <c r="J114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33" i="41" s="1"/>
  <c r="P12" i="41"/>
  <c r="R36" i="41" s="1"/>
  <c r="H12" i="41"/>
  <c r="J20" i="41" s="1"/>
  <c r="D12" i="41"/>
  <c r="F20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D33" i="40"/>
  <c r="T29" i="40"/>
  <c r="Z29" i="40" s="1"/>
  <c r="P29" i="40"/>
  <c r="H29" i="40"/>
  <c r="D29" i="40"/>
  <c r="T25" i="40"/>
  <c r="Z25" i="40" s="1"/>
  <c r="P25" i="40"/>
  <c r="H25" i="40"/>
  <c r="D25" i="40"/>
  <c r="B25" i="40"/>
  <c r="T24" i="40"/>
  <c r="Z24" i="40" s="1"/>
  <c r="P24" i="40"/>
  <c r="H24" i="40"/>
  <c r="D24" i="40"/>
  <c r="T22" i="40"/>
  <c r="Z22" i="40" s="1"/>
  <c r="P22" i="40"/>
  <c r="H22" i="40"/>
  <c r="N22" i="40" s="1"/>
  <c r="D22" i="40"/>
  <c r="B22" i="40"/>
  <c r="T21" i="40"/>
  <c r="P21" i="40"/>
  <c r="H21" i="40"/>
  <c r="N21" i="40" s="1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P15" i="40"/>
  <c r="H15" i="40"/>
  <c r="N15" i="40" s="1"/>
  <c r="D15" i="40"/>
  <c r="T13" i="40"/>
  <c r="Z13" i="40" s="1"/>
  <c r="P13" i="40"/>
  <c r="H13" i="40"/>
  <c r="D13" i="40"/>
  <c r="B13" i="40"/>
  <c r="T12" i="40"/>
  <c r="V18" i="40" s="1"/>
  <c r="P12" i="40"/>
  <c r="R16" i="40" s="1"/>
  <c r="H12" i="40"/>
  <c r="J20" i="40" s="1"/>
  <c r="D12" i="40"/>
  <c r="D5" i="40"/>
  <c r="D4" i="40"/>
  <c r="Z132" i="39"/>
  <c r="X132" i="39"/>
  <c r="L132" i="39"/>
  <c r="N132" i="39" s="1"/>
  <c r="Z128" i="39"/>
  <c r="P128" i="39"/>
  <c r="X128" i="39" s="1"/>
  <c r="N128" i="39"/>
  <c r="L128" i="39"/>
  <c r="D128" i="39"/>
  <c r="B128" i="39"/>
  <c r="X127" i="39"/>
  <c r="Z127" i="39" s="1"/>
  <c r="P127" i="39"/>
  <c r="P124" i="39" s="1"/>
  <c r="L127" i="39"/>
  <c r="N127" i="39" s="1"/>
  <c r="D127" i="39"/>
  <c r="B127" i="39"/>
  <c r="X126" i="39"/>
  <c r="Z126" i="39" s="1"/>
  <c r="P126" i="39"/>
  <c r="D126" i="39"/>
  <c r="L126" i="39" s="1"/>
  <c r="N126" i="39" s="1"/>
  <c r="B126" i="39"/>
  <c r="P125" i="39"/>
  <c r="X125" i="39" s="1"/>
  <c r="Z125" i="39" s="1"/>
  <c r="L125" i="39"/>
  <c r="N125" i="39" s="1"/>
  <c r="D125" i="39"/>
  <c r="B125" i="39"/>
  <c r="T124" i="39"/>
  <c r="H124" i="39"/>
  <c r="D124" i="39"/>
  <c r="L124" i="39" s="1"/>
  <c r="X122" i="39"/>
  <c r="Z122" i="39" s="1"/>
  <c r="N122" i="39"/>
  <c r="L122" i="39"/>
  <c r="B122" i="39"/>
  <c r="T121" i="39"/>
  <c r="P121" i="39"/>
  <c r="H121" i="39"/>
  <c r="D121" i="39"/>
  <c r="L121" i="39" s="1"/>
  <c r="N121" i="39" s="1"/>
  <c r="B121" i="39"/>
  <c r="Z120" i="39"/>
  <c r="X120" i="39"/>
  <c r="N120" i="39"/>
  <c r="L120" i="39"/>
  <c r="J120" i="39"/>
  <c r="B120" i="39"/>
  <c r="Z119" i="39"/>
  <c r="X119" i="39"/>
  <c r="N119" i="39"/>
  <c r="L119" i="39"/>
  <c r="B119" i="39"/>
  <c r="X118" i="39"/>
  <c r="Z118" i="39" s="1"/>
  <c r="N118" i="39"/>
  <c r="L118" i="39"/>
  <c r="B118" i="39"/>
  <c r="T117" i="39"/>
  <c r="P117" i="39"/>
  <c r="N117" i="39"/>
  <c r="H117" i="39"/>
  <c r="D117" i="39"/>
  <c r="L117" i="39" s="1"/>
  <c r="B117" i="39"/>
  <c r="Z116" i="39"/>
  <c r="X116" i="39"/>
  <c r="N116" i="39"/>
  <c r="L116" i="39"/>
  <c r="J116" i="39"/>
  <c r="B116" i="39"/>
  <c r="Z115" i="39"/>
  <c r="T115" i="39"/>
  <c r="P115" i="39"/>
  <c r="X115" i="39" s="1"/>
  <c r="N115" i="39"/>
  <c r="L115" i="39"/>
  <c r="H115" i="39"/>
  <c r="D115" i="39"/>
  <c r="B115" i="39"/>
  <c r="X114" i="39"/>
  <c r="Z114" i="39" s="1"/>
  <c r="L114" i="39"/>
  <c r="N114" i="39" s="1"/>
  <c r="B114" i="39"/>
  <c r="Z113" i="39"/>
  <c r="X113" i="39"/>
  <c r="N113" i="39"/>
  <c r="L113" i="39"/>
  <c r="J113" i="39"/>
  <c r="B113" i="39"/>
  <c r="T112" i="39"/>
  <c r="Z112" i="39" s="1"/>
  <c r="P112" i="39"/>
  <c r="X112" i="39" s="1"/>
  <c r="L112" i="39"/>
  <c r="N112" i="39" s="1"/>
  <c r="H112" i="39"/>
  <c r="D112" i="39"/>
  <c r="B112" i="39"/>
  <c r="X111" i="39"/>
  <c r="Z111" i="39" s="1"/>
  <c r="N111" i="39"/>
  <c r="L111" i="39"/>
  <c r="B111" i="39"/>
  <c r="X110" i="39"/>
  <c r="Z110" i="39" s="1"/>
  <c r="L110" i="39"/>
  <c r="N110" i="39" s="1"/>
  <c r="B110" i="39"/>
  <c r="Z109" i="39"/>
  <c r="X109" i="39"/>
  <c r="N109" i="39"/>
  <c r="L109" i="39"/>
  <c r="B109" i="39"/>
  <c r="Z108" i="39"/>
  <c r="X108" i="39"/>
  <c r="N108" i="39"/>
  <c r="L108" i="39"/>
  <c r="B108" i="39"/>
  <c r="Z107" i="39"/>
  <c r="X107" i="39"/>
  <c r="N107" i="39"/>
  <c r="L107" i="39"/>
  <c r="B107" i="39"/>
  <c r="X106" i="39"/>
  <c r="Z106" i="39" s="1"/>
  <c r="N106" i="39"/>
  <c r="L106" i="39"/>
  <c r="B106" i="39"/>
  <c r="Z105" i="39"/>
  <c r="X105" i="39"/>
  <c r="N105" i="39"/>
  <c r="L105" i="39"/>
  <c r="B105" i="39"/>
  <c r="X104" i="39"/>
  <c r="Z104" i="39" s="1"/>
  <c r="N104" i="39"/>
  <c r="L104" i="39"/>
  <c r="J104" i="39"/>
  <c r="B104" i="39"/>
  <c r="Z103" i="39"/>
  <c r="X103" i="39"/>
  <c r="L103" i="39"/>
  <c r="N103" i="39" s="1"/>
  <c r="J103" i="39"/>
  <c r="B103" i="39"/>
  <c r="X102" i="39"/>
  <c r="Z102" i="39" s="1"/>
  <c r="L102" i="39"/>
  <c r="N102" i="39" s="1"/>
  <c r="B102" i="39"/>
  <c r="Z101" i="39"/>
  <c r="X101" i="39"/>
  <c r="N101" i="39"/>
  <c r="L101" i="39"/>
  <c r="J101" i="39"/>
  <c r="B101" i="39"/>
  <c r="T100" i="39"/>
  <c r="P100" i="39"/>
  <c r="X100" i="39" s="1"/>
  <c r="H100" i="39"/>
  <c r="D100" i="39"/>
  <c r="L100" i="39" s="1"/>
  <c r="N100" i="39" s="1"/>
  <c r="B100" i="39"/>
  <c r="Z99" i="39"/>
  <c r="X99" i="39"/>
  <c r="L99" i="39"/>
  <c r="N99" i="39" s="1"/>
  <c r="J99" i="39"/>
  <c r="B99" i="39"/>
  <c r="X98" i="39"/>
  <c r="Z98" i="39" s="1"/>
  <c r="N98" i="39"/>
  <c r="L98" i="39"/>
  <c r="B98" i="39"/>
  <c r="T97" i="39"/>
  <c r="P97" i="39"/>
  <c r="X97" i="39" s="1"/>
  <c r="N97" i="39"/>
  <c r="H97" i="39"/>
  <c r="D97" i="39"/>
  <c r="L97" i="39" s="1"/>
  <c r="B97" i="39"/>
  <c r="X96" i="39"/>
  <c r="Z96" i="39" s="1"/>
  <c r="N96" i="39"/>
  <c r="L96" i="39"/>
  <c r="J96" i="39"/>
  <c r="B96" i="39"/>
  <c r="Z95" i="39"/>
  <c r="X95" i="39"/>
  <c r="L95" i="39"/>
  <c r="N95" i="39" s="1"/>
  <c r="J95" i="39"/>
  <c r="B95" i="39"/>
  <c r="X94" i="39"/>
  <c r="Z94" i="39" s="1"/>
  <c r="N94" i="39"/>
  <c r="L94" i="39"/>
  <c r="B94" i="39"/>
  <c r="Z93" i="39"/>
  <c r="X93" i="39"/>
  <c r="N93" i="39"/>
  <c r="L93" i="39"/>
  <c r="J93" i="39"/>
  <c r="B93" i="39"/>
  <c r="Z92" i="39"/>
  <c r="X92" i="39"/>
  <c r="L92" i="39"/>
  <c r="N92" i="39" s="1"/>
  <c r="B92" i="39"/>
  <c r="X91" i="39"/>
  <c r="T91" i="39"/>
  <c r="Z91" i="39" s="1"/>
  <c r="P91" i="39"/>
  <c r="H91" i="39"/>
  <c r="D91" i="39"/>
  <c r="L91" i="39" s="1"/>
  <c r="B91" i="39"/>
  <c r="X90" i="39"/>
  <c r="Z90" i="39" s="1"/>
  <c r="N90" i="39"/>
  <c r="L90" i="39"/>
  <c r="B90" i="39"/>
  <c r="Z89" i="39"/>
  <c r="X89" i="39"/>
  <c r="N89" i="39"/>
  <c r="L89" i="39"/>
  <c r="J89" i="39"/>
  <c r="B89" i="39"/>
  <c r="T88" i="39"/>
  <c r="P88" i="39"/>
  <c r="N88" i="39"/>
  <c r="H88" i="39"/>
  <c r="D88" i="39"/>
  <c r="L88" i="39" s="1"/>
  <c r="B88" i="39"/>
  <c r="Z87" i="39"/>
  <c r="X87" i="39"/>
  <c r="L87" i="39"/>
  <c r="N87" i="39" s="1"/>
  <c r="J87" i="39"/>
  <c r="B87" i="39"/>
  <c r="X86" i="39"/>
  <c r="Z86" i="39" s="1"/>
  <c r="N86" i="39"/>
  <c r="L86" i="39"/>
  <c r="B86" i="39"/>
  <c r="Z85" i="39"/>
  <c r="X85" i="39"/>
  <c r="N85" i="39"/>
  <c r="L85" i="39"/>
  <c r="J85" i="39"/>
  <c r="B85" i="39"/>
  <c r="Z84" i="39"/>
  <c r="X84" i="39"/>
  <c r="N84" i="39"/>
  <c r="L84" i="39"/>
  <c r="B84" i="39"/>
  <c r="X83" i="39"/>
  <c r="T83" i="39"/>
  <c r="Z83" i="39" s="1"/>
  <c r="P83" i="39"/>
  <c r="H83" i="39"/>
  <c r="D83" i="39"/>
  <c r="B83" i="39"/>
  <c r="X82" i="39"/>
  <c r="Z82" i="39" s="1"/>
  <c r="N82" i="39"/>
  <c r="L82" i="39"/>
  <c r="B82" i="39"/>
  <c r="T81" i="39"/>
  <c r="P81" i="39"/>
  <c r="N81" i="39"/>
  <c r="H81" i="39"/>
  <c r="D81" i="39"/>
  <c r="L81" i="39" s="1"/>
  <c r="B81" i="39"/>
  <c r="X80" i="39"/>
  <c r="Z80" i="39" s="1"/>
  <c r="N80" i="39"/>
  <c r="L80" i="39"/>
  <c r="J80" i="39"/>
  <c r="B80" i="39"/>
  <c r="T79" i="39"/>
  <c r="P79" i="39"/>
  <c r="X79" i="39" s="1"/>
  <c r="Z79" i="39" s="1"/>
  <c r="N79" i="39"/>
  <c r="L79" i="39"/>
  <c r="J79" i="39"/>
  <c r="H79" i="39"/>
  <c r="D79" i="39"/>
  <c r="B79" i="39"/>
  <c r="X78" i="39"/>
  <c r="Z78" i="39" s="1"/>
  <c r="L78" i="39"/>
  <c r="N78" i="39" s="1"/>
  <c r="B78" i="39"/>
  <c r="Z77" i="39"/>
  <c r="X77" i="39"/>
  <c r="T77" i="39"/>
  <c r="P77" i="39"/>
  <c r="L77" i="39"/>
  <c r="J77" i="39"/>
  <c r="H77" i="39"/>
  <c r="D77" i="39"/>
  <c r="B77" i="39"/>
  <c r="Z76" i="39"/>
  <c r="X76" i="39"/>
  <c r="L76" i="39"/>
  <c r="N76" i="39" s="1"/>
  <c r="B76" i="39"/>
  <c r="X75" i="39"/>
  <c r="T75" i="39"/>
  <c r="P75" i="39"/>
  <c r="H75" i="39"/>
  <c r="D75" i="39"/>
  <c r="L75" i="39" s="1"/>
  <c r="B75" i="39"/>
  <c r="X74" i="39"/>
  <c r="Z74" i="39" s="1"/>
  <c r="N74" i="39"/>
  <c r="L74" i="39"/>
  <c r="J74" i="39"/>
  <c r="B74" i="39"/>
  <c r="T73" i="39"/>
  <c r="P73" i="39"/>
  <c r="N73" i="39"/>
  <c r="H73" i="39"/>
  <c r="D73" i="39"/>
  <c r="L73" i="39" s="1"/>
  <c r="B73" i="39"/>
  <c r="Z72" i="39"/>
  <c r="X72" i="39"/>
  <c r="N72" i="39"/>
  <c r="L72" i="39"/>
  <c r="J72" i="39"/>
  <c r="B72" i="39"/>
  <c r="Z71" i="39"/>
  <c r="X71" i="39"/>
  <c r="N71" i="39"/>
  <c r="L71" i="39"/>
  <c r="J71" i="39"/>
  <c r="B71" i="39"/>
  <c r="Z70" i="39"/>
  <c r="T70" i="39"/>
  <c r="P70" i="39"/>
  <c r="X70" i="39" s="1"/>
  <c r="N70" i="39"/>
  <c r="L70" i="39"/>
  <c r="H70" i="39"/>
  <c r="D70" i="39"/>
  <c r="B70" i="39"/>
  <c r="Z69" i="39"/>
  <c r="X69" i="39"/>
  <c r="N69" i="39"/>
  <c r="L69" i="39"/>
  <c r="B69" i="39"/>
  <c r="X68" i="39"/>
  <c r="Z68" i="39" s="1"/>
  <c r="T68" i="39"/>
  <c r="P68" i="39"/>
  <c r="L68" i="39"/>
  <c r="H68" i="39"/>
  <c r="J68" i="39" s="1"/>
  <c r="D68" i="39"/>
  <c r="B68" i="39"/>
  <c r="X67" i="39"/>
  <c r="Z67" i="39" s="1"/>
  <c r="N67" i="39"/>
  <c r="L67" i="39"/>
  <c r="B67" i="39"/>
  <c r="Z66" i="39"/>
  <c r="X66" i="39"/>
  <c r="T66" i="39"/>
  <c r="P66" i="39"/>
  <c r="J66" i="39"/>
  <c r="H66" i="39"/>
  <c r="N66" i="39" s="1"/>
  <c r="D66" i="39"/>
  <c r="B66" i="39"/>
  <c r="Z65" i="39"/>
  <c r="X65" i="39"/>
  <c r="N65" i="39"/>
  <c r="L65" i="39"/>
  <c r="J65" i="39"/>
  <c r="B65" i="39"/>
  <c r="Z64" i="39"/>
  <c r="X64" i="39"/>
  <c r="L64" i="39"/>
  <c r="N64" i="39" s="1"/>
  <c r="B64" i="39"/>
  <c r="Z63" i="39"/>
  <c r="X63" i="39"/>
  <c r="V63" i="39"/>
  <c r="N63" i="39"/>
  <c r="L63" i="39"/>
  <c r="J63" i="39"/>
  <c r="B63" i="39"/>
  <c r="Z62" i="39"/>
  <c r="X62" i="39"/>
  <c r="T62" i="39"/>
  <c r="P62" i="39"/>
  <c r="J62" i="39"/>
  <c r="H62" i="39"/>
  <c r="D62" i="39"/>
  <c r="B62" i="39"/>
  <c r="Z61" i="39"/>
  <c r="X61" i="39"/>
  <c r="N61" i="39"/>
  <c r="L61" i="39"/>
  <c r="J61" i="39"/>
  <c r="B61" i="39"/>
  <c r="V60" i="39"/>
  <c r="T60" i="39"/>
  <c r="P60" i="39"/>
  <c r="H60" i="39"/>
  <c r="D60" i="39"/>
  <c r="L60" i="39" s="1"/>
  <c r="N60" i="39" s="1"/>
  <c r="B60" i="39"/>
  <c r="Z59" i="39"/>
  <c r="X59" i="39"/>
  <c r="L59" i="39"/>
  <c r="N59" i="39" s="1"/>
  <c r="J59" i="39"/>
  <c r="B59" i="39"/>
  <c r="T58" i="39"/>
  <c r="P58" i="39"/>
  <c r="X58" i="39" s="1"/>
  <c r="Z58" i="39" s="1"/>
  <c r="L58" i="39"/>
  <c r="N58" i="39" s="1"/>
  <c r="H58" i="39"/>
  <c r="D58" i="39"/>
  <c r="B58" i="39"/>
  <c r="Z57" i="39"/>
  <c r="X57" i="39"/>
  <c r="N57" i="39"/>
  <c r="L57" i="39"/>
  <c r="B57" i="39"/>
  <c r="X56" i="39"/>
  <c r="Z56" i="39" s="1"/>
  <c r="T56" i="39"/>
  <c r="P56" i="39"/>
  <c r="N56" i="39"/>
  <c r="L56" i="39"/>
  <c r="H56" i="39"/>
  <c r="J56" i="39" s="1"/>
  <c r="D56" i="39"/>
  <c r="B56" i="39"/>
  <c r="Z55" i="39"/>
  <c r="X55" i="39"/>
  <c r="V55" i="39"/>
  <c r="N55" i="39"/>
  <c r="L55" i="39"/>
  <c r="J55" i="39"/>
  <c r="B55" i="39"/>
  <c r="Z54" i="39"/>
  <c r="X54" i="39"/>
  <c r="N54" i="39"/>
  <c r="L54" i="39"/>
  <c r="B54" i="39"/>
  <c r="Z53" i="39"/>
  <c r="X53" i="39"/>
  <c r="N53" i="39"/>
  <c r="L53" i="39"/>
  <c r="B53" i="39"/>
  <c r="X52" i="39"/>
  <c r="Z52" i="39" s="1"/>
  <c r="N52" i="39"/>
  <c r="L52" i="39"/>
  <c r="J52" i="39"/>
  <c r="B52" i="39"/>
  <c r="Z51" i="39"/>
  <c r="X51" i="39"/>
  <c r="N51" i="39"/>
  <c r="L51" i="39"/>
  <c r="J51" i="39"/>
  <c r="B51" i="39"/>
  <c r="X50" i="39"/>
  <c r="Z50" i="39" s="1"/>
  <c r="L50" i="39"/>
  <c r="N50" i="39" s="1"/>
  <c r="J50" i="39"/>
  <c r="B50" i="39"/>
  <c r="Z49" i="39"/>
  <c r="X49" i="39"/>
  <c r="N49" i="39"/>
  <c r="L49" i="39"/>
  <c r="J49" i="39"/>
  <c r="B49" i="39"/>
  <c r="Z48" i="39"/>
  <c r="X48" i="39"/>
  <c r="N48" i="39"/>
  <c r="L48" i="39"/>
  <c r="B48" i="39"/>
  <c r="X47" i="39"/>
  <c r="Z47" i="39" s="1"/>
  <c r="N47" i="39"/>
  <c r="L47" i="39"/>
  <c r="J47" i="39"/>
  <c r="B47" i="39"/>
  <c r="Z46" i="39"/>
  <c r="X46" i="39"/>
  <c r="L46" i="39"/>
  <c r="N46" i="39" s="1"/>
  <c r="B46" i="39"/>
  <c r="Z45" i="39"/>
  <c r="X45" i="39"/>
  <c r="T45" i="39"/>
  <c r="P45" i="39"/>
  <c r="L45" i="39"/>
  <c r="J45" i="39"/>
  <c r="H45" i="39"/>
  <c r="N45" i="39" s="1"/>
  <c r="D45" i="39"/>
  <c r="B45" i="39"/>
  <c r="Z44" i="39"/>
  <c r="X44" i="39"/>
  <c r="L44" i="39"/>
  <c r="N44" i="39" s="1"/>
  <c r="B44" i="39"/>
  <c r="X43" i="39"/>
  <c r="Z43" i="39" s="1"/>
  <c r="N43" i="39"/>
  <c r="L43" i="39"/>
  <c r="J43" i="39"/>
  <c r="B43" i="39"/>
  <c r="Z42" i="39"/>
  <c r="X42" i="39"/>
  <c r="L42" i="39"/>
  <c r="N42" i="39" s="1"/>
  <c r="B42" i="39"/>
  <c r="Z41" i="39"/>
  <c r="X41" i="39"/>
  <c r="N41" i="39"/>
  <c r="L41" i="39"/>
  <c r="B41" i="39"/>
  <c r="X40" i="39"/>
  <c r="Z40" i="39" s="1"/>
  <c r="N40" i="39"/>
  <c r="L40" i="39"/>
  <c r="J40" i="39"/>
  <c r="B40" i="39"/>
  <c r="Z39" i="39"/>
  <c r="X39" i="39"/>
  <c r="L39" i="39"/>
  <c r="N39" i="39" s="1"/>
  <c r="J39" i="39"/>
  <c r="B39" i="39"/>
  <c r="X38" i="39"/>
  <c r="Z38" i="39" s="1"/>
  <c r="N38" i="39"/>
  <c r="L38" i="39"/>
  <c r="J38" i="39"/>
  <c r="B38" i="39"/>
  <c r="Z37" i="39"/>
  <c r="X37" i="39"/>
  <c r="N37" i="39"/>
  <c r="L37" i="39"/>
  <c r="J37" i="39"/>
  <c r="B37" i="39"/>
  <c r="Z36" i="39"/>
  <c r="X36" i="39"/>
  <c r="L36" i="39"/>
  <c r="N36" i="39" s="1"/>
  <c r="B36" i="39"/>
  <c r="X35" i="39"/>
  <c r="T35" i="39"/>
  <c r="Z35" i="39" s="1"/>
  <c r="P35" i="39"/>
  <c r="H35" i="39"/>
  <c r="D35" i="39"/>
  <c r="L35" i="39" s="1"/>
  <c r="B35" i="39"/>
  <c r="T34" i="39"/>
  <c r="P34" i="39"/>
  <c r="H34" i="39"/>
  <c r="D34" i="39"/>
  <c r="L34" i="39" s="1"/>
  <c r="Z30" i="39"/>
  <c r="X30" i="39"/>
  <c r="N30" i="39"/>
  <c r="L30" i="39"/>
  <c r="J30" i="39"/>
  <c r="B30" i="39"/>
  <c r="Z29" i="39"/>
  <c r="X29" i="39"/>
  <c r="N29" i="39"/>
  <c r="L29" i="39"/>
  <c r="J29" i="39"/>
  <c r="B29" i="39"/>
  <c r="Z28" i="39"/>
  <c r="X28" i="39"/>
  <c r="L28" i="39"/>
  <c r="N28" i="39" s="1"/>
  <c r="B28" i="39"/>
  <c r="X27" i="39"/>
  <c r="V27" i="39"/>
  <c r="T27" i="39"/>
  <c r="Z27" i="39" s="1"/>
  <c r="P27" i="39"/>
  <c r="H27" i="39"/>
  <c r="H32" i="39" s="1"/>
  <c r="D27" i="39"/>
  <c r="Z25" i="39"/>
  <c r="P25" i="39"/>
  <c r="X25" i="39" s="1"/>
  <c r="N25" i="39"/>
  <c r="D25" i="39"/>
  <c r="L25" i="39" s="1"/>
  <c r="B25" i="39"/>
  <c r="Z24" i="39"/>
  <c r="X24" i="39"/>
  <c r="P24" i="39"/>
  <c r="N24" i="39"/>
  <c r="L24" i="39"/>
  <c r="D24" i="39"/>
  <c r="B24" i="39"/>
  <c r="Z23" i="39"/>
  <c r="P23" i="39"/>
  <c r="X23" i="39" s="1"/>
  <c r="N23" i="39"/>
  <c r="L23" i="39"/>
  <c r="D23" i="39"/>
  <c r="B23" i="39"/>
  <c r="Z22" i="39"/>
  <c r="X22" i="39"/>
  <c r="P22" i="39"/>
  <c r="N22" i="39"/>
  <c r="D22" i="39"/>
  <c r="L22" i="39" s="1"/>
  <c r="B22" i="39"/>
  <c r="Z21" i="39"/>
  <c r="X21" i="39"/>
  <c r="P21" i="39"/>
  <c r="N21" i="39"/>
  <c r="L21" i="39"/>
  <c r="D21" i="39"/>
  <c r="B21" i="39"/>
  <c r="Z20" i="39"/>
  <c r="P20" i="39"/>
  <c r="X20" i="39" s="1"/>
  <c r="N20" i="39"/>
  <c r="D20" i="39"/>
  <c r="L20" i="39" s="1"/>
  <c r="B20" i="39"/>
  <c r="Z19" i="39"/>
  <c r="X19" i="39"/>
  <c r="P19" i="39"/>
  <c r="N19" i="39"/>
  <c r="L19" i="39"/>
  <c r="D19" i="39"/>
  <c r="B19" i="39"/>
  <c r="Z18" i="39"/>
  <c r="X18" i="39"/>
  <c r="P18" i="39"/>
  <c r="N18" i="39"/>
  <c r="L18" i="39"/>
  <c r="D18" i="39"/>
  <c r="B18" i="39"/>
  <c r="Z17" i="39"/>
  <c r="P17" i="39"/>
  <c r="X17" i="39" s="1"/>
  <c r="N17" i="39"/>
  <c r="D17" i="39"/>
  <c r="B17" i="39"/>
  <c r="Z16" i="39"/>
  <c r="X16" i="39"/>
  <c r="P16" i="39"/>
  <c r="N16" i="39"/>
  <c r="L16" i="39"/>
  <c r="D16" i="39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D14" i="39"/>
  <c r="L14" i="39" s="1"/>
  <c r="B14" i="39"/>
  <c r="X13" i="39"/>
  <c r="Z13" i="39" s="1"/>
  <c r="P13" i="39"/>
  <c r="P12" i="39" s="1"/>
  <c r="L13" i="39"/>
  <c r="N13" i="39" s="1"/>
  <c r="D13" i="39"/>
  <c r="B13" i="39"/>
  <c r="T12" i="39"/>
  <c r="V109" i="39" s="1"/>
  <c r="H12" i="39"/>
  <c r="J118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D13" i="38"/>
  <c r="B13" i="38"/>
  <c r="T12" i="38"/>
  <c r="V36" i="38" s="1"/>
  <c r="P12" i="38"/>
  <c r="R20" i="38" s="1"/>
  <c r="H12" i="38"/>
  <c r="J20" i="38" s="1"/>
  <c r="D12" i="38"/>
  <c r="F22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31" i="37" s="1"/>
  <c r="P12" i="37"/>
  <c r="H12" i="37"/>
  <c r="J20" i="37" s="1"/>
  <c r="D12" i="37"/>
  <c r="F36" i="37" s="1"/>
  <c r="D5" i="37"/>
  <c r="D4" i="37"/>
  <c r="Z130" i="36"/>
  <c r="X130" i="36"/>
  <c r="V130" i="36"/>
  <c r="N130" i="36"/>
  <c r="L130" i="36"/>
  <c r="Z126" i="36"/>
  <c r="P126" i="36"/>
  <c r="X126" i="36" s="1"/>
  <c r="N126" i="36"/>
  <c r="L126" i="36"/>
  <c r="D126" i="36"/>
  <c r="B126" i="36"/>
  <c r="Z125" i="36"/>
  <c r="X125" i="36"/>
  <c r="P125" i="36"/>
  <c r="D125" i="36"/>
  <c r="B125" i="36"/>
  <c r="Z124" i="36"/>
  <c r="P124" i="36"/>
  <c r="X124" i="36" s="1"/>
  <c r="N124" i="36"/>
  <c r="L124" i="36"/>
  <c r="D124" i="36"/>
  <c r="B124" i="36"/>
  <c r="V123" i="36"/>
  <c r="P123" i="36"/>
  <c r="N123" i="36"/>
  <c r="D123" i="36"/>
  <c r="L123" i="36" s="1"/>
  <c r="B123" i="36"/>
  <c r="V122" i="36"/>
  <c r="T122" i="36"/>
  <c r="J122" i="36"/>
  <c r="H122" i="36"/>
  <c r="Z120" i="36"/>
  <c r="X120" i="36"/>
  <c r="N120" i="36"/>
  <c r="L120" i="36"/>
  <c r="J120" i="36"/>
  <c r="B120" i="36"/>
  <c r="T119" i="36"/>
  <c r="P119" i="36"/>
  <c r="H119" i="36"/>
  <c r="D119" i="36"/>
  <c r="L119" i="36" s="1"/>
  <c r="B119" i="36"/>
  <c r="Z118" i="36"/>
  <c r="X118" i="36"/>
  <c r="N118" i="36"/>
  <c r="L118" i="36"/>
  <c r="J118" i="36"/>
  <c r="B118" i="36"/>
  <c r="Z117" i="36"/>
  <c r="X117" i="36"/>
  <c r="N117" i="36"/>
  <c r="L117" i="36"/>
  <c r="B117" i="36"/>
  <c r="Z116" i="36"/>
  <c r="X116" i="36"/>
  <c r="N116" i="36"/>
  <c r="L116" i="36"/>
  <c r="B116" i="36"/>
  <c r="V115" i="36"/>
  <c r="T115" i="36"/>
  <c r="P115" i="36"/>
  <c r="H115" i="36"/>
  <c r="D115" i="36"/>
  <c r="L115" i="36" s="1"/>
  <c r="N115" i="36" s="1"/>
  <c r="B115" i="36"/>
  <c r="Z114" i="36"/>
  <c r="X114" i="36"/>
  <c r="L114" i="36"/>
  <c r="N114" i="36" s="1"/>
  <c r="B114" i="36"/>
  <c r="T113" i="36"/>
  <c r="P113" i="36"/>
  <c r="X113" i="36" s="1"/>
  <c r="Z113" i="36" s="1"/>
  <c r="L113" i="36"/>
  <c r="H113" i="36"/>
  <c r="D113" i="36"/>
  <c r="B113" i="36"/>
  <c r="Z112" i="36"/>
  <c r="X112" i="36"/>
  <c r="V112" i="36"/>
  <c r="N112" i="36"/>
  <c r="L112" i="36"/>
  <c r="B112" i="36"/>
  <c r="X111" i="36"/>
  <c r="Z111" i="36" s="1"/>
  <c r="N111" i="36"/>
  <c r="L111" i="36"/>
  <c r="J111" i="36"/>
  <c r="B111" i="36"/>
  <c r="Z110" i="36"/>
  <c r="T110" i="36"/>
  <c r="P110" i="36"/>
  <c r="X110" i="36" s="1"/>
  <c r="N110" i="36"/>
  <c r="L110" i="36"/>
  <c r="J110" i="36"/>
  <c r="H110" i="36"/>
  <c r="D110" i="36"/>
  <c r="B110" i="36"/>
  <c r="Z109" i="36"/>
  <c r="X109" i="36"/>
  <c r="N109" i="36"/>
  <c r="L109" i="36"/>
  <c r="B109" i="36"/>
  <c r="Z108" i="36"/>
  <c r="X108" i="36"/>
  <c r="V108" i="36"/>
  <c r="N108" i="36"/>
  <c r="L108" i="36"/>
  <c r="B108" i="36"/>
  <c r="Z107" i="36"/>
  <c r="X107" i="36"/>
  <c r="N107" i="36"/>
  <c r="L107" i="36"/>
  <c r="B107" i="36"/>
  <c r="Z106" i="36"/>
  <c r="X106" i="36"/>
  <c r="L106" i="36"/>
  <c r="N106" i="36" s="1"/>
  <c r="J106" i="36"/>
  <c r="B106" i="36"/>
  <c r="X105" i="36"/>
  <c r="Z105" i="36" s="1"/>
  <c r="N105" i="36"/>
  <c r="L105" i="36"/>
  <c r="B105" i="36"/>
  <c r="Z104" i="36"/>
  <c r="X104" i="36"/>
  <c r="N104" i="36"/>
  <c r="L104" i="36"/>
  <c r="J104" i="36"/>
  <c r="B104" i="36"/>
  <c r="Z103" i="36"/>
  <c r="X103" i="36"/>
  <c r="V103" i="36"/>
  <c r="L103" i="36"/>
  <c r="N103" i="36" s="1"/>
  <c r="B103" i="36"/>
  <c r="X102" i="36"/>
  <c r="Z102" i="36" s="1"/>
  <c r="V102" i="36"/>
  <c r="N102" i="36"/>
  <c r="L102" i="36"/>
  <c r="B102" i="36"/>
  <c r="Z101" i="36"/>
  <c r="X101" i="36"/>
  <c r="L101" i="36"/>
  <c r="N101" i="36" s="1"/>
  <c r="B101" i="36"/>
  <c r="Z100" i="36"/>
  <c r="X100" i="36"/>
  <c r="V100" i="36"/>
  <c r="N100" i="36"/>
  <c r="L100" i="36"/>
  <c r="B100" i="36"/>
  <c r="X99" i="36"/>
  <c r="Z99" i="36" s="1"/>
  <c r="N99" i="36"/>
  <c r="L99" i="36"/>
  <c r="J99" i="36"/>
  <c r="B99" i="36"/>
  <c r="Z98" i="36"/>
  <c r="T98" i="36"/>
  <c r="P98" i="36"/>
  <c r="X98" i="36" s="1"/>
  <c r="N98" i="36"/>
  <c r="L98" i="36"/>
  <c r="J98" i="36"/>
  <c r="H98" i="36"/>
  <c r="D98" i="36"/>
  <c r="B98" i="36"/>
  <c r="Z97" i="36"/>
  <c r="X97" i="36"/>
  <c r="L97" i="36"/>
  <c r="N97" i="36" s="1"/>
  <c r="B97" i="36"/>
  <c r="Z96" i="36"/>
  <c r="X96" i="36"/>
  <c r="V96" i="36"/>
  <c r="N96" i="36"/>
  <c r="L96" i="36"/>
  <c r="B96" i="36"/>
  <c r="X95" i="36"/>
  <c r="T95" i="36"/>
  <c r="P95" i="36"/>
  <c r="N95" i="36"/>
  <c r="L95" i="36"/>
  <c r="H95" i="36"/>
  <c r="D95" i="36"/>
  <c r="B95" i="36"/>
  <c r="X94" i="36"/>
  <c r="Z94" i="36" s="1"/>
  <c r="V94" i="36"/>
  <c r="N94" i="36"/>
  <c r="L94" i="36"/>
  <c r="B94" i="36"/>
  <c r="Z93" i="36"/>
  <c r="X93" i="36"/>
  <c r="L93" i="36"/>
  <c r="N93" i="36" s="1"/>
  <c r="B93" i="36"/>
  <c r="Z92" i="36"/>
  <c r="X92" i="36"/>
  <c r="V92" i="36"/>
  <c r="N92" i="36"/>
  <c r="L92" i="36"/>
  <c r="B92" i="36"/>
  <c r="X91" i="36"/>
  <c r="Z91" i="36" s="1"/>
  <c r="N91" i="36"/>
  <c r="L91" i="36"/>
  <c r="J91" i="36"/>
  <c r="B91" i="36"/>
  <c r="Z90" i="36"/>
  <c r="X90" i="36"/>
  <c r="L90" i="36"/>
  <c r="N90" i="36" s="1"/>
  <c r="B90" i="36"/>
  <c r="T89" i="36"/>
  <c r="Z89" i="36" s="1"/>
  <c r="P89" i="36"/>
  <c r="X89" i="36" s="1"/>
  <c r="L89" i="36"/>
  <c r="H89" i="36"/>
  <c r="D89" i="36"/>
  <c r="B89" i="36"/>
  <c r="Z88" i="36"/>
  <c r="X88" i="36"/>
  <c r="V88" i="36"/>
  <c r="N88" i="36"/>
  <c r="L88" i="36"/>
  <c r="B88" i="36"/>
  <c r="Z87" i="36"/>
  <c r="X87" i="36"/>
  <c r="N87" i="36"/>
  <c r="L87" i="36"/>
  <c r="B87" i="36"/>
  <c r="Z86" i="36"/>
  <c r="T86" i="36"/>
  <c r="P86" i="36"/>
  <c r="X86" i="36" s="1"/>
  <c r="N86" i="36"/>
  <c r="L86" i="36"/>
  <c r="H86" i="36"/>
  <c r="D86" i="36"/>
  <c r="B86" i="36"/>
  <c r="X85" i="36"/>
  <c r="Z85" i="36" s="1"/>
  <c r="L85" i="36"/>
  <c r="N85" i="36" s="1"/>
  <c r="B85" i="36"/>
  <c r="Z84" i="36"/>
  <c r="X84" i="36"/>
  <c r="V84" i="36"/>
  <c r="N84" i="36"/>
  <c r="L84" i="36"/>
  <c r="B84" i="36"/>
  <c r="X83" i="36"/>
  <c r="Z83" i="36" s="1"/>
  <c r="N83" i="36"/>
  <c r="L83" i="36"/>
  <c r="J83" i="36"/>
  <c r="B83" i="36"/>
  <c r="Z82" i="36"/>
  <c r="X82" i="36"/>
  <c r="N82" i="36"/>
  <c r="L82" i="36"/>
  <c r="J82" i="36"/>
  <c r="B82" i="36"/>
  <c r="T81" i="36"/>
  <c r="P81" i="36"/>
  <c r="X81" i="36" s="1"/>
  <c r="L81" i="36"/>
  <c r="H81" i="36"/>
  <c r="D81" i="36"/>
  <c r="B81" i="36"/>
  <c r="Z80" i="36"/>
  <c r="X80" i="36"/>
  <c r="V80" i="36"/>
  <c r="N80" i="36"/>
  <c r="L80" i="36"/>
  <c r="B80" i="36"/>
  <c r="X79" i="36"/>
  <c r="T79" i="36"/>
  <c r="P79" i="36"/>
  <c r="N79" i="36"/>
  <c r="L79" i="36"/>
  <c r="H79" i="36"/>
  <c r="D79" i="36"/>
  <c r="B79" i="36"/>
  <c r="X78" i="36"/>
  <c r="Z78" i="36" s="1"/>
  <c r="V78" i="36"/>
  <c r="N78" i="36"/>
  <c r="L78" i="36"/>
  <c r="B78" i="36"/>
  <c r="T77" i="36"/>
  <c r="X77" i="36" s="1"/>
  <c r="P77" i="36"/>
  <c r="J77" i="36"/>
  <c r="H77" i="36"/>
  <c r="D77" i="36"/>
  <c r="L77" i="36" s="1"/>
  <c r="B77" i="36"/>
  <c r="Z76" i="36"/>
  <c r="X76" i="36"/>
  <c r="N76" i="36"/>
  <c r="L76" i="36"/>
  <c r="B76" i="36"/>
  <c r="V75" i="36"/>
  <c r="T75" i="36"/>
  <c r="P75" i="36"/>
  <c r="H75" i="36"/>
  <c r="N75" i="36" s="1"/>
  <c r="D75" i="36"/>
  <c r="L75" i="36" s="1"/>
  <c r="B75" i="36"/>
  <c r="Z74" i="36"/>
  <c r="X74" i="36"/>
  <c r="L74" i="36"/>
  <c r="N74" i="36" s="1"/>
  <c r="B74" i="36"/>
  <c r="T73" i="36"/>
  <c r="Z73" i="36" s="1"/>
  <c r="P73" i="36"/>
  <c r="X73" i="36" s="1"/>
  <c r="L73" i="36"/>
  <c r="H73" i="36"/>
  <c r="D73" i="36"/>
  <c r="B73" i="36"/>
  <c r="Z72" i="36"/>
  <c r="X72" i="36"/>
  <c r="V72" i="36"/>
  <c r="N72" i="36"/>
  <c r="L72" i="36"/>
  <c r="B72" i="36"/>
  <c r="X71" i="36"/>
  <c r="T71" i="36"/>
  <c r="Z71" i="36" s="1"/>
  <c r="P71" i="36"/>
  <c r="H71" i="36"/>
  <c r="D71" i="36"/>
  <c r="B71" i="36"/>
  <c r="Z70" i="36"/>
  <c r="X70" i="36"/>
  <c r="V70" i="36"/>
  <c r="N70" i="36"/>
  <c r="L70" i="36"/>
  <c r="B70" i="36"/>
  <c r="Z69" i="36"/>
  <c r="X69" i="36"/>
  <c r="T69" i="36"/>
  <c r="P69" i="36"/>
  <c r="J69" i="36"/>
  <c r="H69" i="36"/>
  <c r="N69" i="36" s="1"/>
  <c r="D69" i="36"/>
  <c r="B69" i="36"/>
  <c r="Z68" i="36"/>
  <c r="X68" i="36"/>
  <c r="N68" i="36"/>
  <c r="L68" i="36"/>
  <c r="J68" i="36"/>
  <c r="B68" i="36"/>
  <c r="V67" i="36"/>
  <c r="T67" i="36"/>
  <c r="P67" i="36"/>
  <c r="H67" i="36"/>
  <c r="D67" i="36"/>
  <c r="L67" i="36" s="1"/>
  <c r="B67" i="36"/>
  <c r="Z66" i="36"/>
  <c r="X66" i="36"/>
  <c r="L66" i="36"/>
  <c r="N66" i="36" s="1"/>
  <c r="J66" i="36"/>
  <c r="B66" i="36"/>
  <c r="T65" i="36"/>
  <c r="Z65" i="36" s="1"/>
  <c r="P65" i="36"/>
  <c r="X65" i="36" s="1"/>
  <c r="L65" i="36"/>
  <c r="H65" i="36"/>
  <c r="N65" i="36" s="1"/>
  <c r="D65" i="36"/>
  <c r="B65" i="36"/>
  <c r="Z64" i="36"/>
  <c r="X64" i="36"/>
  <c r="V64" i="36"/>
  <c r="N64" i="36"/>
  <c r="L64" i="36"/>
  <c r="B64" i="36"/>
  <c r="X63" i="36"/>
  <c r="T63" i="36"/>
  <c r="P63" i="36"/>
  <c r="N63" i="36"/>
  <c r="L63" i="36"/>
  <c r="H63" i="36"/>
  <c r="D63" i="36"/>
  <c r="B63" i="36"/>
  <c r="X62" i="36"/>
  <c r="Z62" i="36" s="1"/>
  <c r="V62" i="36"/>
  <c r="N62" i="36"/>
  <c r="L62" i="36"/>
  <c r="B62" i="36"/>
  <c r="X61" i="36"/>
  <c r="Z61" i="36" s="1"/>
  <c r="L61" i="36"/>
  <c r="N61" i="36" s="1"/>
  <c r="B61" i="36"/>
  <c r="Z60" i="36"/>
  <c r="X60" i="36"/>
  <c r="V60" i="36"/>
  <c r="N60" i="36"/>
  <c r="L60" i="36"/>
  <c r="B60" i="36"/>
  <c r="X59" i="36"/>
  <c r="T59" i="36"/>
  <c r="Z59" i="36" s="1"/>
  <c r="P59" i="36"/>
  <c r="H59" i="36"/>
  <c r="D59" i="36"/>
  <c r="B59" i="36"/>
  <c r="X58" i="36"/>
  <c r="Z58" i="36" s="1"/>
  <c r="V58" i="36"/>
  <c r="N58" i="36"/>
  <c r="L58" i="36"/>
  <c r="B58" i="36"/>
  <c r="Z57" i="36"/>
  <c r="X57" i="36"/>
  <c r="T57" i="36"/>
  <c r="P57" i="36"/>
  <c r="J57" i="36"/>
  <c r="H57" i="36"/>
  <c r="D57" i="36"/>
  <c r="L57" i="36" s="1"/>
  <c r="B57" i="36"/>
  <c r="Z56" i="36"/>
  <c r="X56" i="36"/>
  <c r="N56" i="36"/>
  <c r="L56" i="36"/>
  <c r="J56" i="36"/>
  <c r="B56" i="36"/>
  <c r="T55" i="36"/>
  <c r="P55" i="36"/>
  <c r="H55" i="36"/>
  <c r="D55" i="36"/>
  <c r="L55" i="36" s="1"/>
  <c r="B55" i="36"/>
  <c r="Z54" i="36"/>
  <c r="X54" i="36"/>
  <c r="V54" i="36"/>
  <c r="L54" i="36"/>
  <c r="N54" i="36" s="1"/>
  <c r="J54" i="36"/>
  <c r="B54" i="36"/>
  <c r="T53" i="36"/>
  <c r="Z53" i="36" s="1"/>
  <c r="P53" i="36"/>
  <c r="X53" i="36" s="1"/>
  <c r="L53" i="36"/>
  <c r="H53" i="36"/>
  <c r="N53" i="36" s="1"/>
  <c r="D53" i="36"/>
  <c r="B53" i="36"/>
  <c r="Z52" i="36"/>
  <c r="X52" i="36"/>
  <c r="V52" i="36"/>
  <c r="N52" i="36"/>
  <c r="L52" i="36"/>
  <c r="B52" i="36"/>
  <c r="Z51" i="36"/>
  <c r="X51" i="36"/>
  <c r="N51" i="36"/>
  <c r="L51" i="36"/>
  <c r="J51" i="36"/>
  <c r="B51" i="36"/>
  <c r="Z50" i="36"/>
  <c r="X50" i="36"/>
  <c r="V50" i="36"/>
  <c r="N50" i="36"/>
  <c r="L50" i="36"/>
  <c r="J50" i="36"/>
  <c r="B50" i="36"/>
  <c r="X49" i="36"/>
  <c r="Z49" i="36" s="1"/>
  <c r="N49" i="36"/>
  <c r="L49" i="36"/>
  <c r="B49" i="36"/>
  <c r="Z48" i="36"/>
  <c r="X48" i="36"/>
  <c r="N48" i="36"/>
  <c r="L48" i="36"/>
  <c r="J48" i="36"/>
  <c r="B48" i="36"/>
  <c r="Z47" i="36"/>
  <c r="X47" i="36"/>
  <c r="V47" i="36"/>
  <c r="L47" i="36"/>
  <c r="N47" i="36" s="1"/>
  <c r="B47" i="36"/>
  <c r="X46" i="36"/>
  <c r="Z46" i="36" s="1"/>
  <c r="V46" i="36"/>
  <c r="N46" i="36"/>
  <c r="L46" i="36"/>
  <c r="B46" i="36"/>
  <c r="Z45" i="36"/>
  <c r="X45" i="36"/>
  <c r="V45" i="36"/>
  <c r="N45" i="36"/>
  <c r="L45" i="36"/>
  <c r="B45" i="36"/>
  <c r="Z44" i="36"/>
  <c r="X44" i="36"/>
  <c r="V44" i="36"/>
  <c r="N44" i="36"/>
  <c r="L44" i="36"/>
  <c r="B44" i="36"/>
  <c r="X43" i="36"/>
  <c r="Z43" i="36" s="1"/>
  <c r="N43" i="36"/>
  <c r="L43" i="36"/>
  <c r="J43" i="36"/>
  <c r="B43" i="36"/>
  <c r="V42" i="36"/>
  <c r="T42" i="36"/>
  <c r="P42" i="36"/>
  <c r="X42" i="36" s="1"/>
  <c r="Z42" i="36" s="1"/>
  <c r="N42" i="36"/>
  <c r="L42" i="36"/>
  <c r="J42" i="36"/>
  <c r="H42" i="36"/>
  <c r="D42" i="36"/>
  <c r="B42" i="36"/>
  <c r="X41" i="36"/>
  <c r="Z41" i="36" s="1"/>
  <c r="V41" i="36"/>
  <c r="L41" i="36"/>
  <c r="N41" i="36" s="1"/>
  <c r="B41" i="36"/>
  <c r="Z40" i="36"/>
  <c r="X40" i="36"/>
  <c r="V40" i="36"/>
  <c r="N40" i="36"/>
  <c r="L40" i="36"/>
  <c r="B40" i="36"/>
  <c r="X39" i="36"/>
  <c r="Z39" i="36" s="1"/>
  <c r="N39" i="36"/>
  <c r="L39" i="36"/>
  <c r="J39" i="36"/>
  <c r="B39" i="36"/>
  <c r="Z38" i="36"/>
  <c r="X38" i="36"/>
  <c r="V38" i="36"/>
  <c r="N38" i="36"/>
  <c r="L38" i="36"/>
  <c r="J38" i="36"/>
  <c r="B38" i="36"/>
  <c r="Z37" i="36"/>
  <c r="X37" i="36"/>
  <c r="N37" i="36"/>
  <c r="L37" i="36"/>
  <c r="B37" i="36"/>
  <c r="Z36" i="36"/>
  <c r="X36" i="36"/>
  <c r="N36" i="36"/>
  <c r="L36" i="36"/>
  <c r="J36" i="36"/>
  <c r="B36" i="36"/>
  <c r="Z35" i="36"/>
  <c r="X35" i="36"/>
  <c r="V35" i="36"/>
  <c r="L35" i="36"/>
  <c r="N35" i="36" s="1"/>
  <c r="B35" i="36"/>
  <c r="X34" i="36"/>
  <c r="Z34" i="36" s="1"/>
  <c r="V34" i="36"/>
  <c r="N34" i="36"/>
  <c r="L34" i="36"/>
  <c r="B34" i="36"/>
  <c r="X33" i="36"/>
  <c r="Z33" i="36" s="1"/>
  <c r="V33" i="36"/>
  <c r="L33" i="36"/>
  <c r="N33" i="36" s="1"/>
  <c r="B33" i="36"/>
  <c r="Z32" i="36"/>
  <c r="X32" i="36"/>
  <c r="V32" i="36"/>
  <c r="N32" i="36"/>
  <c r="L32" i="36"/>
  <c r="B32" i="36"/>
  <c r="X31" i="36"/>
  <c r="T31" i="36"/>
  <c r="P31" i="36"/>
  <c r="L31" i="36"/>
  <c r="H31" i="36"/>
  <c r="N31" i="36" s="1"/>
  <c r="D31" i="36"/>
  <c r="B31" i="36"/>
  <c r="X30" i="36"/>
  <c r="T30" i="36"/>
  <c r="V30" i="36" s="1"/>
  <c r="P30" i="36"/>
  <c r="H30" i="36"/>
  <c r="D30" i="36"/>
  <c r="Z26" i="36"/>
  <c r="X26" i="36"/>
  <c r="V26" i="36"/>
  <c r="N26" i="36"/>
  <c r="L26" i="36"/>
  <c r="B26" i="36"/>
  <c r="Z25" i="36"/>
  <c r="X25" i="36"/>
  <c r="V25" i="36"/>
  <c r="N25" i="36"/>
  <c r="L25" i="36"/>
  <c r="B25" i="36"/>
  <c r="Z24" i="36"/>
  <c r="X24" i="36"/>
  <c r="V24" i="36"/>
  <c r="N24" i="36"/>
  <c r="L24" i="36"/>
  <c r="B24" i="36"/>
  <c r="X23" i="36"/>
  <c r="Z23" i="36" s="1"/>
  <c r="T23" i="36"/>
  <c r="P23" i="36"/>
  <c r="H23" i="36"/>
  <c r="D23" i="36"/>
  <c r="Z21" i="36"/>
  <c r="P21" i="36"/>
  <c r="X21" i="36" s="1"/>
  <c r="N21" i="36"/>
  <c r="D21" i="36"/>
  <c r="L21" i="36" s="1"/>
  <c r="B21" i="36"/>
  <c r="Z20" i="36"/>
  <c r="X20" i="36"/>
  <c r="P20" i="36"/>
  <c r="N20" i="36"/>
  <c r="L20" i="36"/>
  <c r="D20" i="36"/>
  <c r="B20" i="36"/>
  <c r="Z19" i="36"/>
  <c r="X19" i="36"/>
  <c r="P19" i="36"/>
  <c r="N19" i="36"/>
  <c r="D19" i="36"/>
  <c r="L19" i="36" s="1"/>
  <c r="B19" i="36"/>
  <c r="Z18" i="36"/>
  <c r="P18" i="36"/>
  <c r="X18" i="36" s="1"/>
  <c r="D18" i="36"/>
  <c r="L18" i="36" s="1"/>
  <c r="N18" i="36" s="1"/>
  <c r="B18" i="36"/>
  <c r="Z17" i="36"/>
  <c r="X17" i="36"/>
  <c r="P17" i="36"/>
  <c r="N17" i="36"/>
  <c r="L17" i="36"/>
  <c r="D17" i="36"/>
  <c r="B17" i="36"/>
  <c r="Z16" i="36"/>
  <c r="P16" i="36"/>
  <c r="X16" i="36" s="1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X14" i="36"/>
  <c r="P14" i="36"/>
  <c r="N14" i="36"/>
  <c r="L14" i="36"/>
  <c r="D14" i="36"/>
  <c r="B14" i="36"/>
  <c r="P13" i="36"/>
  <c r="X13" i="36" s="1"/>
  <c r="Z13" i="36" s="1"/>
  <c r="D13" i="36"/>
  <c r="B13" i="36"/>
  <c r="T12" i="36"/>
  <c r="V111" i="36" s="1"/>
  <c r="P12" i="36"/>
  <c r="R113" i="36" s="1"/>
  <c r="H12" i="36"/>
  <c r="J114" i="36" s="1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34" i="35" s="1"/>
  <c r="P12" i="35"/>
  <c r="R31" i="35" s="1"/>
  <c r="H12" i="35"/>
  <c r="D12" i="35"/>
  <c r="F34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D15" i="34"/>
  <c r="T13" i="34"/>
  <c r="Z13" i="34" s="1"/>
  <c r="P13" i="34"/>
  <c r="H13" i="34"/>
  <c r="D13" i="34"/>
  <c r="B13" i="34"/>
  <c r="T12" i="34"/>
  <c r="V29" i="34" s="1"/>
  <c r="P12" i="34"/>
  <c r="H12" i="34"/>
  <c r="J20" i="34" s="1"/>
  <c r="D12" i="34"/>
  <c r="F22" i="34" s="1"/>
  <c r="D5" i="34"/>
  <c r="D4" i="34"/>
  <c r="X90" i="33"/>
  <c r="Z90" i="33" s="1"/>
  <c r="L90" i="33"/>
  <c r="N90" i="33" s="1"/>
  <c r="Z86" i="33"/>
  <c r="P86" i="33"/>
  <c r="X86" i="33" s="1"/>
  <c r="N86" i="33"/>
  <c r="L86" i="33"/>
  <c r="J86" i="33"/>
  <c r="D86" i="33"/>
  <c r="B86" i="33"/>
  <c r="X85" i="33"/>
  <c r="Z85" i="33" s="1"/>
  <c r="P85" i="33"/>
  <c r="P84" i="33" s="1"/>
  <c r="D85" i="33"/>
  <c r="B85" i="33"/>
  <c r="X84" i="33"/>
  <c r="Z84" i="33" s="1"/>
  <c r="T84" i="33"/>
  <c r="H84" i="33"/>
  <c r="Z82" i="33"/>
  <c r="X82" i="33"/>
  <c r="N82" i="33"/>
  <c r="L82" i="33"/>
  <c r="B82" i="33"/>
  <c r="X81" i="33"/>
  <c r="T81" i="33"/>
  <c r="Z81" i="33" s="1"/>
  <c r="P81" i="33"/>
  <c r="H81" i="33"/>
  <c r="N81" i="33" s="1"/>
  <c r="D81" i="33"/>
  <c r="L81" i="33" s="1"/>
  <c r="B81" i="33"/>
  <c r="X80" i="33"/>
  <c r="Z80" i="33" s="1"/>
  <c r="N80" i="33"/>
  <c r="L80" i="33"/>
  <c r="B80" i="33"/>
  <c r="T79" i="33"/>
  <c r="P79" i="33"/>
  <c r="H79" i="33"/>
  <c r="D79" i="33"/>
  <c r="L79" i="33" s="1"/>
  <c r="N79" i="33" s="1"/>
  <c r="B79" i="33"/>
  <c r="X78" i="33"/>
  <c r="Z78" i="33" s="1"/>
  <c r="N78" i="33"/>
  <c r="L78" i="33"/>
  <c r="J78" i="33"/>
  <c r="B78" i="33"/>
  <c r="Z77" i="33"/>
  <c r="X77" i="33"/>
  <c r="L77" i="33"/>
  <c r="N77" i="33" s="1"/>
  <c r="J77" i="33"/>
  <c r="B77" i="33"/>
  <c r="X76" i="33"/>
  <c r="Z76" i="33" s="1"/>
  <c r="L76" i="33"/>
  <c r="N76" i="33" s="1"/>
  <c r="B76" i="33"/>
  <c r="Z75" i="33"/>
  <c r="X75" i="33"/>
  <c r="N75" i="33"/>
  <c r="L75" i="33"/>
  <c r="J75" i="33"/>
  <c r="B75" i="33"/>
  <c r="Z74" i="33"/>
  <c r="X74" i="33"/>
  <c r="N74" i="33"/>
  <c r="L74" i="33"/>
  <c r="B74" i="33"/>
  <c r="X73" i="33"/>
  <c r="T73" i="33"/>
  <c r="P73" i="33"/>
  <c r="H73" i="33"/>
  <c r="D73" i="33"/>
  <c r="L73" i="33" s="1"/>
  <c r="B73" i="33"/>
  <c r="Z72" i="33"/>
  <c r="X72" i="33"/>
  <c r="N72" i="33"/>
  <c r="L72" i="33"/>
  <c r="B72" i="33"/>
  <c r="T71" i="33"/>
  <c r="Z71" i="33" s="1"/>
  <c r="P71" i="33"/>
  <c r="N71" i="33"/>
  <c r="H71" i="33"/>
  <c r="D71" i="33"/>
  <c r="L71" i="33" s="1"/>
  <c r="B71" i="33"/>
  <c r="X70" i="33"/>
  <c r="Z70" i="33" s="1"/>
  <c r="N70" i="33"/>
  <c r="L70" i="33"/>
  <c r="J70" i="33"/>
  <c r="B70" i="33"/>
  <c r="Z69" i="33"/>
  <c r="T69" i="33"/>
  <c r="P69" i="33"/>
  <c r="X69" i="33" s="1"/>
  <c r="N69" i="33"/>
  <c r="L69" i="33"/>
  <c r="J69" i="33"/>
  <c r="H69" i="33"/>
  <c r="D69" i="33"/>
  <c r="B69" i="33"/>
  <c r="Z68" i="33"/>
  <c r="X68" i="33"/>
  <c r="N68" i="33"/>
  <c r="L68" i="33"/>
  <c r="B68" i="33"/>
  <c r="Z67" i="33"/>
  <c r="X67" i="33"/>
  <c r="N67" i="33"/>
  <c r="L67" i="33"/>
  <c r="B67" i="33"/>
  <c r="Z66" i="33"/>
  <c r="X66" i="33"/>
  <c r="N66" i="33"/>
  <c r="L66" i="33"/>
  <c r="J66" i="33"/>
  <c r="B66" i="33"/>
  <c r="T65" i="33"/>
  <c r="P65" i="33"/>
  <c r="X65" i="33" s="1"/>
  <c r="Z65" i="33" s="1"/>
  <c r="N65" i="33"/>
  <c r="L65" i="33"/>
  <c r="J65" i="33"/>
  <c r="H65" i="33"/>
  <c r="D65" i="33"/>
  <c r="B65" i="33"/>
  <c r="X64" i="33"/>
  <c r="Z64" i="33" s="1"/>
  <c r="L64" i="33"/>
  <c r="N64" i="33" s="1"/>
  <c r="B64" i="33"/>
  <c r="Z63" i="33"/>
  <c r="X63" i="33"/>
  <c r="N63" i="33"/>
  <c r="L63" i="33"/>
  <c r="B63" i="33"/>
  <c r="X62" i="33"/>
  <c r="Z62" i="33" s="1"/>
  <c r="T62" i="33"/>
  <c r="P62" i="33"/>
  <c r="H62" i="33"/>
  <c r="J62" i="33" s="1"/>
  <c r="D62" i="33"/>
  <c r="B62" i="33"/>
  <c r="X61" i="33"/>
  <c r="Z61" i="33" s="1"/>
  <c r="N61" i="33"/>
  <c r="L61" i="33"/>
  <c r="B61" i="33"/>
  <c r="X60" i="33"/>
  <c r="Z60" i="33" s="1"/>
  <c r="T60" i="33"/>
  <c r="P60" i="33"/>
  <c r="J60" i="33"/>
  <c r="H60" i="33"/>
  <c r="D60" i="33"/>
  <c r="L60" i="33" s="1"/>
  <c r="B60" i="33"/>
  <c r="Z59" i="33"/>
  <c r="X59" i="33"/>
  <c r="N59" i="33"/>
  <c r="L59" i="33"/>
  <c r="J59" i="33"/>
  <c r="B59" i="33"/>
  <c r="T58" i="33"/>
  <c r="P58" i="33"/>
  <c r="X58" i="33" s="1"/>
  <c r="H58" i="33"/>
  <c r="D58" i="33"/>
  <c r="L58" i="33" s="1"/>
  <c r="B58" i="33"/>
  <c r="Z57" i="33"/>
  <c r="X57" i="33"/>
  <c r="L57" i="33"/>
  <c r="N57" i="33" s="1"/>
  <c r="J57" i="33"/>
  <c r="B57" i="33"/>
  <c r="T56" i="33"/>
  <c r="P56" i="33"/>
  <c r="X56" i="33" s="1"/>
  <c r="L56" i="33"/>
  <c r="N56" i="33" s="1"/>
  <c r="H56" i="33"/>
  <c r="D56" i="33"/>
  <c r="B56" i="33"/>
  <c r="Z55" i="33"/>
  <c r="X55" i="33"/>
  <c r="N55" i="33"/>
  <c r="L55" i="33"/>
  <c r="B55" i="33"/>
  <c r="X54" i="33"/>
  <c r="Z54" i="33" s="1"/>
  <c r="T54" i="33"/>
  <c r="P54" i="33"/>
  <c r="N54" i="33"/>
  <c r="L54" i="33"/>
  <c r="J54" i="33"/>
  <c r="H54" i="33"/>
  <c r="D54" i="33"/>
  <c r="B54" i="33"/>
  <c r="Z53" i="33"/>
  <c r="X53" i="33"/>
  <c r="N53" i="33"/>
  <c r="L53" i="33"/>
  <c r="B53" i="33"/>
  <c r="Z52" i="33"/>
  <c r="X52" i="33"/>
  <c r="N52" i="33"/>
  <c r="L52" i="33"/>
  <c r="B52" i="33"/>
  <c r="Z51" i="33"/>
  <c r="X51" i="33"/>
  <c r="N51" i="33"/>
  <c r="L51" i="33"/>
  <c r="B51" i="33"/>
  <c r="Z50" i="33"/>
  <c r="X50" i="33"/>
  <c r="N50" i="33"/>
  <c r="L50" i="33"/>
  <c r="J50" i="33"/>
  <c r="B50" i="33"/>
  <c r="Z49" i="33"/>
  <c r="X49" i="33"/>
  <c r="N49" i="33"/>
  <c r="L49" i="33"/>
  <c r="J49" i="33"/>
  <c r="B49" i="33"/>
  <c r="Z48" i="33"/>
  <c r="X48" i="33"/>
  <c r="N48" i="33"/>
  <c r="L48" i="33"/>
  <c r="J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X45" i="33"/>
  <c r="Z45" i="33" s="1"/>
  <c r="N45" i="33"/>
  <c r="L45" i="33"/>
  <c r="B45" i="33"/>
  <c r="Z44" i="33"/>
  <c r="X44" i="33"/>
  <c r="N44" i="33"/>
  <c r="L44" i="33"/>
  <c r="B44" i="33"/>
  <c r="X43" i="33"/>
  <c r="Z43" i="33" s="1"/>
  <c r="T43" i="33"/>
  <c r="P43" i="33"/>
  <c r="L43" i="33"/>
  <c r="H43" i="33"/>
  <c r="D43" i="33"/>
  <c r="B43" i="33"/>
  <c r="Z42" i="33"/>
  <c r="X42" i="33"/>
  <c r="N42" i="33"/>
  <c r="L42" i="33"/>
  <c r="B42" i="33"/>
  <c r="X41" i="33"/>
  <c r="Z41" i="33" s="1"/>
  <c r="N41" i="33"/>
  <c r="L41" i="33"/>
  <c r="J41" i="33"/>
  <c r="B41" i="33"/>
  <c r="X40" i="33"/>
  <c r="Z40" i="33" s="1"/>
  <c r="L40" i="33"/>
  <c r="N40" i="33" s="1"/>
  <c r="B40" i="33"/>
  <c r="Z39" i="33"/>
  <c r="X39" i="33"/>
  <c r="N39" i="33"/>
  <c r="L39" i="33"/>
  <c r="B39" i="33"/>
  <c r="X38" i="33"/>
  <c r="Z38" i="33" s="1"/>
  <c r="N38" i="33"/>
  <c r="L38" i="33"/>
  <c r="J38" i="33"/>
  <c r="B38" i="33"/>
  <c r="Z37" i="33"/>
  <c r="X37" i="33"/>
  <c r="L37" i="33"/>
  <c r="N37" i="33" s="1"/>
  <c r="J37" i="33"/>
  <c r="B37" i="33"/>
  <c r="X36" i="33"/>
  <c r="Z36" i="33" s="1"/>
  <c r="L36" i="33"/>
  <c r="N36" i="33" s="1"/>
  <c r="J36" i="33"/>
  <c r="B36" i="33"/>
  <c r="Z35" i="33"/>
  <c r="X35" i="33"/>
  <c r="L35" i="33"/>
  <c r="N35" i="33" s="1"/>
  <c r="J35" i="33"/>
  <c r="B35" i="33"/>
  <c r="Z34" i="33"/>
  <c r="X34" i="33"/>
  <c r="L34" i="33"/>
  <c r="N34" i="33" s="1"/>
  <c r="B34" i="33"/>
  <c r="T33" i="33"/>
  <c r="P33" i="33"/>
  <c r="H33" i="33"/>
  <c r="D33" i="33"/>
  <c r="L33" i="33" s="1"/>
  <c r="B33" i="33"/>
  <c r="T32" i="33"/>
  <c r="P32" i="33"/>
  <c r="L32" i="33"/>
  <c r="H32" i="33"/>
  <c r="N32" i="33" s="1"/>
  <c r="D32" i="33"/>
  <c r="H30" i="33"/>
  <c r="Z28" i="33"/>
  <c r="X28" i="33"/>
  <c r="N28" i="33"/>
  <c r="L28" i="33"/>
  <c r="J28" i="33"/>
  <c r="B28" i="33"/>
  <c r="Z27" i="33"/>
  <c r="X27" i="33"/>
  <c r="N27" i="33"/>
  <c r="L27" i="33"/>
  <c r="J27" i="33"/>
  <c r="B27" i="33"/>
  <c r="T26" i="33"/>
  <c r="Z26" i="33" s="1"/>
  <c r="P26" i="33"/>
  <c r="X26" i="33" s="1"/>
  <c r="L26" i="33"/>
  <c r="H26" i="33"/>
  <c r="N26" i="33" s="1"/>
  <c r="D26" i="33"/>
  <c r="Z24" i="33"/>
  <c r="X24" i="33"/>
  <c r="P24" i="33"/>
  <c r="N24" i="33"/>
  <c r="D24" i="33"/>
  <c r="L24" i="33" s="1"/>
  <c r="B24" i="33"/>
  <c r="Z23" i="33"/>
  <c r="X23" i="33"/>
  <c r="P23" i="33"/>
  <c r="N23" i="33"/>
  <c r="L23" i="33"/>
  <c r="D23" i="33"/>
  <c r="B23" i="33"/>
  <c r="Z22" i="33"/>
  <c r="P22" i="33"/>
  <c r="X22" i="33" s="1"/>
  <c r="N22" i="33"/>
  <c r="D22" i="33"/>
  <c r="L22" i="33" s="1"/>
  <c r="B22" i="33"/>
  <c r="Z21" i="33"/>
  <c r="X21" i="33"/>
  <c r="P21" i="33"/>
  <c r="N21" i="33"/>
  <c r="L21" i="33"/>
  <c r="D21" i="33"/>
  <c r="B21" i="33"/>
  <c r="Z20" i="33"/>
  <c r="P20" i="33"/>
  <c r="X20" i="33" s="1"/>
  <c r="N20" i="33"/>
  <c r="L20" i="33"/>
  <c r="D20" i="33"/>
  <c r="B20" i="33"/>
  <c r="Z19" i="33"/>
  <c r="P19" i="33"/>
  <c r="X19" i="33" s="1"/>
  <c r="N19" i="33"/>
  <c r="D19" i="33"/>
  <c r="L19" i="33" s="1"/>
  <c r="B19" i="33"/>
  <c r="X18" i="33"/>
  <c r="Z18" i="33" s="1"/>
  <c r="P18" i="33"/>
  <c r="D18" i="33"/>
  <c r="L18" i="33" s="1"/>
  <c r="N18" i="33" s="1"/>
  <c r="B18" i="33"/>
  <c r="Z17" i="33"/>
  <c r="P17" i="33"/>
  <c r="X17" i="33" s="1"/>
  <c r="N17" i="33"/>
  <c r="D17" i="33"/>
  <c r="L17" i="33" s="1"/>
  <c r="B17" i="33"/>
  <c r="Z16" i="33"/>
  <c r="X16" i="33"/>
  <c r="P16" i="33"/>
  <c r="N16" i="33"/>
  <c r="D16" i="33"/>
  <c r="L16" i="33" s="1"/>
  <c r="B16" i="33"/>
  <c r="Z15" i="33"/>
  <c r="X15" i="33"/>
  <c r="P15" i="33"/>
  <c r="N15" i="33"/>
  <c r="L15" i="33"/>
  <c r="D15" i="33"/>
  <c r="B15" i="33"/>
  <c r="Z14" i="33"/>
  <c r="P14" i="33"/>
  <c r="X14" i="33" s="1"/>
  <c r="N14" i="33"/>
  <c r="D14" i="33"/>
  <c r="L14" i="33" s="1"/>
  <c r="B14" i="33"/>
  <c r="P13" i="33"/>
  <c r="P12" i="33" s="1"/>
  <c r="N13" i="33"/>
  <c r="L13" i="33"/>
  <c r="D13" i="33"/>
  <c r="B13" i="33"/>
  <c r="T12" i="33"/>
  <c r="V58" i="33" s="1"/>
  <c r="H12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D20" i="32"/>
  <c r="T16" i="32"/>
  <c r="Z16" i="32" s="1"/>
  <c r="P16" i="32"/>
  <c r="H16" i="32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29" i="32" s="1"/>
  <c r="P12" i="32"/>
  <c r="R34" i="32" s="1"/>
  <c r="H12" i="32"/>
  <c r="D12" i="32"/>
  <c r="F29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18" i="31" s="1"/>
  <c r="P12" i="31"/>
  <c r="H12" i="31"/>
  <c r="J22" i="31" s="1"/>
  <c r="D12" i="31"/>
  <c r="F18" i="31" s="1"/>
  <c r="D5" i="31"/>
  <c r="D4" i="31"/>
  <c r="Z177" i="30"/>
  <c r="X177" i="30"/>
  <c r="L177" i="30"/>
  <c r="N177" i="30" s="1"/>
  <c r="Z173" i="30"/>
  <c r="P173" i="30"/>
  <c r="X173" i="30" s="1"/>
  <c r="N173" i="30"/>
  <c r="D173" i="30"/>
  <c r="L173" i="30" s="1"/>
  <c r="B173" i="30"/>
  <c r="X172" i="30"/>
  <c r="Z172" i="30" s="1"/>
  <c r="P172" i="30"/>
  <c r="D172" i="30"/>
  <c r="D169" i="30" s="1"/>
  <c r="L169" i="30" s="1"/>
  <c r="B172" i="30"/>
  <c r="X171" i="30"/>
  <c r="Z171" i="30" s="1"/>
  <c r="P171" i="30"/>
  <c r="L171" i="30"/>
  <c r="N171" i="30" s="1"/>
  <c r="D171" i="30"/>
  <c r="B171" i="30"/>
  <c r="Z170" i="30"/>
  <c r="P170" i="30"/>
  <c r="X170" i="30" s="1"/>
  <c r="N170" i="30"/>
  <c r="L170" i="30"/>
  <c r="D170" i="30"/>
  <c r="B170" i="30"/>
  <c r="T169" i="30"/>
  <c r="H169" i="30"/>
  <c r="X167" i="30"/>
  <c r="Z167" i="30" s="1"/>
  <c r="N167" i="30"/>
  <c r="L167" i="30"/>
  <c r="B167" i="30"/>
  <c r="T166" i="30"/>
  <c r="P166" i="30"/>
  <c r="X166" i="30" s="1"/>
  <c r="H166" i="30"/>
  <c r="D166" i="30"/>
  <c r="L166" i="30" s="1"/>
  <c r="N166" i="30" s="1"/>
  <c r="B166" i="30"/>
  <c r="X165" i="30"/>
  <c r="Z165" i="30" s="1"/>
  <c r="L165" i="30"/>
  <c r="N165" i="30" s="1"/>
  <c r="B165" i="30"/>
  <c r="Z164" i="30"/>
  <c r="X164" i="30"/>
  <c r="L164" i="30"/>
  <c r="N164" i="30" s="1"/>
  <c r="B164" i="30"/>
  <c r="X163" i="30"/>
  <c r="T163" i="30"/>
  <c r="Z163" i="30" s="1"/>
  <c r="P163" i="30"/>
  <c r="H163" i="30"/>
  <c r="D163" i="30"/>
  <c r="L163" i="30" s="1"/>
  <c r="B163" i="30"/>
  <c r="Z162" i="30"/>
  <c r="X162" i="30"/>
  <c r="N162" i="30"/>
  <c r="L162" i="30"/>
  <c r="B162" i="30"/>
  <c r="T161" i="30"/>
  <c r="P161" i="30"/>
  <c r="X161" i="30" s="1"/>
  <c r="N161" i="30"/>
  <c r="H161" i="30"/>
  <c r="D161" i="30"/>
  <c r="L161" i="30" s="1"/>
  <c r="B161" i="30"/>
  <c r="X160" i="30"/>
  <c r="Z160" i="30" s="1"/>
  <c r="N160" i="30"/>
  <c r="L160" i="30"/>
  <c r="B160" i="30"/>
  <c r="Z159" i="30"/>
  <c r="X159" i="30"/>
  <c r="L159" i="30"/>
  <c r="N159" i="30" s="1"/>
  <c r="B159" i="30"/>
  <c r="T158" i="30"/>
  <c r="P158" i="30"/>
  <c r="X158" i="30" s="1"/>
  <c r="Z158" i="30" s="1"/>
  <c r="L158" i="30"/>
  <c r="N158" i="30" s="1"/>
  <c r="H158" i="30"/>
  <c r="D158" i="30"/>
  <c r="B158" i="30"/>
  <c r="X157" i="30"/>
  <c r="Z157" i="30" s="1"/>
  <c r="L157" i="30"/>
  <c r="N157" i="30" s="1"/>
  <c r="B157" i="30"/>
  <c r="X156" i="30"/>
  <c r="Z156" i="30" s="1"/>
  <c r="N156" i="30"/>
  <c r="L156" i="30"/>
  <c r="B156" i="30"/>
  <c r="Z155" i="30"/>
  <c r="X155" i="30"/>
  <c r="N155" i="30"/>
  <c r="L155" i="30"/>
  <c r="B155" i="30"/>
  <c r="Z154" i="30"/>
  <c r="X154" i="30"/>
  <c r="N154" i="30"/>
  <c r="L154" i="30"/>
  <c r="B154" i="30"/>
  <c r="X153" i="30"/>
  <c r="Z153" i="30" s="1"/>
  <c r="L153" i="30"/>
  <c r="N153" i="30" s="1"/>
  <c r="B153" i="30"/>
  <c r="Z152" i="30"/>
  <c r="X152" i="30"/>
  <c r="L152" i="30"/>
  <c r="N152" i="30" s="1"/>
  <c r="B152" i="30"/>
  <c r="X151" i="30"/>
  <c r="Z151" i="30" s="1"/>
  <c r="N151" i="30"/>
  <c r="L151" i="30"/>
  <c r="B151" i="30"/>
  <c r="Z150" i="30"/>
  <c r="X150" i="30"/>
  <c r="N150" i="30"/>
  <c r="L150" i="30"/>
  <c r="B150" i="30"/>
  <c r="X149" i="30"/>
  <c r="T149" i="30"/>
  <c r="Z149" i="30" s="1"/>
  <c r="P149" i="30"/>
  <c r="L149" i="30"/>
  <c r="H149" i="30"/>
  <c r="N149" i="30" s="1"/>
  <c r="D149" i="30"/>
  <c r="B149" i="30"/>
  <c r="Z148" i="30"/>
  <c r="X148" i="30"/>
  <c r="N148" i="30"/>
  <c r="L148" i="30"/>
  <c r="B148" i="30"/>
  <c r="X147" i="30"/>
  <c r="Z147" i="30" s="1"/>
  <c r="N147" i="30"/>
  <c r="L147" i="30"/>
  <c r="B147" i="30"/>
  <c r="T146" i="30"/>
  <c r="P146" i="30"/>
  <c r="X146" i="30" s="1"/>
  <c r="H146" i="30"/>
  <c r="D146" i="30"/>
  <c r="L146" i="30" s="1"/>
  <c r="N146" i="30" s="1"/>
  <c r="B146" i="30"/>
  <c r="X145" i="30"/>
  <c r="Z145" i="30" s="1"/>
  <c r="L145" i="30"/>
  <c r="N145" i="30" s="1"/>
  <c r="B145" i="30"/>
  <c r="Z144" i="30"/>
  <c r="X144" i="30"/>
  <c r="L144" i="30"/>
  <c r="N144" i="30" s="1"/>
  <c r="B144" i="30"/>
  <c r="Z143" i="30"/>
  <c r="X143" i="30"/>
  <c r="N143" i="30"/>
  <c r="L143" i="30"/>
  <c r="B143" i="30"/>
  <c r="T142" i="30"/>
  <c r="Z142" i="30" s="1"/>
  <c r="P142" i="30"/>
  <c r="X142" i="30" s="1"/>
  <c r="H142" i="30"/>
  <c r="D142" i="30"/>
  <c r="L142" i="30" s="1"/>
  <c r="N142" i="30" s="1"/>
  <c r="B142" i="30"/>
  <c r="X141" i="30"/>
  <c r="Z141" i="30" s="1"/>
  <c r="L141" i="30"/>
  <c r="N141" i="30" s="1"/>
  <c r="B141" i="30"/>
  <c r="Z140" i="30"/>
  <c r="X140" i="30"/>
  <c r="L140" i="30"/>
  <c r="N140" i="30" s="1"/>
  <c r="B140" i="30"/>
  <c r="X139" i="30"/>
  <c r="Z139" i="30" s="1"/>
  <c r="N139" i="30"/>
  <c r="L139" i="30"/>
  <c r="B139" i="30"/>
  <c r="T138" i="30"/>
  <c r="Z138" i="30" s="1"/>
  <c r="P138" i="30"/>
  <c r="X138" i="30" s="1"/>
  <c r="H138" i="30"/>
  <c r="D138" i="30"/>
  <c r="L138" i="30" s="1"/>
  <c r="N138" i="30" s="1"/>
  <c r="B138" i="30"/>
  <c r="X137" i="30"/>
  <c r="Z137" i="30" s="1"/>
  <c r="L137" i="30"/>
  <c r="N137" i="30" s="1"/>
  <c r="B137" i="30"/>
  <c r="Z136" i="30"/>
  <c r="X136" i="30"/>
  <c r="N136" i="30"/>
  <c r="L136" i="30"/>
  <c r="B136" i="30"/>
  <c r="Z135" i="30"/>
  <c r="X135" i="30"/>
  <c r="N135" i="30"/>
  <c r="L135" i="30"/>
  <c r="B135" i="30"/>
  <c r="T134" i="30"/>
  <c r="P134" i="30"/>
  <c r="X134" i="30" s="1"/>
  <c r="H134" i="30"/>
  <c r="D134" i="30"/>
  <c r="L134" i="30" s="1"/>
  <c r="N134" i="30" s="1"/>
  <c r="B134" i="30"/>
  <c r="X133" i="30"/>
  <c r="Z133" i="30" s="1"/>
  <c r="L133" i="30"/>
  <c r="N133" i="30" s="1"/>
  <c r="B133" i="30"/>
  <c r="T132" i="30"/>
  <c r="P132" i="30"/>
  <c r="X132" i="30" s="1"/>
  <c r="Z132" i="30" s="1"/>
  <c r="H132" i="30"/>
  <c r="L132" i="30" s="1"/>
  <c r="N132" i="30" s="1"/>
  <c r="D132" i="30"/>
  <c r="B132" i="30"/>
  <c r="Z131" i="30"/>
  <c r="X131" i="30"/>
  <c r="N131" i="30"/>
  <c r="L131" i="30"/>
  <c r="B131" i="30"/>
  <c r="T130" i="30"/>
  <c r="X130" i="30" s="1"/>
  <c r="Z130" i="30" s="1"/>
  <c r="P130" i="30"/>
  <c r="N130" i="30"/>
  <c r="L130" i="30"/>
  <c r="H130" i="30"/>
  <c r="D130" i="30"/>
  <c r="B130" i="30"/>
  <c r="Z129" i="30"/>
  <c r="X129" i="30"/>
  <c r="N129" i="30"/>
  <c r="L129" i="30"/>
  <c r="B129" i="30"/>
  <c r="X128" i="30"/>
  <c r="Z128" i="30" s="1"/>
  <c r="N128" i="30"/>
  <c r="L128" i="30"/>
  <c r="B128" i="30"/>
  <c r="T127" i="30"/>
  <c r="P127" i="30"/>
  <c r="X127" i="30" s="1"/>
  <c r="Z127" i="30" s="1"/>
  <c r="H127" i="30"/>
  <c r="D127" i="30"/>
  <c r="B127" i="30"/>
  <c r="Z126" i="30"/>
  <c r="X126" i="30"/>
  <c r="N126" i="30"/>
  <c r="L126" i="30"/>
  <c r="B126" i="30"/>
  <c r="T125" i="30"/>
  <c r="P125" i="30"/>
  <c r="L125" i="30"/>
  <c r="H125" i="30"/>
  <c r="N125" i="30" s="1"/>
  <c r="D125" i="30"/>
  <c r="B125" i="30"/>
  <c r="Z124" i="30"/>
  <c r="X124" i="30"/>
  <c r="L124" i="30"/>
  <c r="N124" i="30" s="1"/>
  <c r="B124" i="30"/>
  <c r="X123" i="30"/>
  <c r="Z123" i="30" s="1"/>
  <c r="N123" i="30"/>
  <c r="L123" i="30"/>
  <c r="B123" i="30"/>
  <c r="T122" i="30"/>
  <c r="P122" i="30"/>
  <c r="X122" i="30" s="1"/>
  <c r="H122" i="30"/>
  <c r="D122" i="30"/>
  <c r="L122" i="30" s="1"/>
  <c r="N122" i="30" s="1"/>
  <c r="B122" i="30"/>
  <c r="X121" i="30"/>
  <c r="Z121" i="30" s="1"/>
  <c r="L121" i="30"/>
  <c r="N121" i="30" s="1"/>
  <c r="B121" i="30"/>
  <c r="Z120" i="30"/>
  <c r="X120" i="30"/>
  <c r="N120" i="30"/>
  <c r="L120" i="30"/>
  <c r="B120" i="30"/>
  <c r="X119" i="30"/>
  <c r="T119" i="30"/>
  <c r="Z119" i="30" s="1"/>
  <c r="P119" i="30"/>
  <c r="H119" i="30"/>
  <c r="D119" i="30"/>
  <c r="B119" i="30"/>
  <c r="Z118" i="30"/>
  <c r="X118" i="30"/>
  <c r="N118" i="30"/>
  <c r="L118" i="30"/>
  <c r="B118" i="30"/>
  <c r="T117" i="30"/>
  <c r="Z117" i="30" s="1"/>
  <c r="P117" i="30"/>
  <c r="X117" i="30" s="1"/>
  <c r="H117" i="30"/>
  <c r="D117" i="30"/>
  <c r="L117" i="30" s="1"/>
  <c r="N117" i="30" s="1"/>
  <c r="B117" i="30"/>
  <c r="Z116" i="30"/>
  <c r="X116" i="30"/>
  <c r="N116" i="30"/>
  <c r="L116" i="30"/>
  <c r="B116" i="30"/>
  <c r="Z115" i="30"/>
  <c r="T115" i="30"/>
  <c r="P115" i="30"/>
  <c r="X115" i="30" s="1"/>
  <c r="H115" i="30"/>
  <c r="N115" i="30" s="1"/>
  <c r="D115" i="30"/>
  <c r="L115" i="30" s="1"/>
  <c r="B115" i="30"/>
  <c r="Z114" i="30"/>
  <c r="X114" i="30"/>
  <c r="N114" i="30"/>
  <c r="L114" i="30"/>
  <c r="B114" i="30"/>
  <c r="X113" i="30"/>
  <c r="Z113" i="30" s="1"/>
  <c r="L113" i="30"/>
  <c r="N113" i="30" s="1"/>
  <c r="B113" i="30"/>
  <c r="X112" i="30"/>
  <c r="Z112" i="30" s="1"/>
  <c r="T112" i="30"/>
  <c r="P112" i="30"/>
  <c r="H112" i="30"/>
  <c r="D112" i="30"/>
  <c r="B112" i="30"/>
  <c r="X111" i="30"/>
  <c r="Z111" i="30" s="1"/>
  <c r="N111" i="30"/>
  <c r="L111" i="30"/>
  <c r="B111" i="30"/>
  <c r="T110" i="30"/>
  <c r="P110" i="30"/>
  <c r="H110" i="30"/>
  <c r="D110" i="30"/>
  <c r="L110" i="30" s="1"/>
  <c r="N110" i="30" s="1"/>
  <c r="B110" i="30"/>
  <c r="X109" i="30"/>
  <c r="Z109" i="30" s="1"/>
  <c r="L109" i="30"/>
  <c r="N109" i="30" s="1"/>
  <c r="B109" i="30"/>
  <c r="T108" i="30"/>
  <c r="P108" i="30"/>
  <c r="X108" i="30" s="1"/>
  <c r="Z108" i="30" s="1"/>
  <c r="H108" i="30"/>
  <c r="D108" i="30"/>
  <c r="L108" i="30" s="1"/>
  <c r="N108" i="30" s="1"/>
  <c r="B108" i="30"/>
  <c r="Z107" i="30"/>
  <c r="X107" i="30"/>
  <c r="L107" i="30"/>
  <c r="N107" i="30" s="1"/>
  <c r="B107" i="30"/>
  <c r="T106" i="30"/>
  <c r="P106" i="30"/>
  <c r="X106" i="30" s="1"/>
  <c r="Z106" i="30" s="1"/>
  <c r="L106" i="30"/>
  <c r="N106" i="30" s="1"/>
  <c r="H106" i="30"/>
  <c r="D106" i="30"/>
  <c r="B106" i="30"/>
  <c r="Z105" i="30"/>
  <c r="X105" i="30"/>
  <c r="N105" i="30"/>
  <c r="L105" i="30"/>
  <c r="B105" i="30"/>
  <c r="Z104" i="30"/>
  <c r="X104" i="30"/>
  <c r="N104" i="30"/>
  <c r="L104" i="30"/>
  <c r="B104" i="30"/>
  <c r="Z103" i="30"/>
  <c r="X103" i="30"/>
  <c r="N103" i="30"/>
  <c r="L103" i="30"/>
  <c r="B103" i="30"/>
  <c r="Z102" i="30"/>
  <c r="X102" i="30"/>
  <c r="N102" i="30"/>
  <c r="L102" i="30"/>
  <c r="B102" i="30"/>
  <c r="Z101" i="30"/>
  <c r="X101" i="30"/>
  <c r="N101" i="30"/>
  <c r="L101" i="30"/>
  <c r="B101" i="30"/>
  <c r="Z100" i="30"/>
  <c r="X100" i="30"/>
  <c r="N100" i="30"/>
  <c r="L100" i="30"/>
  <c r="B100" i="30"/>
  <c r="X99" i="30"/>
  <c r="Z99" i="30" s="1"/>
  <c r="N99" i="30"/>
  <c r="L99" i="30"/>
  <c r="B99" i="30"/>
  <c r="Z98" i="30"/>
  <c r="X98" i="30"/>
  <c r="N98" i="30"/>
  <c r="L98" i="30"/>
  <c r="B98" i="30"/>
  <c r="X97" i="30"/>
  <c r="Z97" i="30" s="1"/>
  <c r="L97" i="30"/>
  <c r="N97" i="30" s="1"/>
  <c r="B97" i="30"/>
  <c r="Z96" i="30"/>
  <c r="X96" i="30"/>
  <c r="N96" i="30"/>
  <c r="L96" i="30"/>
  <c r="B96" i="30"/>
  <c r="T95" i="30"/>
  <c r="P95" i="30"/>
  <c r="X95" i="30" s="1"/>
  <c r="Z95" i="30" s="1"/>
  <c r="H95" i="30"/>
  <c r="D95" i="30"/>
  <c r="B95" i="30"/>
  <c r="Z94" i="30"/>
  <c r="X94" i="30"/>
  <c r="N94" i="30"/>
  <c r="L94" i="30"/>
  <c r="B94" i="30"/>
  <c r="X93" i="30"/>
  <c r="Z93" i="30" s="1"/>
  <c r="L93" i="30"/>
  <c r="N93" i="30" s="1"/>
  <c r="B93" i="30"/>
  <c r="X92" i="30"/>
  <c r="Z92" i="30" s="1"/>
  <c r="L92" i="30"/>
  <c r="N92" i="30" s="1"/>
  <c r="B92" i="30"/>
  <c r="Z91" i="30"/>
  <c r="X91" i="30"/>
  <c r="N91" i="30"/>
  <c r="L91" i="30"/>
  <c r="B91" i="30"/>
  <c r="Z90" i="30"/>
  <c r="X90" i="30"/>
  <c r="N90" i="30"/>
  <c r="L90" i="30"/>
  <c r="B90" i="30"/>
  <c r="X89" i="30"/>
  <c r="Z89" i="30" s="1"/>
  <c r="L89" i="30"/>
  <c r="N89" i="30" s="1"/>
  <c r="B89" i="30"/>
  <c r="X88" i="30"/>
  <c r="Z88" i="30" s="1"/>
  <c r="L88" i="30"/>
  <c r="N88" i="30" s="1"/>
  <c r="B88" i="30"/>
  <c r="X87" i="30"/>
  <c r="Z87" i="30" s="1"/>
  <c r="N87" i="30"/>
  <c r="L87" i="30"/>
  <c r="B87" i="30"/>
  <c r="Z86" i="30"/>
  <c r="X86" i="30"/>
  <c r="N86" i="30"/>
  <c r="L86" i="30"/>
  <c r="B86" i="30"/>
  <c r="T85" i="30"/>
  <c r="Z85" i="30" s="1"/>
  <c r="P85" i="30"/>
  <c r="X85" i="30" s="1"/>
  <c r="H85" i="30"/>
  <c r="N85" i="30" s="1"/>
  <c r="D85" i="30"/>
  <c r="L85" i="30" s="1"/>
  <c r="B85" i="30"/>
  <c r="T84" i="30"/>
  <c r="P84" i="30"/>
  <c r="X84" i="30" s="1"/>
  <c r="Z84" i="30" s="1"/>
  <c r="H84" i="30"/>
  <c r="D84" i="30"/>
  <c r="L84" i="30" s="1"/>
  <c r="Z80" i="30"/>
  <c r="X80" i="30"/>
  <c r="N80" i="30"/>
  <c r="L80" i="30"/>
  <c r="B80" i="30"/>
  <c r="Z79" i="30"/>
  <c r="X79" i="30"/>
  <c r="N79" i="30"/>
  <c r="L79" i="30"/>
  <c r="B79" i="30"/>
  <c r="Z78" i="30"/>
  <c r="X78" i="30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T53" i="30"/>
  <c r="P53" i="30"/>
  <c r="X53" i="30" s="1"/>
  <c r="H53" i="30"/>
  <c r="D53" i="30"/>
  <c r="Z51" i="30"/>
  <c r="X51" i="30"/>
  <c r="P51" i="30"/>
  <c r="N51" i="30"/>
  <c r="D51" i="30"/>
  <c r="L51" i="30" s="1"/>
  <c r="B51" i="30"/>
  <c r="Z50" i="30"/>
  <c r="P50" i="30"/>
  <c r="X50" i="30" s="1"/>
  <c r="N50" i="30"/>
  <c r="L50" i="30"/>
  <c r="D50" i="30"/>
  <c r="B50" i="30"/>
  <c r="Z49" i="30"/>
  <c r="X49" i="30"/>
  <c r="P49" i="30"/>
  <c r="N49" i="30"/>
  <c r="D49" i="30"/>
  <c r="L49" i="30" s="1"/>
  <c r="B49" i="30"/>
  <c r="Z48" i="30"/>
  <c r="P48" i="30"/>
  <c r="X48" i="30" s="1"/>
  <c r="N48" i="30"/>
  <c r="D48" i="30"/>
  <c r="L48" i="30" s="1"/>
  <c r="B48" i="30"/>
  <c r="Z47" i="30"/>
  <c r="P47" i="30"/>
  <c r="X47" i="30" s="1"/>
  <c r="N47" i="30"/>
  <c r="D47" i="30"/>
  <c r="L47" i="30" s="1"/>
  <c r="B47" i="30"/>
  <c r="Z46" i="30"/>
  <c r="P46" i="30"/>
  <c r="X46" i="30" s="1"/>
  <c r="N46" i="30"/>
  <c r="L46" i="30"/>
  <c r="D46" i="30"/>
  <c r="B46" i="30"/>
  <c r="Z45" i="30"/>
  <c r="X45" i="30"/>
  <c r="P45" i="30"/>
  <c r="N45" i="30"/>
  <c r="L45" i="30"/>
  <c r="D45" i="30"/>
  <c r="B45" i="30"/>
  <c r="Z44" i="30"/>
  <c r="X44" i="30"/>
  <c r="P44" i="30"/>
  <c r="N44" i="30"/>
  <c r="L44" i="30"/>
  <c r="D44" i="30"/>
  <c r="B44" i="30"/>
  <c r="Z43" i="30"/>
  <c r="P43" i="30"/>
  <c r="X43" i="30" s="1"/>
  <c r="N43" i="30"/>
  <c r="D43" i="30"/>
  <c r="L43" i="30" s="1"/>
  <c r="B43" i="30"/>
  <c r="Z42" i="30"/>
  <c r="P42" i="30"/>
  <c r="X42" i="30" s="1"/>
  <c r="N42" i="30"/>
  <c r="L42" i="30"/>
  <c r="D42" i="30"/>
  <c r="B42" i="30"/>
  <c r="Z41" i="30"/>
  <c r="X41" i="30"/>
  <c r="P41" i="30"/>
  <c r="N41" i="30"/>
  <c r="D41" i="30"/>
  <c r="L41" i="30" s="1"/>
  <c r="B41" i="30"/>
  <c r="Z40" i="30"/>
  <c r="P40" i="30"/>
  <c r="X40" i="30" s="1"/>
  <c r="N40" i="30"/>
  <c r="L40" i="30"/>
  <c r="D40" i="30"/>
  <c r="B40" i="30"/>
  <c r="Z39" i="30"/>
  <c r="X39" i="30"/>
  <c r="P39" i="30"/>
  <c r="N39" i="30"/>
  <c r="D39" i="30"/>
  <c r="L39" i="30" s="1"/>
  <c r="B39" i="30"/>
  <c r="Z38" i="30"/>
  <c r="P38" i="30"/>
  <c r="X38" i="30" s="1"/>
  <c r="N38" i="30"/>
  <c r="L38" i="30"/>
  <c r="D38" i="30"/>
  <c r="B38" i="30"/>
  <c r="Z37" i="30"/>
  <c r="X37" i="30"/>
  <c r="P37" i="30"/>
  <c r="N37" i="30"/>
  <c r="L37" i="30"/>
  <c r="D37" i="30"/>
  <c r="B37" i="30"/>
  <c r="Z36" i="30"/>
  <c r="P36" i="30"/>
  <c r="X36" i="30" s="1"/>
  <c r="N36" i="30"/>
  <c r="D36" i="30"/>
  <c r="L36" i="30" s="1"/>
  <c r="B36" i="30"/>
  <c r="Z35" i="30"/>
  <c r="X35" i="30"/>
  <c r="P35" i="30"/>
  <c r="N35" i="30"/>
  <c r="D35" i="30"/>
  <c r="L35" i="30" s="1"/>
  <c r="B35" i="30"/>
  <c r="Z34" i="30"/>
  <c r="P34" i="30"/>
  <c r="X34" i="30" s="1"/>
  <c r="N34" i="30"/>
  <c r="L34" i="30"/>
  <c r="D34" i="30"/>
  <c r="B34" i="30"/>
  <c r="Z33" i="30"/>
  <c r="X33" i="30"/>
  <c r="P33" i="30"/>
  <c r="N33" i="30"/>
  <c r="D33" i="30"/>
  <c r="L33" i="30" s="1"/>
  <c r="B33" i="30"/>
  <c r="Z32" i="30"/>
  <c r="P32" i="30"/>
  <c r="X32" i="30" s="1"/>
  <c r="N32" i="30"/>
  <c r="L32" i="30"/>
  <c r="D32" i="30"/>
  <c r="B32" i="30"/>
  <c r="Z31" i="30"/>
  <c r="X31" i="30"/>
  <c r="P31" i="30"/>
  <c r="N31" i="30"/>
  <c r="D31" i="30"/>
  <c r="L31" i="30" s="1"/>
  <c r="B31" i="30"/>
  <c r="Z30" i="30"/>
  <c r="P30" i="30"/>
  <c r="X30" i="30" s="1"/>
  <c r="N30" i="30"/>
  <c r="L30" i="30"/>
  <c r="D30" i="30"/>
  <c r="B30" i="30"/>
  <c r="Z29" i="30"/>
  <c r="X29" i="30"/>
  <c r="P29" i="30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P27" i="30"/>
  <c r="X27" i="30" s="1"/>
  <c r="N27" i="30"/>
  <c r="D27" i="30"/>
  <c r="L27" i="30" s="1"/>
  <c r="B27" i="30"/>
  <c r="Z26" i="30"/>
  <c r="P26" i="30"/>
  <c r="X26" i="30" s="1"/>
  <c r="N26" i="30"/>
  <c r="L26" i="30"/>
  <c r="D26" i="30"/>
  <c r="B26" i="30"/>
  <c r="Z25" i="30"/>
  <c r="X25" i="30"/>
  <c r="P25" i="30"/>
  <c r="N25" i="30"/>
  <c r="D25" i="30"/>
  <c r="L25" i="30" s="1"/>
  <c r="B25" i="30"/>
  <c r="Z24" i="30"/>
  <c r="P24" i="30"/>
  <c r="X24" i="30" s="1"/>
  <c r="N24" i="30"/>
  <c r="L24" i="30"/>
  <c r="D24" i="30"/>
  <c r="B24" i="30"/>
  <c r="Z23" i="30"/>
  <c r="X23" i="30"/>
  <c r="P23" i="30"/>
  <c r="N23" i="30"/>
  <c r="D23" i="30"/>
  <c r="L23" i="30" s="1"/>
  <c r="B23" i="30"/>
  <c r="Z22" i="30"/>
  <c r="P22" i="30"/>
  <c r="X22" i="30" s="1"/>
  <c r="N22" i="30"/>
  <c r="L22" i="30"/>
  <c r="D22" i="30"/>
  <c r="B22" i="30"/>
  <c r="Z21" i="30"/>
  <c r="X21" i="30"/>
  <c r="P21" i="30"/>
  <c r="N21" i="30"/>
  <c r="L21" i="30"/>
  <c r="D21" i="30"/>
  <c r="B21" i="30"/>
  <c r="Z20" i="30"/>
  <c r="P20" i="30"/>
  <c r="X20" i="30" s="1"/>
  <c r="N20" i="30"/>
  <c r="D20" i="30"/>
  <c r="L20" i="30" s="1"/>
  <c r="B20" i="30"/>
  <c r="Z19" i="30"/>
  <c r="X19" i="30"/>
  <c r="P19" i="30"/>
  <c r="N19" i="30"/>
  <c r="D19" i="30"/>
  <c r="L19" i="30" s="1"/>
  <c r="B19" i="30"/>
  <c r="Z18" i="30"/>
  <c r="P18" i="30"/>
  <c r="X18" i="30" s="1"/>
  <c r="N18" i="30"/>
  <c r="L18" i="30"/>
  <c r="D18" i="30"/>
  <c r="B18" i="30"/>
  <c r="Z17" i="30"/>
  <c r="X17" i="30"/>
  <c r="P17" i="30"/>
  <c r="N17" i="30"/>
  <c r="D17" i="30"/>
  <c r="L17" i="30" s="1"/>
  <c r="B17" i="30"/>
  <c r="Z16" i="30"/>
  <c r="P16" i="30"/>
  <c r="X16" i="30" s="1"/>
  <c r="N16" i="30"/>
  <c r="L16" i="30"/>
  <c r="D16" i="30"/>
  <c r="B16" i="30"/>
  <c r="Z15" i="30"/>
  <c r="X15" i="30"/>
  <c r="P15" i="30"/>
  <c r="N15" i="30"/>
  <c r="D15" i="30"/>
  <c r="L15" i="30" s="1"/>
  <c r="B15" i="30"/>
  <c r="Z14" i="30"/>
  <c r="P14" i="30"/>
  <c r="N14" i="30"/>
  <c r="L14" i="30"/>
  <c r="D14" i="30"/>
  <c r="B14" i="30"/>
  <c r="Z13" i="30"/>
  <c r="X13" i="30"/>
  <c r="P13" i="30"/>
  <c r="D13" i="30"/>
  <c r="B13" i="30"/>
  <c r="T12" i="30"/>
  <c r="V74" i="30" s="1"/>
  <c r="H12" i="30"/>
  <c r="J74" i="30" s="1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1" i="29" s="1"/>
  <c r="P12" i="29"/>
  <c r="R36" i="29" s="1"/>
  <c r="H12" i="29"/>
  <c r="J20" i="29" s="1"/>
  <c r="D12" i="29"/>
  <c r="F34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D15" i="28"/>
  <c r="T13" i="28"/>
  <c r="Z13" i="28" s="1"/>
  <c r="P13" i="28"/>
  <c r="H13" i="28"/>
  <c r="N13" i="28" s="1"/>
  <c r="D13" i="28"/>
  <c r="B13" i="28"/>
  <c r="T12" i="28"/>
  <c r="V22" i="28" s="1"/>
  <c r="P12" i="28"/>
  <c r="R36" i="28" s="1"/>
  <c r="H12" i="28"/>
  <c r="J20" i="28" s="1"/>
  <c r="D12" i="28"/>
  <c r="F31" i="28" s="1"/>
  <c r="D5" i="28"/>
  <c r="D4" i="28"/>
  <c r="X123" i="27"/>
  <c r="Z123" i="27" s="1"/>
  <c r="L123" i="27"/>
  <c r="N123" i="27" s="1"/>
  <c r="Z119" i="27"/>
  <c r="X119" i="27"/>
  <c r="P119" i="27"/>
  <c r="N119" i="27"/>
  <c r="D119" i="27"/>
  <c r="L119" i="27" s="1"/>
  <c r="B119" i="27"/>
  <c r="X118" i="27"/>
  <c r="Z118" i="27" s="1"/>
  <c r="P118" i="27"/>
  <c r="D118" i="27"/>
  <c r="L118" i="27" s="1"/>
  <c r="N118" i="27" s="1"/>
  <c r="B118" i="27"/>
  <c r="P117" i="27"/>
  <c r="X117" i="27" s="1"/>
  <c r="Z117" i="27" s="1"/>
  <c r="L117" i="27"/>
  <c r="N117" i="27" s="1"/>
  <c r="D117" i="27"/>
  <c r="B117" i="27"/>
  <c r="T116" i="27"/>
  <c r="Z116" i="27" s="1"/>
  <c r="P116" i="27"/>
  <c r="X116" i="27" s="1"/>
  <c r="H116" i="27"/>
  <c r="N116" i="27" s="1"/>
  <c r="D116" i="27"/>
  <c r="L116" i="27" s="1"/>
  <c r="Z114" i="27"/>
  <c r="X114" i="27"/>
  <c r="N114" i="27"/>
  <c r="L114" i="27"/>
  <c r="B114" i="27"/>
  <c r="T113" i="27"/>
  <c r="Z113" i="27" s="1"/>
  <c r="P113" i="27"/>
  <c r="X113" i="27" s="1"/>
  <c r="N113" i="27"/>
  <c r="H113" i="27"/>
  <c r="D113" i="27"/>
  <c r="L113" i="27" s="1"/>
  <c r="B113" i="27"/>
  <c r="X112" i="27"/>
  <c r="Z112" i="27" s="1"/>
  <c r="N112" i="27"/>
  <c r="L112" i="27"/>
  <c r="B112" i="27"/>
  <c r="T111" i="27"/>
  <c r="P111" i="27"/>
  <c r="X111" i="27" s="1"/>
  <c r="Z111" i="27" s="1"/>
  <c r="H111" i="27"/>
  <c r="N111" i="27" s="1"/>
  <c r="D111" i="27"/>
  <c r="B111" i="27"/>
  <c r="Z110" i="27"/>
  <c r="X110" i="27"/>
  <c r="N110" i="27"/>
  <c r="L110" i="27"/>
  <c r="B110" i="27"/>
  <c r="Z109" i="27"/>
  <c r="X109" i="27"/>
  <c r="N109" i="27"/>
  <c r="L109" i="27"/>
  <c r="B109" i="27"/>
  <c r="X108" i="27"/>
  <c r="Z108" i="27" s="1"/>
  <c r="T108" i="27"/>
  <c r="P108" i="27"/>
  <c r="H108" i="27"/>
  <c r="L108" i="27" s="1"/>
  <c r="D108" i="27"/>
  <c r="B108" i="27"/>
  <c r="Z107" i="27"/>
  <c r="X107" i="27"/>
  <c r="N107" i="27"/>
  <c r="L107" i="27"/>
  <c r="B107" i="27"/>
  <c r="Z106" i="27"/>
  <c r="X106" i="27"/>
  <c r="N106" i="27"/>
  <c r="L106" i="27"/>
  <c r="B106" i="27"/>
  <c r="Z105" i="27"/>
  <c r="X105" i="27"/>
  <c r="L105" i="27"/>
  <c r="N105" i="27" s="1"/>
  <c r="B105" i="27"/>
  <c r="X104" i="27"/>
  <c r="T104" i="27"/>
  <c r="Z104" i="27" s="1"/>
  <c r="P104" i="27"/>
  <c r="H104" i="27"/>
  <c r="L104" i="27" s="1"/>
  <c r="D104" i="27"/>
  <c r="B104" i="27"/>
  <c r="Z103" i="27"/>
  <c r="X103" i="27"/>
  <c r="N103" i="27"/>
  <c r="L103" i="27"/>
  <c r="B103" i="27"/>
  <c r="Z102" i="27"/>
  <c r="X102" i="27"/>
  <c r="L102" i="27"/>
  <c r="N102" i="27" s="1"/>
  <c r="B102" i="27"/>
  <c r="T101" i="27"/>
  <c r="P101" i="27"/>
  <c r="X101" i="27" s="1"/>
  <c r="Z101" i="27" s="1"/>
  <c r="N101" i="27"/>
  <c r="L101" i="27"/>
  <c r="H101" i="27"/>
  <c r="D101" i="27"/>
  <c r="B101" i="27"/>
  <c r="X100" i="27"/>
  <c r="Z100" i="27" s="1"/>
  <c r="L100" i="27"/>
  <c r="N100" i="27" s="1"/>
  <c r="B100" i="27"/>
  <c r="Z99" i="27"/>
  <c r="X99" i="27"/>
  <c r="N99" i="27"/>
  <c r="L99" i="27"/>
  <c r="B99" i="27"/>
  <c r="Z98" i="27"/>
  <c r="X98" i="27"/>
  <c r="N98" i="27"/>
  <c r="L98" i="27"/>
  <c r="B98" i="27"/>
  <c r="T97" i="27"/>
  <c r="P97" i="27"/>
  <c r="X97" i="27" s="1"/>
  <c r="N97" i="27"/>
  <c r="L97" i="27"/>
  <c r="H97" i="27"/>
  <c r="D97" i="27"/>
  <c r="B97" i="27"/>
  <c r="X96" i="27"/>
  <c r="Z96" i="27" s="1"/>
  <c r="L96" i="27"/>
  <c r="N96" i="27" s="1"/>
  <c r="B96" i="27"/>
  <c r="Z95" i="27"/>
  <c r="X95" i="27"/>
  <c r="T95" i="27"/>
  <c r="P95" i="27"/>
  <c r="L95" i="27"/>
  <c r="H95" i="27"/>
  <c r="N95" i="27" s="1"/>
  <c r="D95" i="27"/>
  <c r="B95" i="27"/>
  <c r="Z94" i="27"/>
  <c r="X94" i="27"/>
  <c r="N94" i="27"/>
  <c r="L94" i="27"/>
  <c r="B94" i="27"/>
  <c r="X93" i="27"/>
  <c r="Z93" i="27" s="1"/>
  <c r="N93" i="27"/>
  <c r="L93" i="27"/>
  <c r="B93" i="27"/>
  <c r="T92" i="27"/>
  <c r="P92" i="27"/>
  <c r="X92" i="27" s="1"/>
  <c r="Z92" i="27" s="1"/>
  <c r="H92" i="27"/>
  <c r="N92" i="27" s="1"/>
  <c r="D92" i="27"/>
  <c r="B92" i="27"/>
  <c r="Z91" i="27"/>
  <c r="X91" i="27"/>
  <c r="N91" i="27"/>
  <c r="L91" i="27"/>
  <c r="B91" i="27"/>
  <c r="X90" i="27"/>
  <c r="Z90" i="27" s="1"/>
  <c r="N90" i="27"/>
  <c r="L90" i="27"/>
  <c r="B90" i="27"/>
  <c r="T89" i="27"/>
  <c r="P89" i="27"/>
  <c r="L89" i="27"/>
  <c r="N89" i="27" s="1"/>
  <c r="H89" i="27"/>
  <c r="D89" i="27"/>
  <c r="B89" i="27"/>
  <c r="X88" i="27"/>
  <c r="Z88" i="27" s="1"/>
  <c r="L88" i="27"/>
  <c r="N88" i="27" s="1"/>
  <c r="B88" i="27"/>
  <c r="X87" i="27"/>
  <c r="Z87" i="27" s="1"/>
  <c r="T87" i="27"/>
  <c r="P87" i="27"/>
  <c r="H87" i="27"/>
  <c r="D87" i="27"/>
  <c r="L87" i="27" s="1"/>
  <c r="B87" i="27"/>
  <c r="Z86" i="27"/>
  <c r="X86" i="27"/>
  <c r="N86" i="27"/>
  <c r="L86" i="27"/>
  <c r="B86" i="27"/>
  <c r="T85" i="27"/>
  <c r="P85" i="27"/>
  <c r="X85" i="27" s="1"/>
  <c r="H85" i="27"/>
  <c r="D85" i="27"/>
  <c r="L85" i="27" s="1"/>
  <c r="N85" i="27" s="1"/>
  <c r="B85" i="27"/>
  <c r="Z84" i="27"/>
  <c r="X84" i="27"/>
  <c r="N84" i="27"/>
  <c r="L84" i="27"/>
  <c r="B84" i="27"/>
  <c r="Z83" i="27"/>
  <c r="X83" i="27"/>
  <c r="L83" i="27"/>
  <c r="N83" i="27" s="1"/>
  <c r="B83" i="27"/>
  <c r="T82" i="27"/>
  <c r="Z82" i="27" s="1"/>
  <c r="P82" i="27"/>
  <c r="X82" i="27" s="1"/>
  <c r="H82" i="27"/>
  <c r="D82" i="27"/>
  <c r="L82" i="27" s="1"/>
  <c r="N82" i="27" s="1"/>
  <c r="B82" i="27"/>
  <c r="X81" i="27"/>
  <c r="Z81" i="27" s="1"/>
  <c r="L81" i="27"/>
  <c r="N81" i="27" s="1"/>
  <c r="B81" i="27"/>
  <c r="T80" i="27"/>
  <c r="P80" i="27"/>
  <c r="X80" i="27" s="1"/>
  <c r="Z80" i="27" s="1"/>
  <c r="H80" i="27"/>
  <c r="L80" i="27" s="1"/>
  <c r="N80" i="27" s="1"/>
  <c r="D80" i="27"/>
  <c r="B80" i="27"/>
  <c r="Z79" i="27"/>
  <c r="X79" i="27"/>
  <c r="N79" i="27"/>
  <c r="L79" i="27"/>
  <c r="B79" i="27"/>
  <c r="Z78" i="27"/>
  <c r="X78" i="27"/>
  <c r="N78" i="27"/>
  <c r="L78" i="27"/>
  <c r="B78" i="27"/>
  <c r="X77" i="27"/>
  <c r="Z77" i="27" s="1"/>
  <c r="N77" i="27"/>
  <c r="L77" i="27"/>
  <c r="B77" i="27"/>
  <c r="X76" i="27"/>
  <c r="Z76" i="27" s="1"/>
  <c r="L76" i="27"/>
  <c r="N76" i="27" s="1"/>
  <c r="B76" i="27"/>
  <c r="Z75" i="27"/>
  <c r="X75" i="27"/>
  <c r="N75" i="27"/>
  <c r="L75" i="27"/>
  <c r="B75" i="27"/>
  <c r="Z74" i="27"/>
  <c r="X74" i="27"/>
  <c r="N74" i="27"/>
  <c r="L74" i="27"/>
  <c r="B74" i="27"/>
  <c r="Z73" i="27"/>
  <c r="X73" i="27"/>
  <c r="L73" i="27"/>
  <c r="N73" i="27" s="1"/>
  <c r="B73" i="27"/>
  <c r="Z72" i="27"/>
  <c r="X72" i="27"/>
  <c r="N72" i="27"/>
  <c r="L72" i="27"/>
  <c r="B72" i="27"/>
  <c r="X71" i="27"/>
  <c r="Z71" i="27" s="1"/>
  <c r="N71" i="27"/>
  <c r="L71" i="27"/>
  <c r="B71" i="27"/>
  <c r="Z70" i="27"/>
  <c r="X70" i="27"/>
  <c r="N70" i="27"/>
  <c r="L70" i="27"/>
  <c r="B70" i="27"/>
  <c r="X69" i="27"/>
  <c r="Z69" i="27" s="1"/>
  <c r="T69" i="27"/>
  <c r="P69" i="27"/>
  <c r="L69" i="27"/>
  <c r="N69" i="27" s="1"/>
  <c r="H69" i="27"/>
  <c r="D69" i="27"/>
  <c r="B69" i="27"/>
  <c r="X68" i="27"/>
  <c r="Z68" i="27" s="1"/>
  <c r="N68" i="27"/>
  <c r="L68" i="27"/>
  <c r="B68" i="27"/>
  <c r="X67" i="27"/>
  <c r="Z67" i="27" s="1"/>
  <c r="N67" i="27"/>
  <c r="L67" i="27"/>
  <c r="B67" i="27"/>
  <c r="Z66" i="27"/>
  <c r="X66" i="27"/>
  <c r="N66" i="27"/>
  <c r="L66" i="27"/>
  <c r="B66" i="27"/>
  <c r="Z65" i="27"/>
  <c r="X65" i="27"/>
  <c r="N65" i="27"/>
  <c r="L65" i="27"/>
  <c r="B65" i="27"/>
  <c r="Z64" i="27"/>
  <c r="X64" i="27"/>
  <c r="N64" i="27"/>
  <c r="L64" i="27"/>
  <c r="B64" i="27"/>
  <c r="Z63" i="27"/>
  <c r="X63" i="27"/>
  <c r="L63" i="27"/>
  <c r="N63" i="27" s="1"/>
  <c r="B63" i="27"/>
  <c r="Z62" i="27"/>
  <c r="X62" i="27"/>
  <c r="N62" i="27"/>
  <c r="L62" i="27"/>
  <c r="B62" i="27"/>
  <c r="Z61" i="27"/>
  <c r="X61" i="27"/>
  <c r="L61" i="27"/>
  <c r="N61" i="27" s="1"/>
  <c r="B61" i="27"/>
  <c r="X60" i="27"/>
  <c r="Z60" i="27" s="1"/>
  <c r="N60" i="27"/>
  <c r="L60" i="27"/>
  <c r="B60" i="27"/>
  <c r="X59" i="27"/>
  <c r="Z59" i="27" s="1"/>
  <c r="N59" i="27"/>
  <c r="L59" i="27"/>
  <c r="B59" i="27"/>
  <c r="T58" i="27"/>
  <c r="P58" i="27"/>
  <c r="X58" i="27" s="1"/>
  <c r="Z58" i="27" s="1"/>
  <c r="L58" i="27"/>
  <c r="H58" i="27"/>
  <c r="N58" i="27" s="1"/>
  <c r="D58" i="27"/>
  <c r="B58" i="27"/>
  <c r="T57" i="27"/>
  <c r="P57" i="27"/>
  <c r="H57" i="27"/>
  <c r="D57" i="27"/>
  <c r="L57" i="27" s="1"/>
  <c r="Z53" i="27"/>
  <c r="X53" i="27"/>
  <c r="N53" i="27"/>
  <c r="L53" i="27"/>
  <c r="B53" i="27"/>
  <c r="Z52" i="27"/>
  <c r="X52" i="27"/>
  <c r="V52" i="27"/>
  <c r="N52" i="27"/>
  <c r="L52" i="27"/>
  <c r="B52" i="27"/>
  <c r="Z51" i="27"/>
  <c r="X51" i="27"/>
  <c r="N51" i="27"/>
  <c r="L51" i="27"/>
  <c r="B51" i="27"/>
  <c r="Z50" i="27"/>
  <c r="X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N46" i="27"/>
  <c r="L46" i="27"/>
  <c r="B46" i="27"/>
  <c r="Z45" i="27"/>
  <c r="X45" i="27"/>
  <c r="N45" i="27"/>
  <c r="L45" i="27"/>
  <c r="B45" i="27"/>
  <c r="Z44" i="27"/>
  <c r="X44" i="27"/>
  <c r="V44" i="27"/>
  <c r="N44" i="27"/>
  <c r="L44" i="27"/>
  <c r="B44" i="27"/>
  <c r="Z43" i="27"/>
  <c r="X43" i="27"/>
  <c r="N43" i="27"/>
  <c r="L43" i="27"/>
  <c r="B43" i="27"/>
  <c r="Z42" i="27"/>
  <c r="X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B40" i="27"/>
  <c r="Z39" i="27"/>
  <c r="X39" i="27"/>
  <c r="N39" i="27"/>
  <c r="L39" i="27"/>
  <c r="B39" i="27"/>
  <c r="Z38" i="27"/>
  <c r="X38" i="27"/>
  <c r="N38" i="27"/>
  <c r="L38" i="27"/>
  <c r="B38" i="27"/>
  <c r="T37" i="27"/>
  <c r="P37" i="27"/>
  <c r="H37" i="27"/>
  <c r="N37" i="27" s="1"/>
  <c r="D37" i="27"/>
  <c r="L37" i="27" s="1"/>
  <c r="Z35" i="27"/>
  <c r="X35" i="27"/>
  <c r="P35" i="27"/>
  <c r="N35" i="27"/>
  <c r="D35" i="27"/>
  <c r="L35" i="27" s="1"/>
  <c r="B35" i="27"/>
  <c r="Z34" i="27"/>
  <c r="P34" i="27"/>
  <c r="X34" i="27" s="1"/>
  <c r="N34" i="27"/>
  <c r="L34" i="27"/>
  <c r="D34" i="27"/>
  <c r="B34" i="27"/>
  <c r="Z33" i="27"/>
  <c r="X33" i="27"/>
  <c r="P33" i="27"/>
  <c r="N33" i="27"/>
  <c r="D33" i="27"/>
  <c r="L33" i="27" s="1"/>
  <c r="B33" i="27"/>
  <c r="Z32" i="27"/>
  <c r="P32" i="27"/>
  <c r="X32" i="27" s="1"/>
  <c r="N32" i="27"/>
  <c r="L32" i="27"/>
  <c r="D32" i="27"/>
  <c r="B32" i="27"/>
  <c r="Z31" i="27"/>
  <c r="X31" i="27"/>
  <c r="P31" i="27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X29" i="27"/>
  <c r="P29" i="27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P26" i="27"/>
  <c r="X26" i="27" s="1"/>
  <c r="N26" i="27"/>
  <c r="L26" i="27"/>
  <c r="D26" i="27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L24" i="27"/>
  <c r="D24" i="27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D21" i="27"/>
  <c r="L21" i="27" s="1"/>
  <c r="B21" i="27"/>
  <c r="Z20" i="27"/>
  <c r="P20" i="27"/>
  <c r="X20" i="27" s="1"/>
  <c r="N20" i="27"/>
  <c r="L20" i="27"/>
  <c r="D20" i="27"/>
  <c r="B20" i="27"/>
  <c r="Z19" i="27"/>
  <c r="X19" i="27"/>
  <c r="P19" i="27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X15" i="27"/>
  <c r="P15" i="27"/>
  <c r="N15" i="27"/>
  <c r="D15" i="27"/>
  <c r="L15" i="27" s="1"/>
  <c r="B15" i="27"/>
  <c r="Z14" i="27"/>
  <c r="P14" i="27"/>
  <c r="X14" i="27" s="1"/>
  <c r="N14" i="27"/>
  <c r="L14" i="27"/>
  <c r="D14" i="27"/>
  <c r="B14" i="27"/>
  <c r="X13" i="27"/>
  <c r="Z13" i="27" s="1"/>
  <c r="P13" i="27"/>
  <c r="D13" i="27"/>
  <c r="L13" i="27" s="1"/>
  <c r="N13" i="27" s="1"/>
  <c r="B13" i="27"/>
  <c r="T12" i="27"/>
  <c r="V123" i="27" s="1"/>
  <c r="H12" i="27"/>
  <c r="J113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1" i="26" s="1"/>
  <c r="P12" i="26"/>
  <c r="R34" i="26" s="1"/>
  <c r="H12" i="26"/>
  <c r="J36" i="26" s="1"/>
  <c r="D12" i="26"/>
  <c r="F21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4" i="25" s="1"/>
  <c r="P12" i="25"/>
  <c r="R20" i="25" s="1"/>
  <c r="H12" i="25"/>
  <c r="J18" i="25" s="1"/>
  <c r="D12" i="25"/>
  <c r="F24" i="25" s="1"/>
  <c r="D5" i="25"/>
  <c r="D4" i="25"/>
  <c r="X110" i="24"/>
  <c r="Z110" i="24" s="1"/>
  <c r="L110" i="24"/>
  <c r="N110" i="24" s="1"/>
  <c r="Z106" i="24"/>
  <c r="X106" i="24"/>
  <c r="T106" i="24"/>
  <c r="P106" i="24"/>
  <c r="L106" i="24"/>
  <c r="H106" i="24"/>
  <c r="N106" i="24" s="1"/>
  <c r="D106" i="24"/>
  <c r="X104" i="24"/>
  <c r="Z104" i="24" s="1"/>
  <c r="N104" i="24"/>
  <c r="L104" i="24"/>
  <c r="B104" i="24"/>
  <c r="T103" i="24"/>
  <c r="P103" i="24"/>
  <c r="X103" i="24" s="1"/>
  <c r="N103" i="24"/>
  <c r="H103" i="24"/>
  <c r="D103" i="24"/>
  <c r="L103" i="24" s="1"/>
  <c r="B103" i="24"/>
  <c r="Z102" i="24"/>
  <c r="X102" i="24"/>
  <c r="N102" i="24"/>
  <c r="L102" i="24"/>
  <c r="B102" i="24"/>
  <c r="X101" i="24"/>
  <c r="Z101" i="24" s="1"/>
  <c r="N101" i="24"/>
  <c r="L101" i="24"/>
  <c r="B101" i="24"/>
  <c r="T100" i="24"/>
  <c r="Z100" i="24" s="1"/>
  <c r="P100" i="24"/>
  <c r="X100" i="24" s="1"/>
  <c r="H100" i="24"/>
  <c r="D100" i="24"/>
  <c r="L100" i="24" s="1"/>
  <c r="N100" i="24" s="1"/>
  <c r="B100" i="24"/>
  <c r="Z99" i="24"/>
  <c r="X99" i="24"/>
  <c r="N99" i="24"/>
  <c r="L99" i="24"/>
  <c r="B99" i="24"/>
  <c r="X98" i="24"/>
  <c r="Z98" i="24" s="1"/>
  <c r="L98" i="24"/>
  <c r="N98" i="24" s="1"/>
  <c r="B98" i="24"/>
  <c r="Z97" i="24"/>
  <c r="X97" i="24"/>
  <c r="N97" i="24"/>
  <c r="L97" i="24"/>
  <c r="B97" i="24"/>
  <c r="Z96" i="24"/>
  <c r="X96" i="24"/>
  <c r="L96" i="24"/>
  <c r="N96" i="24" s="1"/>
  <c r="B96" i="24"/>
  <c r="T95" i="24"/>
  <c r="Z95" i="24" s="1"/>
  <c r="P95" i="24"/>
  <c r="X95" i="24" s="1"/>
  <c r="H95" i="24"/>
  <c r="D95" i="24"/>
  <c r="L95" i="24" s="1"/>
  <c r="N95" i="24" s="1"/>
  <c r="B95" i="24"/>
  <c r="X94" i="24"/>
  <c r="Z94" i="24" s="1"/>
  <c r="L94" i="24"/>
  <c r="N94" i="24" s="1"/>
  <c r="B94" i="24"/>
  <c r="Z93" i="24"/>
  <c r="X93" i="24"/>
  <c r="N93" i="24"/>
  <c r="L93" i="24"/>
  <c r="B93" i="24"/>
  <c r="T92" i="24"/>
  <c r="Z92" i="24" s="1"/>
  <c r="P92" i="24"/>
  <c r="X92" i="24" s="1"/>
  <c r="H92" i="24"/>
  <c r="D92" i="24"/>
  <c r="L92" i="24" s="1"/>
  <c r="N92" i="24" s="1"/>
  <c r="B92" i="24"/>
  <c r="Z91" i="24"/>
  <c r="X91" i="24"/>
  <c r="N91" i="24"/>
  <c r="L91" i="24"/>
  <c r="B91" i="24"/>
  <c r="Z90" i="24"/>
  <c r="X90" i="24"/>
  <c r="N90" i="24"/>
  <c r="L90" i="24"/>
  <c r="B90" i="24"/>
  <c r="T89" i="24"/>
  <c r="P89" i="24"/>
  <c r="X89" i="24" s="1"/>
  <c r="Z89" i="24" s="1"/>
  <c r="N89" i="24"/>
  <c r="L89" i="24"/>
  <c r="H89" i="24"/>
  <c r="D89" i="24"/>
  <c r="B89" i="24"/>
  <c r="X88" i="24"/>
  <c r="Z88" i="24" s="1"/>
  <c r="N88" i="24"/>
  <c r="L88" i="24"/>
  <c r="B88" i="24"/>
  <c r="Z87" i="24"/>
  <c r="X87" i="24"/>
  <c r="T87" i="24"/>
  <c r="P87" i="24"/>
  <c r="N87" i="24"/>
  <c r="L87" i="24"/>
  <c r="H87" i="24"/>
  <c r="D87" i="24"/>
  <c r="B87" i="24"/>
  <c r="X86" i="24"/>
  <c r="Z86" i="24" s="1"/>
  <c r="N86" i="24"/>
  <c r="L86" i="24"/>
  <c r="B86" i="24"/>
  <c r="Z85" i="24"/>
  <c r="X85" i="24"/>
  <c r="T85" i="24"/>
  <c r="P85" i="24"/>
  <c r="H85" i="24"/>
  <c r="N85" i="24" s="1"/>
  <c r="D85" i="24"/>
  <c r="L85" i="24" s="1"/>
  <c r="B85" i="24"/>
  <c r="Z84" i="24"/>
  <c r="X84" i="24"/>
  <c r="L84" i="24"/>
  <c r="N84" i="24" s="1"/>
  <c r="B84" i="24"/>
  <c r="T83" i="24"/>
  <c r="P83" i="24"/>
  <c r="X83" i="24" s="1"/>
  <c r="H83" i="24"/>
  <c r="D83" i="24"/>
  <c r="L83" i="24" s="1"/>
  <c r="N83" i="24" s="1"/>
  <c r="B83" i="24"/>
  <c r="Z82" i="24"/>
  <c r="X82" i="24"/>
  <c r="N82" i="24"/>
  <c r="L82" i="24"/>
  <c r="B82" i="24"/>
  <c r="Z81" i="24"/>
  <c r="X81" i="24"/>
  <c r="N81" i="24"/>
  <c r="L81" i="24"/>
  <c r="B81" i="24"/>
  <c r="T80" i="24"/>
  <c r="Z80" i="24" s="1"/>
  <c r="P80" i="24"/>
  <c r="X80" i="24" s="1"/>
  <c r="H80" i="24"/>
  <c r="D80" i="24"/>
  <c r="L80" i="24" s="1"/>
  <c r="N80" i="24" s="1"/>
  <c r="B80" i="24"/>
  <c r="Z79" i="24"/>
  <c r="X79" i="24"/>
  <c r="L79" i="24"/>
  <c r="N79" i="24" s="1"/>
  <c r="B79" i="24"/>
  <c r="T78" i="24"/>
  <c r="P78" i="24"/>
  <c r="X78" i="24" s="1"/>
  <c r="Z78" i="24" s="1"/>
  <c r="L78" i="24"/>
  <c r="N78" i="24" s="1"/>
  <c r="H78" i="24"/>
  <c r="D78" i="24"/>
  <c r="B78" i="24"/>
  <c r="Z77" i="24"/>
  <c r="X77" i="24"/>
  <c r="N77" i="24"/>
  <c r="L77" i="24"/>
  <c r="B77" i="24"/>
  <c r="Z76" i="24"/>
  <c r="X76" i="24"/>
  <c r="T76" i="24"/>
  <c r="P76" i="24"/>
  <c r="L76" i="24"/>
  <c r="H76" i="24"/>
  <c r="N76" i="24" s="1"/>
  <c r="D76" i="24"/>
  <c r="B76" i="24"/>
  <c r="X75" i="24"/>
  <c r="Z75" i="24" s="1"/>
  <c r="N75" i="24"/>
  <c r="L75" i="24"/>
  <c r="B75" i="24"/>
  <c r="X74" i="24"/>
  <c r="T74" i="24"/>
  <c r="Z74" i="24" s="1"/>
  <c r="P74" i="24"/>
  <c r="H74" i="24"/>
  <c r="D74" i="24"/>
  <c r="L74" i="24" s="1"/>
  <c r="B74" i="24"/>
  <c r="Z73" i="24"/>
  <c r="X73" i="24"/>
  <c r="N73" i="24"/>
  <c r="L73" i="24"/>
  <c r="B73" i="24"/>
  <c r="Z72" i="24"/>
  <c r="X72" i="24"/>
  <c r="N72" i="24"/>
  <c r="L72" i="24"/>
  <c r="B72" i="24"/>
  <c r="Z71" i="24"/>
  <c r="X71" i="24"/>
  <c r="N71" i="24"/>
  <c r="L71" i="24"/>
  <c r="B71" i="24"/>
  <c r="X70" i="24"/>
  <c r="Z70" i="24" s="1"/>
  <c r="L70" i="24"/>
  <c r="N70" i="24" s="1"/>
  <c r="B70" i="24"/>
  <c r="Z69" i="24"/>
  <c r="X69" i="24"/>
  <c r="N69" i="24"/>
  <c r="L69" i="24"/>
  <c r="B69" i="24"/>
  <c r="X68" i="24"/>
  <c r="Z68" i="24" s="1"/>
  <c r="N68" i="24"/>
  <c r="L68" i="24"/>
  <c r="B68" i="24"/>
  <c r="Z67" i="24"/>
  <c r="X67" i="24"/>
  <c r="N67" i="24"/>
  <c r="L67" i="24"/>
  <c r="B67" i="24"/>
  <c r="Z66" i="24"/>
  <c r="X66" i="24"/>
  <c r="N66" i="24"/>
  <c r="L66" i="24"/>
  <c r="B66" i="24"/>
  <c r="Z65" i="24"/>
  <c r="X65" i="24"/>
  <c r="N65" i="24"/>
  <c r="L65" i="24"/>
  <c r="B65" i="24"/>
  <c r="X64" i="24"/>
  <c r="Z64" i="24" s="1"/>
  <c r="L64" i="24"/>
  <c r="N64" i="24" s="1"/>
  <c r="B64" i="24"/>
  <c r="T63" i="24"/>
  <c r="P63" i="24"/>
  <c r="X63" i="24" s="1"/>
  <c r="H63" i="24"/>
  <c r="D63" i="24"/>
  <c r="L63" i="24" s="1"/>
  <c r="N63" i="24" s="1"/>
  <c r="B63" i="24"/>
  <c r="X62" i="24"/>
  <c r="Z62" i="24" s="1"/>
  <c r="L62" i="24"/>
  <c r="N62" i="24" s="1"/>
  <c r="B62" i="24"/>
  <c r="Z61" i="24"/>
  <c r="X61" i="24"/>
  <c r="N61" i="24"/>
  <c r="L61" i="24"/>
  <c r="B61" i="24"/>
  <c r="Z60" i="24"/>
  <c r="X60" i="24"/>
  <c r="N60" i="24"/>
  <c r="L60" i="24"/>
  <c r="B60" i="24"/>
  <c r="Z59" i="24"/>
  <c r="X59" i="24"/>
  <c r="N59" i="24"/>
  <c r="L59" i="24"/>
  <c r="B59" i="24"/>
  <c r="X58" i="24"/>
  <c r="Z58" i="24" s="1"/>
  <c r="L58" i="24"/>
  <c r="N58" i="24" s="1"/>
  <c r="B58" i="24"/>
  <c r="Z57" i="24"/>
  <c r="X57" i="24"/>
  <c r="N57" i="24"/>
  <c r="L57" i="24"/>
  <c r="B57" i="24"/>
  <c r="X56" i="24"/>
  <c r="Z56" i="24" s="1"/>
  <c r="N56" i="24"/>
  <c r="L56" i="24"/>
  <c r="B56" i="24"/>
  <c r="Z55" i="24"/>
  <c r="X55" i="24"/>
  <c r="N55" i="24"/>
  <c r="L55" i="24"/>
  <c r="B55" i="24"/>
  <c r="X54" i="24"/>
  <c r="Z54" i="24" s="1"/>
  <c r="L54" i="24"/>
  <c r="N54" i="24" s="1"/>
  <c r="B54" i="24"/>
  <c r="T53" i="24"/>
  <c r="P53" i="24"/>
  <c r="X53" i="24" s="1"/>
  <c r="Z53" i="24" s="1"/>
  <c r="N53" i="24"/>
  <c r="L53" i="24"/>
  <c r="H53" i="24"/>
  <c r="D53" i="24"/>
  <c r="B53" i="24"/>
  <c r="T52" i="24"/>
  <c r="P52" i="24"/>
  <c r="X52" i="24" s="1"/>
  <c r="H52" i="24"/>
  <c r="D52" i="24"/>
  <c r="L52" i="24" s="1"/>
  <c r="Z48" i="24"/>
  <c r="X48" i="24"/>
  <c r="N48" i="24"/>
  <c r="L48" i="24"/>
  <c r="B48" i="24"/>
  <c r="Z47" i="24"/>
  <c r="X47" i="24"/>
  <c r="N47" i="24"/>
  <c r="L47" i="24"/>
  <c r="B47" i="24"/>
  <c r="Z46" i="24"/>
  <c r="X46" i="24"/>
  <c r="N46" i="24"/>
  <c r="L46" i="24"/>
  <c r="B46" i="24"/>
  <c r="Z45" i="24"/>
  <c r="X45" i="24"/>
  <c r="N45" i="24"/>
  <c r="L45" i="24"/>
  <c r="B45" i="24"/>
  <c r="Z44" i="24"/>
  <c r="X44" i="24"/>
  <c r="N44" i="24"/>
  <c r="L44" i="24"/>
  <c r="B44" i="24"/>
  <c r="Z43" i="24"/>
  <c r="X43" i="24"/>
  <c r="V43" i="24"/>
  <c r="N43" i="24"/>
  <c r="L43" i="24"/>
  <c r="B43" i="24"/>
  <c r="Z42" i="24"/>
  <c r="X42" i="24"/>
  <c r="V42" i="24"/>
  <c r="N42" i="24"/>
  <c r="L42" i="24"/>
  <c r="B42" i="24"/>
  <c r="Z41" i="24"/>
  <c r="X41" i="24"/>
  <c r="N41" i="24"/>
  <c r="L41" i="24"/>
  <c r="B41" i="24"/>
  <c r="Z40" i="24"/>
  <c r="X40" i="24"/>
  <c r="N40" i="24"/>
  <c r="L40" i="24"/>
  <c r="B40" i="24"/>
  <c r="Z39" i="24"/>
  <c r="X39" i="24"/>
  <c r="N39" i="24"/>
  <c r="L39" i="24"/>
  <c r="B39" i="24"/>
  <c r="Z38" i="24"/>
  <c r="X38" i="24"/>
  <c r="N38" i="24"/>
  <c r="L38" i="24"/>
  <c r="B38" i="24"/>
  <c r="Z37" i="24"/>
  <c r="X37" i="24"/>
  <c r="N37" i="24"/>
  <c r="L37" i="24"/>
  <c r="B37" i="24"/>
  <c r="Z36" i="24"/>
  <c r="X36" i="24"/>
  <c r="N36" i="24"/>
  <c r="L36" i="24"/>
  <c r="B36" i="24"/>
  <c r="Z35" i="24"/>
  <c r="X35" i="24"/>
  <c r="V35" i="24"/>
  <c r="N35" i="24"/>
  <c r="L35" i="24"/>
  <c r="B35" i="24"/>
  <c r="Z34" i="24"/>
  <c r="X34" i="24"/>
  <c r="V34" i="24"/>
  <c r="N34" i="24"/>
  <c r="L34" i="24"/>
  <c r="B34" i="24"/>
  <c r="Z33" i="24"/>
  <c r="X33" i="24"/>
  <c r="N33" i="24"/>
  <c r="L33" i="24"/>
  <c r="B33" i="24"/>
  <c r="Z32" i="24"/>
  <c r="X32" i="24"/>
  <c r="N32" i="24"/>
  <c r="L32" i="24"/>
  <c r="B32" i="24"/>
  <c r="Z31" i="24"/>
  <c r="X31" i="24"/>
  <c r="N31" i="24"/>
  <c r="L31" i="24"/>
  <c r="B31" i="24"/>
  <c r="Z30" i="24"/>
  <c r="X30" i="24"/>
  <c r="N30" i="24"/>
  <c r="L30" i="24"/>
  <c r="B30" i="24"/>
  <c r="Z29" i="24"/>
  <c r="X29" i="24"/>
  <c r="N29" i="24"/>
  <c r="L29" i="24"/>
  <c r="B29" i="24"/>
  <c r="T28" i="24"/>
  <c r="Z28" i="24" s="1"/>
  <c r="P28" i="24"/>
  <c r="X28" i="24" s="1"/>
  <c r="H28" i="24"/>
  <c r="N28" i="24" s="1"/>
  <c r="D28" i="24"/>
  <c r="L28" i="24" s="1"/>
  <c r="Z26" i="24"/>
  <c r="X26" i="24"/>
  <c r="P26" i="24"/>
  <c r="N26" i="24"/>
  <c r="D26" i="24"/>
  <c r="L26" i="24" s="1"/>
  <c r="B26" i="24"/>
  <c r="Z25" i="24"/>
  <c r="X25" i="24"/>
  <c r="P25" i="24"/>
  <c r="N25" i="24"/>
  <c r="L25" i="24"/>
  <c r="D25" i="24"/>
  <c r="B25" i="24"/>
  <c r="Z24" i="24"/>
  <c r="X24" i="24"/>
  <c r="P24" i="24"/>
  <c r="N24" i="24"/>
  <c r="D24" i="24"/>
  <c r="L24" i="24" s="1"/>
  <c r="B24" i="24"/>
  <c r="Z23" i="24"/>
  <c r="P23" i="24"/>
  <c r="X23" i="24" s="1"/>
  <c r="N23" i="24"/>
  <c r="L23" i="24"/>
  <c r="D23" i="24"/>
  <c r="B23" i="24"/>
  <c r="Z22" i="24"/>
  <c r="X22" i="24"/>
  <c r="P22" i="24"/>
  <c r="N22" i="24"/>
  <c r="L22" i="24"/>
  <c r="D22" i="24"/>
  <c r="B22" i="24"/>
  <c r="Z21" i="24"/>
  <c r="P21" i="24"/>
  <c r="X21" i="24" s="1"/>
  <c r="N21" i="24"/>
  <c r="L21" i="24"/>
  <c r="D21" i="24"/>
  <c r="B21" i="24"/>
  <c r="X20" i="24"/>
  <c r="Z20" i="24" s="1"/>
  <c r="P20" i="24"/>
  <c r="D20" i="24"/>
  <c r="L20" i="24" s="1"/>
  <c r="N20" i="24" s="1"/>
  <c r="B20" i="24"/>
  <c r="Z19" i="24"/>
  <c r="P19" i="24"/>
  <c r="X19" i="24" s="1"/>
  <c r="N19" i="24"/>
  <c r="L19" i="24"/>
  <c r="D19" i="24"/>
  <c r="B19" i="24"/>
  <c r="Z18" i="24"/>
  <c r="X18" i="24"/>
  <c r="P18" i="24"/>
  <c r="N18" i="24"/>
  <c r="D18" i="24"/>
  <c r="L18" i="24" s="1"/>
  <c r="B18" i="24"/>
  <c r="Z17" i="24"/>
  <c r="X17" i="24"/>
  <c r="P17" i="24"/>
  <c r="N17" i="24"/>
  <c r="L17" i="24"/>
  <c r="D17" i="24"/>
  <c r="B17" i="24"/>
  <c r="Z16" i="24"/>
  <c r="X16" i="24"/>
  <c r="P16" i="24"/>
  <c r="N16" i="24"/>
  <c r="D16" i="24"/>
  <c r="L16" i="24" s="1"/>
  <c r="B16" i="24"/>
  <c r="Z15" i="24"/>
  <c r="P15" i="24"/>
  <c r="P12" i="24" s="1"/>
  <c r="N15" i="24"/>
  <c r="L15" i="24"/>
  <c r="D15" i="24"/>
  <c r="B15" i="24"/>
  <c r="Z14" i="24"/>
  <c r="X14" i="24"/>
  <c r="P14" i="24"/>
  <c r="N14" i="24"/>
  <c r="L14" i="24"/>
  <c r="D14" i="24"/>
  <c r="B14" i="24"/>
  <c r="Z13" i="24"/>
  <c r="P13" i="24"/>
  <c r="X13" i="24" s="1"/>
  <c r="N13" i="24"/>
  <c r="L13" i="24"/>
  <c r="D13" i="24"/>
  <c r="D12" i="24" s="1"/>
  <c r="B13" i="24"/>
  <c r="T12" i="24"/>
  <c r="V102" i="24" s="1"/>
  <c r="H12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P20" i="23"/>
  <c r="H20" i="23"/>
  <c r="N20" i="23" s="1"/>
  <c r="D20" i="23"/>
  <c r="T16" i="23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4" i="23" s="1"/>
  <c r="P12" i="23"/>
  <c r="R20" i="23" s="1"/>
  <c r="H12" i="23"/>
  <c r="J18" i="23" s="1"/>
  <c r="D12" i="23"/>
  <c r="D5" i="23"/>
  <c r="D4" i="23"/>
  <c r="B39" i="22"/>
  <c r="B38" i="22"/>
  <c r="T34" i="22"/>
  <c r="Z34" i="22" s="1"/>
  <c r="P34" i="22"/>
  <c r="H34" i="22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9" i="22" s="1"/>
  <c r="P12" i="22"/>
  <c r="R24" i="22" s="1"/>
  <c r="H12" i="22"/>
  <c r="D12" i="22"/>
  <c r="F34" i="22" s="1"/>
  <c r="D5" i="22"/>
  <c r="D4" i="22"/>
  <c r="Z111" i="21"/>
  <c r="X111" i="21"/>
  <c r="N111" i="21"/>
  <c r="L111" i="21"/>
  <c r="Z107" i="21"/>
  <c r="X107" i="21"/>
  <c r="T107" i="21"/>
  <c r="P107" i="21"/>
  <c r="N107" i="21"/>
  <c r="L107" i="21"/>
  <c r="H107" i="21"/>
  <c r="D107" i="21"/>
  <c r="Z105" i="21"/>
  <c r="X105" i="21"/>
  <c r="N105" i="21"/>
  <c r="L105" i="21"/>
  <c r="B105" i="21"/>
  <c r="X104" i="21"/>
  <c r="T104" i="21"/>
  <c r="Z104" i="21" s="1"/>
  <c r="P104" i="21"/>
  <c r="H104" i="21"/>
  <c r="D104" i="21"/>
  <c r="L104" i="21" s="1"/>
  <c r="B104" i="21"/>
  <c r="Z103" i="21"/>
  <c r="X103" i="21"/>
  <c r="N103" i="21"/>
  <c r="L103" i="21"/>
  <c r="B103" i="21"/>
  <c r="T102" i="21"/>
  <c r="P102" i="21"/>
  <c r="X102" i="21" s="1"/>
  <c r="N102" i="21"/>
  <c r="H102" i="21"/>
  <c r="D102" i="21"/>
  <c r="L102" i="21" s="1"/>
  <c r="B102" i="21"/>
  <c r="Z101" i="21"/>
  <c r="X101" i="21"/>
  <c r="N101" i="21"/>
  <c r="L101" i="21"/>
  <c r="B101" i="21"/>
  <c r="T100" i="21"/>
  <c r="P100" i="21"/>
  <c r="X100" i="21" s="1"/>
  <c r="Z100" i="21" s="1"/>
  <c r="N100" i="21"/>
  <c r="H100" i="21"/>
  <c r="L100" i="21" s="1"/>
  <c r="D100" i="21"/>
  <c r="B100" i="21"/>
  <c r="Z99" i="21"/>
  <c r="X99" i="21"/>
  <c r="N99" i="21"/>
  <c r="L99" i="21"/>
  <c r="B99" i="21"/>
  <c r="Z98" i="21"/>
  <c r="X98" i="21"/>
  <c r="L98" i="21"/>
  <c r="N98" i="21" s="1"/>
  <c r="B98" i="21"/>
  <c r="Z97" i="21"/>
  <c r="X97" i="21"/>
  <c r="T97" i="21"/>
  <c r="P97" i="21"/>
  <c r="N97" i="21"/>
  <c r="L97" i="21"/>
  <c r="H97" i="21"/>
  <c r="D97" i="21"/>
  <c r="B97" i="21"/>
  <c r="X96" i="21"/>
  <c r="Z96" i="21" s="1"/>
  <c r="N96" i="21"/>
  <c r="L96" i="21"/>
  <c r="B96" i="21"/>
  <c r="Z95" i="21"/>
  <c r="X95" i="21"/>
  <c r="N95" i="21"/>
  <c r="L95" i="21"/>
  <c r="B95" i="21"/>
  <c r="Z94" i="21"/>
  <c r="X94" i="21"/>
  <c r="N94" i="21"/>
  <c r="L94" i="21"/>
  <c r="B94" i="21"/>
  <c r="Z93" i="21"/>
  <c r="X93" i="21"/>
  <c r="N93" i="21"/>
  <c r="L93" i="21"/>
  <c r="B93" i="21"/>
  <c r="X92" i="21"/>
  <c r="Z92" i="21" s="1"/>
  <c r="N92" i="21"/>
  <c r="L92" i="21"/>
  <c r="B92" i="21"/>
  <c r="Z91" i="21"/>
  <c r="X91" i="21"/>
  <c r="N91" i="21"/>
  <c r="L91" i="21"/>
  <c r="B91" i="21"/>
  <c r="X90" i="21"/>
  <c r="Z90" i="21" s="1"/>
  <c r="N90" i="21"/>
  <c r="L90" i="21"/>
  <c r="B90" i="21"/>
  <c r="T89" i="21"/>
  <c r="P89" i="21"/>
  <c r="X89" i="21" s="1"/>
  <c r="H89" i="21"/>
  <c r="D89" i="21"/>
  <c r="L89" i="21" s="1"/>
  <c r="N89" i="21" s="1"/>
  <c r="B89" i="21"/>
  <c r="X88" i="21"/>
  <c r="Z88" i="21" s="1"/>
  <c r="L88" i="21"/>
  <c r="N88" i="21" s="1"/>
  <c r="B88" i="21"/>
  <c r="T87" i="21"/>
  <c r="P87" i="21"/>
  <c r="X87" i="21" s="1"/>
  <c r="Z87" i="21" s="1"/>
  <c r="N87" i="21"/>
  <c r="L87" i="21"/>
  <c r="H87" i="21"/>
  <c r="D87" i="21"/>
  <c r="B87" i="21"/>
  <c r="Z86" i="21"/>
  <c r="X86" i="21"/>
  <c r="N86" i="21"/>
  <c r="L86" i="21"/>
  <c r="B86" i="21"/>
  <c r="Z85" i="21"/>
  <c r="X85" i="21"/>
  <c r="L85" i="21"/>
  <c r="N85" i="21" s="1"/>
  <c r="B85" i="21"/>
  <c r="X84" i="21"/>
  <c r="Z84" i="21" s="1"/>
  <c r="L84" i="21"/>
  <c r="N84" i="21" s="1"/>
  <c r="B84" i="21"/>
  <c r="Z83" i="21"/>
  <c r="X83" i="21"/>
  <c r="N83" i="21"/>
  <c r="L83" i="21"/>
  <c r="B83" i="21"/>
  <c r="T82" i="21"/>
  <c r="P82" i="21"/>
  <c r="X82" i="21" s="1"/>
  <c r="H82" i="21"/>
  <c r="D82" i="21"/>
  <c r="L82" i="21" s="1"/>
  <c r="N82" i="21" s="1"/>
  <c r="B82" i="21"/>
  <c r="Z81" i="21"/>
  <c r="X81" i="21"/>
  <c r="N81" i="21"/>
  <c r="L81" i="21"/>
  <c r="B81" i="21"/>
  <c r="Z80" i="21"/>
  <c r="X80" i="21"/>
  <c r="N80" i="21"/>
  <c r="L80" i="21"/>
  <c r="B80" i="21"/>
  <c r="T79" i="21"/>
  <c r="P79" i="21"/>
  <c r="X79" i="21" s="1"/>
  <c r="Z79" i="21" s="1"/>
  <c r="N79" i="21"/>
  <c r="L79" i="21"/>
  <c r="H79" i="21"/>
  <c r="D79" i="21"/>
  <c r="B79" i="21"/>
  <c r="Z78" i="21"/>
  <c r="X78" i="21"/>
  <c r="N78" i="21"/>
  <c r="L78" i="21"/>
  <c r="B78" i="21"/>
  <c r="Z77" i="21"/>
  <c r="X77" i="21"/>
  <c r="N77" i="21"/>
  <c r="L77" i="21"/>
  <c r="B77" i="21"/>
  <c r="X76" i="21"/>
  <c r="Z76" i="21" s="1"/>
  <c r="N76" i="21"/>
  <c r="L76" i="21"/>
  <c r="B76" i="21"/>
  <c r="Z75" i="21"/>
  <c r="X75" i="21"/>
  <c r="N75" i="21"/>
  <c r="L75" i="21"/>
  <c r="B75" i="21"/>
  <c r="T74" i="21"/>
  <c r="Z74" i="21" s="1"/>
  <c r="P74" i="21"/>
  <c r="X74" i="21" s="1"/>
  <c r="H74" i="21"/>
  <c r="D74" i="21"/>
  <c r="L74" i="21" s="1"/>
  <c r="N74" i="21" s="1"/>
  <c r="B74" i="21"/>
  <c r="Z73" i="21"/>
  <c r="X73" i="21"/>
  <c r="N73" i="21"/>
  <c r="L73" i="21"/>
  <c r="B73" i="21"/>
  <c r="Z72" i="21"/>
  <c r="T72" i="21"/>
  <c r="P72" i="21"/>
  <c r="X72" i="21" s="1"/>
  <c r="N72" i="21"/>
  <c r="L72" i="21"/>
  <c r="H72" i="21"/>
  <c r="D72" i="21"/>
  <c r="B72" i="21"/>
  <c r="Z71" i="21"/>
  <c r="X71" i="21"/>
  <c r="N71" i="21"/>
  <c r="L71" i="21"/>
  <c r="B71" i="21"/>
  <c r="T70" i="21"/>
  <c r="X70" i="21" s="1"/>
  <c r="Z70" i="21" s="1"/>
  <c r="P70" i="21"/>
  <c r="L70" i="21"/>
  <c r="H70" i="21"/>
  <c r="N70" i="21" s="1"/>
  <c r="D70" i="21"/>
  <c r="B70" i="21"/>
  <c r="X69" i="21"/>
  <c r="Z69" i="21" s="1"/>
  <c r="N69" i="21"/>
  <c r="L69" i="21"/>
  <c r="B69" i="21"/>
  <c r="X68" i="21"/>
  <c r="T68" i="21"/>
  <c r="Z68" i="21" s="1"/>
  <c r="P68" i="21"/>
  <c r="H68" i="21"/>
  <c r="D68" i="21"/>
  <c r="L68" i="21" s="1"/>
  <c r="B68" i="21"/>
  <c r="Z67" i="21"/>
  <c r="X67" i="21"/>
  <c r="N67" i="21"/>
  <c r="L67" i="21"/>
  <c r="B67" i="21"/>
  <c r="T66" i="21"/>
  <c r="P66" i="21"/>
  <c r="X66" i="21" s="1"/>
  <c r="N66" i="21"/>
  <c r="H66" i="21"/>
  <c r="D66" i="21"/>
  <c r="L66" i="21" s="1"/>
  <c r="B66" i="21"/>
  <c r="Z65" i="21"/>
  <c r="X65" i="21"/>
  <c r="N65" i="21"/>
  <c r="L65" i="21"/>
  <c r="B65" i="21"/>
  <c r="Z64" i="21"/>
  <c r="T64" i="21"/>
  <c r="P64" i="21"/>
  <c r="X64" i="21" s="1"/>
  <c r="N64" i="21"/>
  <c r="L64" i="21"/>
  <c r="H64" i="21"/>
  <c r="D64" i="21"/>
  <c r="B64" i="21"/>
  <c r="X63" i="21"/>
  <c r="Z63" i="21" s="1"/>
  <c r="N63" i="21"/>
  <c r="L63" i="21"/>
  <c r="B63" i="21"/>
  <c r="T62" i="21"/>
  <c r="X62" i="21" s="1"/>
  <c r="Z62" i="21" s="1"/>
  <c r="P62" i="21"/>
  <c r="L62" i="21"/>
  <c r="H62" i="21"/>
  <c r="N62" i="21" s="1"/>
  <c r="D62" i="21"/>
  <c r="B62" i="21"/>
  <c r="Z61" i="21"/>
  <c r="X61" i="21"/>
  <c r="N61" i="21"/>
  <c r="L61" i="21"/>
  <c r="B61" i="21"/>
  <c r="X60" i="21"/>
  <c r="T60" i="21"/>
  <c r="Z60" i="21" s="1"/>
  <c r="P60" i="21"/>
  <c r="H60" i="21"/>
  <c r="N60" i="21" s="1"/>
  <c r="D60" i="21"/>
  <c r="L60" i="21" s="1"/>
  <c r="B60" i="21"/>
  <c r="Z59" i="21"/>
  <c r="X59" i="21"/>
  <c r="L59" i="21"/>
  <c r="N59" i="21" s="1"/>
  <c r="B59" i="21"/>
  <c r="Z58" i="21"/>
  <c r="X58" i="21"/>
  <c r="N58" i="21"/>
  <c r="L58" i="21"/>
  <c r="B58" i="21"/>
  <c r="T57" i="21"/>
  <c r="Z57" i="21" s="1"/>
  <c r="P57" i="21"/>
  <c r="X57" i="21" s="1"/>
  <c r="H57" i="21"/>
  <c r="D57" i="21"/>
  <c r="L57" i="21" s="1"/>
  <c r="N57" i="21" s="1"/>
  <c r="B57" i="21"/>
  <c r="X56" i="21"/>
  <c r="Z56" i="21" s="1"/>
  <c r="L56" i="21"/>
  <c r="N56" i="21" s="1"/>
  <c r="B56" i="21"/>
  <c r="T55" i="21"/>
  <c r="P55" i="21"/>
  <c r="X55" i="21" s="1"/>
  <c r="Z55" i="21" s="1"/>
  <c r="N55" i="21"/>
  <c r="L55" i="21"/>
  <c r="H55" i="21"/>
  <c r="D55" i="21"/>
  <c r="B55" i="21"/>
  <c r="Z54" i="21"/>
  <c r="X54" i="21"/>
  <c r="L54" i="21"/>
  <c r="N54" i="21" s="1"/>
  <c r="B54" i="21"/>
  <c r="Z53" i="21"/>
  <c r="X53" i="21"/>
  <c r="T53" i="21"/>
  <c r="P53" i="21"/>
  <c r="L53" i="21"/>
  <c r="N53" i="21" s="1"/>
  <c r="H53" i="21"/>
  <c r="D53" i="21"/>
  <c r="B53" i="21"/>
  <c r="X52" i="21"/>
  <c r="Z52" i="21" s="1"/>
  <c r="L52" i="21"/>
  <c r="N52" i="21" s="1"/>
  <c r="B52" i="21"/>
  <c r="X51" i="21"/>
  <c r="Z51" i="21" s="1"/>
  <c r="T51" i="21"/>
  <c r="P51" i="21"/>
  <c r="H51" i="21"/>
  <c r="D51" i="21"/>
  <c r="L51" i="21" s="1"/>
  <c r="B51" i="21"/>
  <c r="Z50" i="21"/>
  <c r="X50" i="21"/>
  <c r="N50" i="21"/>
  <c r="L50" i="21"/>
  <c r="B50" i="21"/>
  <c r="Z49" i="21"/>
  <c r="X49" i="21"/>
  <c r="N49" i="21"/>
  <c r="L49" i="21"/>
  <c r="B49" i="21"/>
  <c r="X48" i="21"/>
  <c r="Z48" i="21" s="1"/>
  <c r="N48" i="21"/>
  <c r="L48" i="21"/>
  <c r="B48" i="21"/>
  <c r="X47" i="21"/>
  <c r="Z47" i="21" s="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L44" i="21"/>
  <c r="N44" i="21" s="1"/>
  <c r="B44" i="21"/>
  <c r="Z43" i="21"/>
  <c r="X43" i="21"/>
  <c r="N43" i="21"/>
  <c r="L43" i="21"/>
  <c r="B43" i="21"/>
  <c r="X42" i="21"/>
  <c r="Z42" i="21" s="1"/>
  <c r="N42" i="21"/>
  <c r="L42" i="21"/>
  <c r="B42" i="21"/>
  <c r="Z41" i="21"/>
  <c r="X41" i="21"/>
  <c r="N41" i="21"/>
  <c r="L41" i="21"/>
  <c r="B41" i="21"/>
  <c r="X40" i="21"/>
  <c r="T40" i="21"/>
  <c r="Z40" i="21" s="1"/>
  <c r="P40" i="21"/>
  <c r="H40" i="21"/>
  <c r="D40" i="21"/>
  <c r="L40" i="21" s="1"/>
  <c r="B40" i="21"/>
  <c r="Z39" i="21"/>
  <c r="X39" i="21"/>
  <c r="L39" i="21"/>
  <c r="N39" i="21" s="1"/>
  <c r="B39" i="21"/>
  <c r="X38" i="21"/>
  <c r="Z38" i="21" s="1"/>
  <c r="N38" i="21"/>
  <c r="L38" i="21"/>
  <c r="B38" i="21"/>
  <c r="Z37" i="21"/>
  <c r="X37" i="21"/>
  <c r="N37" i="21"/>
  <c r="L37" i="21"/>
  <c r="B37" i="21"/>
  <c r="Z36" i="21"/>
  <c r="X36" i="21"/>
  <c r="N36" i="21"/>
  <c r="L36" i="21"/>
  <c r="B36" i="21"/>
  <c r="X35" i="21"/>
  <c r="Z35" i="21" s="1"/>
  <c r="N35" i="21"/>
  <c r="L35" i="21"/>
  <c r="B35" i="21"/>
  <c r="Z34" i="21"/>
  <c r="X34" i="21"/>
  <c r="L34" i="21"/>
  <c r="N34" i="21" s="1"/>
  <c r="B34" i="21"/>
  <c r="Z33" i="21"/>
  <c r="X33" i="21"/>
  <c r="N33" i="21"/>
  <c r="L33" i="21"/>
  <c r="B33" i="21"/>
  <c r="X32" i="21"/>
  <c r="Z32" i="21" s="1"/>
  <c r="L32" i="21"/>
  <c r="N32" i="21" s="1"/>
  <c r="J32" i="21"/>
  <c r="B32" i="21"/>
  <c r="Z31" i="21"/>
  <c r="X31" i="21"/>
  <c r="L31" i="21"/>
  <c r="N31" i="21" s="1"/>
  <c r="B31" i="21"/>
  <c r="T30" i="21"/>
  <c r="Z30" i="21" s="1"/>
  <c r="P30" i="21"/>
  <c r="X30" i="21" s="1"/>
  <c r="H30" i="21"/>
  <c r="D30" i="21"/>
  <c r="L30" i="21" s="1"/>
  <c r="N30" i="21" s="1"/>
  <c r="B30" i="21"/>
  <c r="T29" i="21"/>
  <c r="P29" i="21"/>
  <c r="H29" i="21"/>
  <c r="D29" i="21"/>
  <c r="L29" i="21" s="1"/>
  <c r="N29" i="21" s="1"/>
  <c r="T27" i="21"/>
  <c r="Z25" i="21"/>
  <c r="X25" i="21"/>
  <c r="N25" i="21"/>
  <c r="L25" i="21"/>
  <c r="J25" i="21"/>
  <c r="B25" i="21"/>
  <c r="Z24" i="21"/>
  <c r="X24" i="21"/>
  <c r="N24" i="21"/>
  <c r="L24" i="21"/>
  <c r="J24" i="21"/>
  <c r="B24" i="21"/>
  <c r="X23" i="21"/>
  <c r="Z23" i="21" s="1"/>
  <c r="L23" i="21"/>
  <c r="N23" i="21" s="1"/>
  <c r="B23" i="21"/>
  <c r="T22" i="21"/>
  <c r="Z22" i="21" s="1"/>
  <c r="P22" i="21"/>
  <c r="X22" i="21" s="1"/>
  <c r="J22" i="21"/>
  <c r="H22" i="21"/>
  <c r="D22" i="21"/>
  <c r="L22" i="21" s="1"/>
  <c r="N22" i="21" s="1"/>
  <c r="Z20" i="21"/>
  <c r="P20" i="21"/>
  <c r="X20" i="21" s="1"/>
  <c r="N20" i="21"/>
  <c r="L20" i="21"/>
  <c r="D20" i="21"/>
  <c r="B20" i="21"/>
  <c r="Z19" i="21"/>
  <c r="X19" i="21"/>
  <c r="P19" i="21"/>
  <c r="N19" i="21"/>
  <c r="D19" i="21"/>
  <c r="L19" i="21" s="1"/>
  <c r="B19" i="21"/>
  <c r="Z18" i="21"/>
  <c r="P18" i="21"/>
  <c r="X18" i="21" s="1"/>
  <c r="N18" i="21"/>
  <c r="L18" i="21"/>
  <c r="D18" i="21"/>
  <c r="B18" i="21"/>
  <c r="Z17" i="21"/>
  <c r="P17" i="21"/>
  <c r="X17" i="21" s="1"/>
  <c r="N17" i="21"/>
  <c r="D17" i="21"/>
  <c r="L17" i="21" s="1"/>
  <c r="B17" i="21"/>
  <c r="P16" i="21"/>
  <c r="X16" i="21" s="1"/>
  <c r="Z16" i="21" s="1"/>
  <c r="L16" i="21"/>
  <c r="N16" i="21" s="1"/>
  <c r="D16" i="21"/>
  <c r="B16" i="21"/>
  <c r="Z15" i="21"/>
  <c r="X15" i="21"/>
  <c r="P15" i="21"/>
  <c r="N15" i="21"/>
  <c r="D15" i="21"/>
  <c r="L15" i="21" s="1"/>
  <c r="B15" i="21"/>
  <c r="Z14" i="21"/>
  <c r="P14" i="21"/>
  <c r="X14" i="21" s="1"/>
  <c r="N14" i="21"/>
  <c r="D14" i="21"/>
  <c r="L14" i="21" s="1"/>
  <c r="B14" i="21"/>
  <c r="X13" i="21"/>
  <c r="Z13" i="21" s="1"/>
  <c r="P13" i="21"/>
  <c r="D13" i="21"/>
  <c r="L13" i="21" s="1"/>
  <c r="N13" i="21" s="1"/>
  <c r="B13" i="21"/>
  <c r="T12" i="21"/>
  <c r="V100" i="21" s="1"/>
  <c r="H12" i="21"/>
  <c r="J102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18" i="20" s="1"/>
  <c r="P12" i="20"/>
  <c r="R24" i="20" s="1"/>
  <c r="H12" i="20"/>
  <c r="J22" i="20" s="1"/>
  <c r="D12" i="20"/>
  <c r="F18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1" i="19" s="1"/>
  <c r="P12" i="19"/>
  <c r="R34" i="19" s="1"/>
  <c r="H12" i="19"/>
  <c r="J36" i="19" s="1"/>
  <c r="D12" i="19"/>
  <c r="D5" i="19"/>
  <c r="D4" i="19"/>
  <c r="X263" i="18"/>
  <c r="Z263" i="18" s="1"/>
  <c r="L263" i="18"/>
  <c r="N263" i="18" s="1"/>
  <c r="Z259" i="18"/>
  <c r="X259" i="18"/>
  <c r="P259" i="18"/>
  <c r="N259" i="18"/>
  <c r="D259" i="18"/>
  <c r="L259" i="18" s="1"/>
  <c r="B259" i="18"/>
  <c r="Z258" i="18"/>
  <c r="P258" i="18"/>
  <c r="X258" i="18" s="1"/>
  <c r="N258" i="18"/>
  <c r="L258" i="18"/>
  <c r="D258" i="18"/>
  <c r="B258" i="18"/>
  <c r="P257" i="18"/>
  <c r="X257" i="18" s="1"/>
  <c r="Z257" i="18" s="1"/>
  <c r="D257" i="18"/>
  <c r="L257" i="18" s="1"/>
  <c r="N257" i="18" s="1"/>
  <c r="B257" i="18"/>
  <c r="P256" i="18"/>
  <c r="X256" i="18" s="1"/>
  <c r="Z256" i="18" s="1"/>
  <c r="D256" i="18"/>
  <c r="L256" i="18" s="1"/>
  <c r="N256" i="18" s="1"/>
  <c r="B256" i="18"/>
  <c r="Z255" i="18"/>
  <c r="P255" i="18"/>
  <c r="X255" i="18" s="1"/>
  <c r="N255" i="18"/>
  <c r="D255" i="18"/>
  <c r="L255" i="18" s="1"/>
  <c r="B255" i="18"/>
  <c r="Z254" i="18"/>
  <c r="X254" i="18"/>
  <c r="P254" i="18"/>
  <c r="P253" i="18" s="1"/>
  <c r="X253" i="18" s="1"/>
  <c r="N254" i="18"/>
  <c r="D254" i="18"/>
  <c r="B254" i="18"/>
  <c r="T253" i="18"/>
  <c r="H253" i="18"/>
  <c r="Z251" i="18"/>
  <c r="X251" i="18"/>
  <c r="L251" i="18"/>
  <c r="N251" i="18" s="1"/>
  <c r="B251" i="18"/>
  <c r="X250" i="18"/>
  <c r="T250" i="18"/>
  <c r="Z250" i="18" s="1"/>
  <c r="P250" i="18"/>
  <c r="H250" i="18"/>
  <c r="D250" i="18"/>
  <c r="B250" i="18"/>
  <c r="X249" i="18"/>
  <c r="Z249" i="18" s="1"/>
  <c r="N249" i="18"/>
  <c r="L249" i="18"/>
  <c r="B249" i="18"/>
  <c r="Z248" i="18"/>
  <c r="X248" i="18"/>
  <c r="N248" i="18"/>
  <c r="L248" i="18"/>
  <c r="B248" i="18"/>
  <c r="Z247" i="18"/>
  <c r="X247" i="18"/>
  <c r="N247" i="18"/>
  <c r="L247" i="18"/>
  <c r="B247" i="18"/>
  <c r="X246" i="18"/>
  <c r="T246" i="18"/>
  <c r="P246" i="18"/>
  <c r="H246" i="18"/>
  <c r="D246" i="18"/>
  <c r="B246" i="18"/>
  <c r="X245" i="18"/>
  <c r="Z245" i="18" s="1"/>
  <c r="N245" i="18"/>
  <c r="L245" i="18"/>
  <c r="B245" i="18"/>
  <c r="T244" i="18"/>
  <c r="P244" i="18"/>
  <c r="X244" i="18" s="1"/>
  <c r="Z244" i="18" s="1"/>
  <c r="H244" i="18"/>
  <c r="N244" i="18" s="1"/>
  <c r="D244" i="18"/>
  <c r="L244" i="18" s="1"/>
  <c r="B244" i="18"/>
  <c r="X243" i="18"/>
  <c r="Z243" i="18" s="1"/>
  <c r="N243" i="18"/>
  <c r="L243" i="18"/>
  <c r="B243" i="18"/>
  <c r="Z242" i="18"/>
  <c r="X242" i="18"/>
  <c r="L242" i="18"/>
  <c r="N242" i="18" s="1"/>
  <c r="B242" i="18"/>
  <c r="T241" i="18"/>
  <c r="P241" i="18"/>
  <c r="X241" i="18" s="1"/>
  <c r="Z241" i="18" s="1"/>
  <c r="L241" i="18"/>
  <c r="N241" i="18" s="1"/>
  <c r="H241" i="18"/>
  <c r="D241" i="18"/>
  <c r="B241" i="18"/>
  <c r="Z240" i="18"/>
  <c r="X240" i="18"/>
  <c r="N240" i="18"/>
  <c r="L240" i="18"/>
  <c r="B240" i="18"/>
  <c r="X239" i="18"/>
  <c r="Z239" i="18" s="1"/>
  <c r="L239" i="18"/>
  <c r="N239" i="18" s="1"/>
  <c r="B239" i="18"/>
  <c r="X238" i="18"/>
  <c r="Z238" i="18" s="1"/>
  <c r="N238" i="18"/>
  <c r="L238" i="18"/>
  <c r="B238" i="18"/>
  <c r="Z237" i="18"/>
  <c r="X237" i="18"/>
  <c r="N237" i="18"/>
  <c r="L237" i="18"/>
  <c r="B237" i="18"/>
  <c r="Z236" i="18"/>
  <c r="X236" i="18"/>
  <c r="N236" i="18"/>
  <c r="L236" i="18"/>
  <c r="B236" i="18"/>
  <c r="X235" i="18"/>
  <c r="Z235" i="18" s="1"/>
  <c r="L235" i="18"/>
  <c r="N235" i="18" s="1"/>
  <c r="B235" i="18"/>
  <c r="Z234" i="18"/>
  <c r="X234" i="18"/>
  <c r="L234" i="18"/>
  <c r="N234" i="18" s="1"/>
  <c r="B234" i="18"/>
  <c r="X233" i="18"/>
  <c r="Z233" i="18" s="1"/>
  <c r="N233" i="18"/>
  <c r="L233" i="18"/>
  <c r="B233" i="18"/>
  <c r="Z232" i="18"/>
  <c r="X232" i="18"/>
  <c r="L232" i="18"/>
  <c r="N232" i="18" s="1"/>
  <c r="B232" i="18"/>
  <c r="X231" i="18"/>
  <c r="Z231" i="18" s="1"/>
  <c r="T231" i="18"/>
  <c r="P231" i="18"/>
  <c r="L231" i="18"/>
  <c r="H231" i="18"/>
  <c r="N231" i="18" s="1"/>
  <c r="D231" i="18"/>
  <c r="B231" i="18"/>
  <c r="Z230" i="18"/>
  <c r="X230" i="18"/>
  <c r="N230" i="18"/>
  <c r="L230" i="18"/>
  <c r="B230" i="18"/>
  <c r="X229" i="18"/>
  <c r="Z229" i="18" s="1"/>
  <c r="N229" i="18"/>
  <c r="L229" i="18"/>
  <c r="B229" i="18"/>
  <c r="T228" i="18"/>
  <c r="X228" i="18" s="1"/>
  <c r="Z228" i="18" s="1"/>
  <c r="P228" i="18"/>
  <c r="H228" i="18"/>
  <c r="D228" i="18"/>
  <c r="L228" i="18" s="1"/>
  <c r="N228" i="18" s="1"/>
  <c r="B228" i="18"/>
  <c r="X227" i="18"/>
  <c r="Z227" i="18" s="1"/>
  <c r="L227" i="18"/>
  <c r="N227" i="18" s="1"/>
  <c r="B227" i="18"/>
  <c r="Z226" i="18"/>
  <c r="X226" i="18"/>
  <c r="L226" i="18"/>
  <c r="N226" i="18" s="1"/>
  <c r="B226" i="18"/>
  <c r="Z225" i="18"/>
  <c r="X225" i="18"/>
  <c r="N225" i="18"/>
  <c r="L225" i="18"/>
  <c r="B225" i="18"/>
  <c r="Z224" i="18"/>
  <c r="X224" i="18"/>
  <c r="L224" i="18"/>
  <c r="N224" i="18" s="1"/>
  <c r="B224" i="18"/>
  <c r="X223" i="18"/>
  <c r="Z223" i="18" s="1"/>
  <c r="T223" i="18"/>
  <c r="P223" i="18"/>
  <c r="L223" i="18"/>
  <c r="H223" i="18"/>
  <c r="N223" i="18" s="1"/>
  <c r="D223" i="18"/>
  <c r="B223" i="18"/>
  <c r="Z222" i="18"/>
  <c r="X222" i="18"/>
  <c r="L222" i="18"/>
  <c r="N222" i="18" s="1"/>
  <c r="B222" i="18"/>
  <c r="X221" i="18"/>
  <c r="Z221" i="18" s="1"/>
  <c r="N221" i="18"/>
  <c r="L221" i="18"/>
  <c r="B221" i="18"/>
  <c r="Z220" i="18"/>
  <c r="X220" i="18"/>
  <c r="L220" i="18"/>
  <c r="N220" i="18" s="1"/>
  <c r="B220" i="18"/>
  <c r="X219" i="18"/>
  <c r="Z219" i="18" s="1"/>
  <c r="L219" i="18"/>
  <c r="N219" i="18" s="1"/>
  <c r="B219" i="18"/>
  <c r="X218" i="18"/>
  <c r="Z218" i="18" s="1"/>
  <c r="T218" i="18"/>
  <c r="P218" i="18"/>
  <c r="H218" i="18"/>
  <c r="L218" i="18" s="1"/>
  <c r="N218" i="18" s="1"/>
  <c r="D218" i="18"/>
  <c r="B218" i="18"/>
  <c r="X217" i="18"/>
  <c r="Z217" i="18" s="1"/>
  <c r="N217" i="18"/>
  <c r="L217" i="18"/>
  <c r="B217" i="18"/>
  <c r="Z216" i="18"/>
  <c r="X216" i="18"/>
  <c r="L216" i="18"/>
  <c r="N216" i="18" s="1"/>
  <c r="B216" i="18"/>
  <c r="Z215" i="18"/>
  <c r="X215" i="18"/>
  <c r="N215" i="18"/>
  <c r="L215" i="18"/>
  <c r="B215" i="18"/>
  <c r="X214" i="18"/>
  <c r="Z214" i="18" s="1"/>
  <c r="N214" i="18"/>
  <c r="L214" i="18"/>
  <c r="B214" i="18"/>
  <c r="T213" i="18"/>
  <c r="P213" i="18"/>
  <c r="X213" i="18" s="1"/>
  <c r="Z213" i="18" s="1"/>
  <c r="H213" i="18"/>
  <c r="D213" i="18"/>
  <c r="L213" i="18" s="1"/>
  <c r="N213" i="18" s="1"/>
  <c r="B213" i="18"/>
  <c r="Z212" i="18"/>
  <c r="X212" i="18"/>
  <c r="L212" i="18"/>
  <c r="N212" i="18" s="1"/>
  <c r="B212" i="18"/>
  <c r="T211" i="18"/>
  <c r="P211" i="18"/>
  <c r="X211" i="18" s="1"/>
  <c r="Z211" i="18" s="1"/>
  <c r="L211" i="18"/>
  <c r="H211" i="18"/>
  <c r="N211" i="18" s="1"/>
  <c r="D211" i="18"/>
  <c r="B211" i="18"/>
  <c r="Z210" i="18"/>
  <c r="X210" i="18"/>
  <c r="N210" i="18"/>
  <c r="L210" i="18"/>
  <c r="B210" i="18"/>
  <c r="X209" i="18"/>
  <c r="T209" i="18"/>
  <c r="Z209" i="18" s="1"/>
  <c r="P209" i="18"/>
  <c r="H209" i="18"/>
  <c r="N209" i="18" s="1"/>
  <c r="D209" i="18"/>
  <c r="B209" i="18"/>
  <c r="Z208" i="18"/>
  <c r="X208" i="18"/>
  <c r="N208" i="18"/>
  <c r="L208" i="18"/>
  <c r="B208" i="18"/>
  <c r="X207" i="18"/>
  <c r="Z207" i="18" s="1"/>
  <c r="L207" i="18"/>
  <c r="N207" i="18" s="1"/>
  <c r="B207" i="18"/>
  <c r="T206" i="18"/>
  <c r="P206" i="18"/>
  <c r="X206" i="18" s="1"/>
  <c r="Z206" i="18" s="1"/>
  <c r="H206" i="18"/>
  <c r="N206" i="18" s="1"/>
  <c r="D206" i="18"/>
  <c r="L206" i="18" s="1"/>
  <c r="B206" i="18"/>
  <c r="Z205" i="18"/>
  <c r="X205" i="18"/>
  <c r="L205" i="18"/>
  <c r="N205" i="18" s="1"/>
  <c r="B205" i="18"/>
  <c r="T204" i="18"/>
  <c r="Z204" i="18" s="1"/>
  <c r="P204" i="18"/>
  <c r="X204" i="18" s="1"/>
  <c r="L204" i="18"/>
  <c r="N204" i="18" s="1"/>
  <c r="H204" i="18"/>
  <c r="D204" i="18"/>
  <c r="B204" i="18"/>
  <c r="X203" i="18"/>
  <c r="Z203" i="18" s="1"/>
  <c r="L203" i="18"/>
  <c r="N203" i="18" s="1"/>
  <c r="B203" i="18"/>
  <c r="X202" i="18"/>
  <c r="Z202" i="18" s="1"/>
  <c r="N202" i="18"/>
  <c r="L202" i="18"/>
  <c r="B202" i="18"/>
  <c r="Z201" i="18"/>
  <c r="X201" i="18"/>
  <c r="N201" i="18"/>
  <c r="L201" i="18"/>
  <c r="B201" i="18"/>
  <c r="T200" i="18"/>
  <c r="P200" i="18"/>
  <c r="X200" i="18" s="1"/>
  <c r="L200" i="18"/>
  <c r="N200" i="18" s="1"/>
  <c r="H200" i="18"/>
  <c r="D200" i="18"/>
  <c r="B200" i="18"/>
  <c r="X199" i="18"/>
  <c r="Z199" i="18" s="1"/>
  <c r="L199" i="18"/>
  <c r="N199" i="18" s="1"/>
  <c r="B199" i="18"/>
  <c r="X198" i="18"/>
  <c r="Z198" i="18" s="1"/>
  <c r="N198" i="18"/>
  <c r="L198" i="18"/>
  <c r="B198" i="18"/>
  <c r="T197" i="18"/>
  <c r="P197" i="18"/>
  <c r="X197" i="18" s="1"/>
  <c r="Z197" i="18" s="1"/>
  <c r="L197" i="18"/>
  <c r="N197" i="18" s="1"/>
  <c r="H197" i="18"/>
  <c r="D197" i="18"/>
  <c r="B197" i="18"/>
  <c r="Z196" i="18"/>
  <c r="X196" i="18"/>
  <c r="L196" i="18"/>
  <c r="N196" i="18" s="1"/>
  <c r="B196" i="18"/>
  <c r="X195" i="18"/>
  <c r="Z195" i="18" s="1"/>
  <c r="T195" i="18"/>
  <c r="P195" i="18"/>
  <c r="L195" i="18"/>
  <c r="H195" i="18"/>
  <c r="N195" i="18" s="1"/>
  <c r="D195" i="18"/>
  <c r="B195" i="18"/>
  <c r="Z194" i="18"/>
  <c r="X194" i="18"/>
  <c r="L194" i="18"/>
  <c r="N194" i="18" s="1"/>
  <c r="B194" i="18"/>
  <c r="X193" i="18"/>
  <c r="T193" i="18"/>
  <c r="Z193" i="18" s="1"/>
  <c r="P193" i="18"/>
  <c r="H193" i="18"/>
  <c r="D193" i="18"/>
  <c r="L193" i="18" s="1"/>
  <c r="B193" i="18"/>
  <c r="Z192" i="18"/>
  <c r="X192" i="18"/>
  <c r="N192" i="18"/>
  <c r="L192" i="18"/>
  <c r="B192" i="18"/>
  <c r="Z191" i="18"/>
  <c r="X191" i="18"/>
  <c r="N191" i="18"/>
  <c r="L191" i="18"/>
  <c r="B191" i="18"/>
  <c r="T190" i="18"/>
  <c r="P190" i="18"/>
  <c r="X190" i="18" s="1"/>
  <c r="Z190" i="18" s="1"/>
  <c r="H190" i="18"/>
  <c r="D190" i="18"/>
  <c r="L190" i="18" s="1"/>
  <c r="B190" i="18"/>
  <c r="Z189" i="18"/>
  <c r="X189" i="18"/>
  <c r="N189" i="18"/>
  <c r="L189" i="18"/>
  <c r="B189" i="18"/>
  <c r="X188" i="18"/>
  <c r="Z188" i="18" s="1"/>
  <c r="N188" i="18"/>
  <c r="L188" i="18"/>
  <c r="B188" i="18"/>
  <c r="T187" i="18"/>
  <c r="P187" i="18"/>
  <c r="X187" i="18" s="1"/>
  <c r="H187" i="18"/>
  <c r="D187" i="18"/>
  <c r="L187" i="18" s="1"/>
  <c r="N187" i="18" s="1"/>
  <c r="B187" i="18"/>
  <c r="X186" i="18"/>
  <c r="Z186" i="18" s="1"/>
  <c r="N186" i="18"/>
  <c r="L186" i="18"/>
  <c r="B186" i="18"/>
  <c r="Z185" i="18"/>
  <c r="X185" i="18"/>
  <c r="N185" i="18"/>
  <c r="L185" i="18"/>
  <c r="B185" i="18"/>
  <c r="T184" i="18"/>
  <c r="Z184" i="18" s="1"/>
  <c r="P184" i="18"/>
  <c r="X184" i="18" s="1"/>
  <c r="L184" i="18"/>
  <c r="N184" i="18" s="1"/>
  <c r="H184" i="18"/>
  <c r="D184" i="18"/>
  <c r="B184" i="18"/>
  <c r="X183" i="18"/>
  <c r="Z183" i="18" s="1"/>
  <c r="L183" i="18"/>
  <c r="N183" i="18" s="1"/>
  <c r="B183" i="18"/>
  <c r="X182" i="18"/>
  <c r="Z182" i="18" s="1"/>
  <c r="T182" i="18"/>
  <c r="P182" i="18"/>
  <c r="H182" i="18"/>
  <c r="L182" i="18" s="1"/>
  <c r="N182" i="18" s="1"/>
  <c r="D182" i="18"/>
  <c r="B182" i="18"/>
  <c r="X181" i="18"/>
  <c r="Z181" i="18" s="1"/>
  <c r="N181" i="18"/>
  <c r="L181" i="18"/>
  <c r="B181" i="18"/>
  <c r="Z180" i="18"/>
  <c r="X180" i="18"/>
  <c r="L180" i="18"/>
  <c r="N180" i="18" s="1"/>
  <c r="B180" i="18"/>
  <c r="X179" i="18"/>
  <c r="Z179" i="18" s="1"/>
  <c r="T179" i="18"/>
  <c r="P179" i="18"/>
  <c r="L179" i="18"/>
  <c r="H179" i="18"/>
  <c r="N179" i="18" s="1"/>
  <c r="D179" i="18"/>
  <c r="B179" i="18"/>
  <c r="Z178" i="18"/>
  <c r="X178" i="18"/>
  <c r="L178" i="18"/>
  <c r="N178" i="18" s="1"/>
  <c r="B178" i="18"/>
  <c r="X177" i="18"/>
  <c r="T177" i="18"/>
  <c r="Z177" i="18" s="1"/>
  <c r="P177" i="18"/>
  <c r="H177" i="18"/>
  <c r="N177" i="18" s="1"/>
  <c r="D177" i="18"/>
  <c r="L177" i="18" s="1"/>
  <c r="B177" i="18"/>
  <c r="Z176" i="18"/>
  <c r="X176" i="18"/>
  <c r="N176" i="18"/>
  <c r="L176" i="18"/>
  <c r="B176" i="18"/>
  <c r="Z175" i="18"/>
  <c r="X175" i="18"/>
  <c r="N175" i="18"/>
  <c r="L175" i="18"/>
  <c r="B175" i="18"/>
  <c r="Z174" i="18"/>
  <c r="X174" i="18"/>
  <c r="L174" i="18"/>
  <c r="N174" i="18" s="1"/>
  <c r="B174" i="18"/>
  <c r="X173" i="18"/>
  <c r="Z173" i="18" s="1"/>
  <c r="N173" i="18"/>
  <c r="L173" i="18"/>
  <c r="B173" i="18"/>
  <c r="Z172" i="18"/>
  <c r="X172" i="18"/>
  <c r="N172" i="18"/>
  <c r="L172" i="18"/>
  <c r="B172" i="18"/>
  <c r="X171" i="18"/>
  <c r="Z171" i="18" s="1"/>
  <c r="L171" i="18"/>
  <c r="N171" i="18" s="1"/>
  <c r="B171" i="18"/>
  <c r="X170" i="18"/>
  <c r="Z170" i="18" s="1"/>
  <c r="N170" i="18"/>
  <c r="L170" i="18"/>
  <c r="B170" i="18"/>
  <c r="Z169" i="18"/>
  <c r="X169" i="18"/>
  <c r="N169" i="18"/>
  <c r="L169" i="18"/>
  <c r="B169" i="18"/>
  <c r="Z168" i="18"/>
  <c r="X168" i="18"/>
  <c r="N168" i="18"/>
  <c r="L168" i="18"/>
  <c r="B168" i="18"/>
  <c r="X167" i="18"/>
  <c r="Z167" i="18" s="1"/>
  <c r="L167" i="18"/>
  <c r="N167" i="18" s="1"/>
  <c r="B167" i="18"/>
  <c r="T166" i="18"/>
  <c r="P166" i="18"/>
  <c r="X166" i="18" s="1"/>
  <c r="Z166" i="18" s="1"/>
  <c r="H166" i="18"/>
  <c r="N166" i="18" s="1"/>
  <c r="D166" i="18"/>
  <c r="L166" i="18" s="1"/>
  <c r="B166" i="18"/>
  <c r="Z165" i="18"/>
  <c r="X165" i="18"/>
  <c r="L165" i="18"/>
  <c r="N165" i="18" s="1"/>
  <c r="B165" i="18"/>
  <c r="Z164" i="18"/>
  <c r="X164" i="18"/>
  <c r="N164" i="18"/>
  <c r="L164" i="18"/>
  <c r="B164" i="18"/>
  <c r="X163" i="18"/>
  <c r="Z163" i="18" s="1"/>
  <c r="L163" i="18"/>
  <c r="N163" i="18" s="1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L160" i="18"/>
  <c r="N160" i="18" s="1"/>
  <c r="B160" i="18"/>
  <c r="X159" i="18"/>
  <c r="Z159" i="18" s="1"/>
  <c r="L159" i="18"/>
  <c r="N159" i="18" s="1"/>
  <c r="B159" i="18"/>
  <c r="X158" i="18"/>
  <c r="Z158" i="18" s="1"/>
  <c r="N158" i="18"/>
  <c r="L158" i="18"/>
  <c r="B158" i="18"/>
  <c r="Z157" i="18"/>
  <c r="X157" i="18"/>
  <c r="L157" i="18"/>
  <c r="N157" i="18" s="1"/>
  <c r="B157" i="18"/>
  <c r="Z156" i="18"/>
  <c r="X156" i="18"/>
  <c r="N156" i="18"/>
  <c r="L156" i="18"/>
  <c r="B156" i="18"/>
  <c r="T155" i="18"/>
  <c r="P155" i="18"/>
  <c r="X155" i="18" s="1"/>
  <c r="H155" i="18"/>
  <c r="D155" i="18"/>
  <c r="L155" i="18" s="1"/>
  <c r="N155" i="18" s="1"/>
  <c r="B155" i="18"/>
  <c r="X154" i="18"/>
  <c r="Z154" i="18" s="1"/>
  <c r="T154" i="18"/>
  <c r="P154" i="18"/>
  <c r="H154" i="18"/>
  <c r="D154" i="18"/>
  <c r="L154" i="18" s="1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L96" i="18"/>
  <c r="N96" i="18" s="1"/>
  <c r="B96" i="18"/>
  <c r="X95" i="18"/>
  <c r="Z95" i="18" s="1"/>
  <c r="T95" i="18"/>
  <c r="P95" i="18"/>
  <c r="L95" i="18"/>
  <c r="H95" i="18"/>
  <c r="N95" i="18" s="1"/>
  <c r="D95" i="18"/>
  <c r="Z93" i="18"/>
  <c r="P93" i="18"/>
  <c r="X93" i="18" s="1"/>
  <c r="N93" i="18"/>
  <c r="D93" i="18"/>
  <c r="L93" i="18" s="1"/>
  <c r="B93" i="18"/>
  <c r="Z92" i="18"/>
  <c r="X92" i="18"/>
  <c r="P92" i="18"/>
  <c r="N92" i="18"/>
  <c r="L92" i="18"/>
  <c r="D92" i="18"/>
  <c r="B92" i="18"/>
  <c r="Z91" i="18"/>
  <c r="P91" i="18"/>
  <c r="X91" i="18" s="1"/>
  <c r="N91" i="18"/>
  <c r="D91" i="18"/>
  <c r="L91" i="18" s="1"/>
  <c r="B91" i="18"/>
  <c r="Z90" i="18"/>
  <c r="X90" i="18"/>
  <c r="P90" i="18"/>
  <c r="N90" i="18"/>
  <c r="D90" i="18"/>
  <c r="L90" i="18" s="1"/>
  <c r="B90" i="18"/>
  <c r="Z89" i="18"/>
  <c r="P89" i="18"/>
  <c r="X89" i="18" s="1"/>
  <c r="N89" i="18"/>
  <c r="L89" i="18"/>
  <c r="D89" i="18"/>
  <c r="B89" i="18"/>
  <c r="Z88" i="18"/>
  <c r="P88" i="18"/>
  <c r="X88" i="18" s="1"/>
  <c r="N88" i="18"/>
  <c r="D88" i="18"/>
  <c r="L88" i="18" s="1"/>
  <c r="B88" i="18"/>
  <c r="Z87" i="18"/>
  <c r="X87" i="18"/>
  <c r="P87" i="18"/>
  <c r="N87" i="18"/>
  <c r="L87" i="18"/>
  <c r="D87" i="18"/>
  <c r="B87" i="18"/>
  <c r="Z86" i="18"/>
  <c r="P86" i="18"/>
  <c r="X86" i="18" s="1"/>
  <c r="N86" i="18"/>
  <c r="D86" i="18"/>
  <c r="L86" i="18" s="1"/>
  <c r="B86" i="18"/>
  <c r="Z85" i="18"/>
  <c r="P85" i="18"/>
  <c r="X85" i="18" s="1"/>
  <c r="N85" i="18"/>
  <c r="D85" i="18"/>
  <c r="L85" i="18" s="1"/>
  <c r="B85" i="18"/>
  <c r="Z84" i="18"/>
  <c r="X84" i="18"/>
  <c r="P84" i="18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X82" i="18"/>
  <c r="P82" i="18"/>
  <c r="N82" i="18"/>
  <c r="D82" i="18"/>
  <c r="L82" i="18" s="1"/>
  <c r="B82" i="18"/>
  <c r="Z81" i="18"/>
  <c r="P81" i="18"/>
  <c r="X81" i="18" s="1"/>
  <c r="N81" i="18"/>
  <c r="L81" i="18"/>
  <c r="D81" i="18"/>
  <c r="B81" i="18"/>
  <c r="Z80" i="18"/>
  <c r="P80" i="18"/>
  <c r="X80" i="18" s="1"/>
  <c r="N80" i="18"/>
  <c r="D80" i="18"/>
  <c r="L80" i="18" s="1"/>
  <c r="B80" i="18"/>
  <c r="Z79" i="18"/>
  <c r="X79" i="18"/>
  <c r="P79" i="18"/>
  <c r="N79" i="18"/>
  <c r="L79" i="18"/>
  <c r="D79" i="18"/>
  <c r="B79" i="18"/>
  <c r="Z78" i="18"/>
  <c r="P78" i="18"/>
  <c r="X78" i="18" s="1"/>
  <c r="N78" i="18"/>
  <c r="D78" i="18"/>
  <c r="L78" i="18" s="1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X74" i="18"/>
  <c r="P74" i="18"/>
  <c r="N74" i="18"/>
  <c r="D74" i="18"/>
  <c r="L74" i="18" s="1"/>
  <c r="B74" i="18"/>
  <c r="Z73" i="18"/>
  <c r="P73" i="18"/>
  <c r="X73" i="18" s="1"/>
  <c r="N73" i="18"/>
  <c r="D73" i="18"/>
  <c r="L73" i="18" s="1"/>
  <c r="B73" i="18"/>
  <c r="Z72" i="18"/>
  <c r="P72" i="18"/>
  <c r="X72" i="18" s="1"/>
  <c r="N72" i="18"/>
  <c r="D72" i="18"/>
  <c r="L72" i="18" s="1"/>
  <c r="B72" i="18"/>
  <c r="Z71" i="18"/>
  <c r="X71" i="18"/>
  <c r="P71" i="18"/>
  <c r="N71" i="18"/>
  <c r="L71" i="18"/>
  <c r="D71" i="18"/>
  <c r="B71" i="18"/>
  <c r="Z70" i="18"/>
  <c r="P70" i="18"/>
  <c r="X70" i="18" s="1"/>
  <c r="N70" i="18"/>
  <c r="D70" i="18"/>
  <c r="L70" i="18" s="1"/>
  <c r="B70" i="18"/>
  <c r="Z69" i="18"/>
  <c r="P69" i="18"/>
  <c r="X69" i="18" s="1"/>
  <c r="N69" i="18"/>
  <c r="D69" i="18"/>
  <c r="L69" i="18" s="1"/>
  <c r="B69" i="18"/>
  <c r="Z68" i="18"/>
  <c r="X68" i="18"/>
  <c r="P68" i="18"/>
  <c r="N68" i="18"/>
  <c r="L68" i="18"/>
  <c r="D68" i="18"/>
  <c r="B68" i="18"/>
  <c r="Z67" i="18"/>
  <c r="P67" i="18"/>
  <c r="X67" i="18" s="1"/>
  <c r="N67" i="18"/>
  <c r="D67" i="18"/>
  <c r="L67" i="18" s="1"/>
  <c r="B67" i="18"/>
  <c r="Z66" i="18"/>
  <c r="X66" i="18"/>
  <c r="P66" i="18"/>
  <c r="N66" i="18"/>
  <c r="D66" i="18"/>
  <c r="L66" i="18" s="1"/>
  <c r="B66" i="18"/>
  <c r="Z65" i="18"/>
  <c r="P65" i="18"/>
  <c r="X65" i="18" s="1"/>
  <c r="N65" i="18"/>
  <c r="L65" i="18"/>
  <c r="D65" i="18"/>
  <c r="B65" i="18"/>
  <c r="Z64" i="18"/>
  <c r="P64" i="18"/>
  <c r="X64" i="18" s="1"/>
  <c r="N64" i="18"/>
  <c r="D64" i="18"/>
  <c r="L64" i="18" s="1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D62" i="18"/>
  <c r="L62" i="18" s="1"/>
  <c r="B62" i="18"/>
  <c r="Z61" i="18"/>
  <c r="P61" i="18"/>
  <c r="X61" i="18" s="1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D58" i="18"/>
  <c r="L58" i="18" s="1"/>
  <c r="B58" i="18"/>
  <c r="Z57" i="18"/>
  <c r="P57" i="18"/>
  <c r="X57" i="18" s="1"/>
  <c r="N57" i="18"/>
  <c r="L57" i="18"/>
  <c r="D57" i="18"/>
  <c r="B57" i="18"/>
  <c r="Z56" i="18"/>
  <c r="P56" i="18"/>
  <c r="X56" i="18" s="1"/>
  <c r="N56" i="18"/>
  <c r="D56" i="18"/>
  <c r="L56" i="18" s="1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D54" i="18"/>
  <c r="L54" i="18" s="1"/>
  <c r="B54" i="18"/>
  <c r="Z53" i="18"/>
  <c r="P53" i="18"/>
  <c r="X53" i="18" s="1"/>
  <c r="N53" i="18"/>
  <c r="D53" i="18"/>
  <c r="L53" i="18" s="1"/>
  <c r="B53" i="18"/>
  <c r="Z52" i="18"/>
  <c r="X52" i="18"/>
  <c r="P52" i="18"/>
  <c r="N52" i="18"/>
  <c r="L52" i="18"/>
  <c r="D52" i="18"/>
  <c r="B52" i="18"/>
  <c r="Z51" i="18"/>
  <c r="P51" i="18"/>
  <c r="X51" i="18" s="1"/>
  <c r="N51" i="18"/>
  <c r="D51" i="18"/>
  <c r="L51" i="18" s="1"/>
  <c r="B51" i="18"/>
  <c r="Z50" i="18"/>
  <c r="X50" i="18"/>
  <c r="P50" i="18"/>
  <c r="N50" i="18"/>
  <c r="D50" i="18"/>
  <c r="L50" i="18" s="1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X47" i="18"/>
  <c r="P47" i="18"/>
  <c r="N47" i="18"/>
  <c r="L47" i="18"/>
  <c r="D47" i="18"/>
  <c r="B47" i="18"/>
  <c r="Z46" i="18"/>
  <c r="P46" i="18"/>
  <c r="X46" i="18" s="1"/>
  <c r="N46" i="18"/>
  <c r="D46" i="18"/>
  <c r="L46" i="18" s="1"/>
  <c r="B46" i="18"/>
  <c r="Z45" i="18"/>
  <c r="P45" i="18"/>
  <c r="X45" i="18" s="1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P43" i="18"/>
  <c r="X43" i="18" s="1"/>
  <c r="N43" i="18"/>
  <c r="D43" i="18"/>
  <c r="L43" i="18" s="1"/>
  <c r="B43" i="18"/>
  <c r="Z42" i="18"/>
  <c r="X42" i="18"/>
  <c r="P42" i="18"/>
  <c r="N42" i="18"/>
  <c r="D42" i="18"/>
  <c r="L42" i="18" s="1"/>
  <c r="B42" i="18"/>
  <c r="Z41" i="18"/>
  <c r="P41" i="18"/>
  <c r="X41" i="18" s="1"/>
  <c r="N41" i="18"/>
  <c r="L41" i="18"/>
  <c r="D41" i="18"/>
  <c r="B41" i="18"/>
  <c r="Z40" i="18"/>
  <c r="P40" i="18"/>
  <c r="X40" i="18" s="1"/>
  <c r="N40" i="18"/>
  <c r="D40" i="18"/>
  <c r="L40" i="18" s="1"/>
  <c r="B40" i="18"/>
  <c r="Z39" i="18"/>
  <c r="X39" i="18"/>
  <c r="P39" i="18"/>
  <c r="N39" i="18"/>
  <c r="L39" i="18"/>
  <c r="D39" i="18"/>
  <c r="B39" i="18"/>
  <c r="P38" i="18"/>
  <c r="X38" i="18" s="1"/>
  <c r="Z38" i="18" s="1"/>
  <c r="D38" i="18"/>
  <c r="L38" i="18" s="1"/>
  <c r="N38" i="18" s="1"/>
  <c r="B38" i="18"/>
  <c r="Z37" i="18"/>
  <c r="P37" i="18"/>
  <c r="X37" i="18" s="1"/>
  <c r="N37" i="18"/>
  <c r="D37" i="18"/>
  <c r="L37" i="18" s="1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D35" i="18"/>
  <c r="L35" i="18" s="1"/>
  <c r="B35" i="18"/>
  <c r="Z34" i="18"/>
  <c r="X34" i="18"/>
  <c r="P34" i="18"/>
  <c r="N34" i="18"/>
  <c r="D34" i="18"/>
  <c r="L34" i="18" s="1"/>
  <c r="B34" i="18"/>
  <c r="Z33" i="18"/>
  <c r="P33" i="18"/>
  <c r="X33" i="18" s="1"/>
  <c r="N33" i="18"/>
  <c r="D33" i="18"/>
  <c r="L33" i="18" s="1"/>
  <c r="B33" i="18"/>
  <c r="Z32" i="18"/>
  <c r="P32" i="18"/>
  <c r="X32" i="18" s="1"/>
  <c r="N32" i="18"/>
  <c r="D32" i="18"/>
  <c r="L32" i="18" s="1"/>
  <c r="B32" i="18"/>
  <c r="Z31" i="18"/>
  <c r="X31" i="18"/>
  <c r="P31" i="18"/>
  <c r="N31" i="18"/>
  <c r="L31" i="18"/>
  <c r="D31" i="18"/>
  <c r="B31" i="18"/>
  <c r="Z30" i="18"/>
  <c r="P30" i="18"/>
  <c r="X30" i="18" s="1"/>
  <c r="N30" i="18"/>
  <c r="D30" i="18"/>
  <c r="L30" i="18" s="1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L28" i="18"/>
  <c r="D28" i="18"/>
  <c r="B28" i="18"/>
  <c r="Z27" i="18"/>
  <c r="P27" i="18"/>
  <c r="X27" i="18" s="1"/>
  <c r="N27" i="18"/>
  <c r="D27" i="18"/>
  <c r="L27" i="18" s="1"/>
  <c r="B27" i="18"/>
  <c r="Z26" i="18"/>
  <c r="X26" i="18"/>
  <c r="P26" i="18"/>
  <c r="N26" i="18"/>
  <c r="D26" i="18"/>
  <c r="L26" i="18" s="1"/>
  <c r="B26" i="18"/>
  <c r="Z25" i="18"/>
  <c r="P25" i="18"/>
  <c r="X25" i="18" s="1"/>
  <c r="N25" i="18"/>
  <c r="L25" i="18"/>
  <c r="D25" i="18"/>
  <c r="B25" i="18"/>
  <c r="Z24" i="18"/>
  <c r="P24" i="18"/>
  <c r="X24" i="18" s="1"/>
  <c r="N24" i="18"/>
  <c r="D24" i="18"/>
  <c r="L24" i="18" s="1"/>
  <c r="B24" i="18"/>
  <c r="Z23" i="18"/>
  <c r="X23" i="18"/>
  <c r="P23" i="18"/>
  <c r="N23" i="18"/>
  <c r="L23" i="18"/>
  <c r="D23" i="18"/>
  <c r="B23" i="18"/>
  <c r="Z22" i="18"/>
  <c r="P22" i="18"/>
  <c r="X22" i="18" s="1"/>
  <c r="N22" i="18"/>
  <c r="D22" i="18"/>
  <c r="L22" i="18" s="1"/>
  <c r="B22" i="18"/>
  <c r="Z21" i="18"/>
  <c r="P21" i="18"/>
  <c r="X21" i="18" s="1"/>
  <c r="N21" i="18"/>
  <c r="D21" i="18"/>
  <c r="L21" i="18" s="1"/>
  <c r="B21" i="18"/>
  <c r="Z20" i="18"/>
  <c r="X20" i="18"/>
  <c r="P20" i="18"/>
  <c r="N20" i="18"/>
  <c r="L20" i="18"/>
  <c r="D20" i="18"/>
  <c r="B20" i="18"/>
  <c r="Z19" i="18"/>
  <c r="P19" i="18"/>
  <c r="X19" i="18" s="1"/>
  <c r="N19" i="18"/>
  <c r="D19" i="18"/>
  <c r="L19" i="18" s="1"/>
  <c r="B19" i="18"/>
  <c r="Z18" i="18"/>
  <c r="X18" i="18"/>
  <c r="P18" i="18"/>
  <c r="N18" i="18"/>
  <c r="D18" i="18"/>
  <c r="L18" i="18" s="1"/>
  <c r="B18" i="18"/>
  <c r="Z17" i="18"/>
  <c r="P17" i="18"/>
  <c r="X17" i="18" s="1"/>
  <c r="N17" i="18"/>
  <c r="L17" i="18"/>
  <c r="D17" i="18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L15" i="18"/>
  <c r="D15" i="18"/>
  <c r="B15" i="18"/>
  <c r="Z14" i="18"/>
  <c r="P14" i="18"/>
  <c r="X14" i="18" s="1"/>
  <c r="N14" i="18"/>
  <c r="D14" i="18"/>
  <c r="L14" i="18" s="1"/>
  <c r="B14" i="18"/>
  <c r="P13" i="18"/>
  <c r="X13" i="18" s="1"/>
  <c r="Z13" i="18" s="1"/>
  <c r="D13" i="18"/>
  <c r="L13" i="18" s="1"/>
  <c r="N13" i="18" s="1"/>
  <c r="B13" i="18"/>
  <c r="T12" i="18"/>
  <c r="V254" i="18" s="1"/>
  <c r="H12" i="18"/>
  <c r="J241" i="18" s="1"/>
  <c r="D12" i="18"/>
  <c r="F250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2" i="17" s="1"/>
  <c r="P12" i="17"/>
  <c r="R22" i="17" s="1"/>
  <c r="H12" i="17"/>
  <c r="J20" i="17" s="1"/>
  <c r="D12" i="17"/>
  <c r="F22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P12" i="16"/>
  <c r="R21" i="16" s="1"/>
  <c r="H12" i="16"/>
  <c r="D12" i="16"/>
  <c r="F36" i="16" s="1"/>
  <c r="D5" i="16"/>
  <c r="D4" i="16"/>
  <c r="X240" i="15"/>
  <c r="Z240" i="15" s="1"/>
  <c r="N240" i="15"/>
  <c r="L240" i="15"/>
  <c r="Z236" i="15"/>
  <c r="X236" i="15"/>
  <c r="P236" i="15"/>
  <c r="N236" i="15"/>
  <c r="D236" i="15"/>
  <c r="L236" i="15" s="1"/>
  <c r="B236" i="15"/>
  <c r="Z235" i="15"/>
  <c r="P235" i="15"/>
  <c r="X235" i="15" s="1"/>
  <c r="N235" i="15"/>
  <c r="L235" i="15"/>
  <c r="D235" i="15"/>
  <c r="B235" i="15"/>
  <c r="X234" i="15"/>
  <c r="Z234" i="15" s="1"/>
  <c r="P234" i="15"/>
  <c r="D234" i="15"/>
  <c r="L234" i="15" s="1"/>
  <c r="N234" i="15" s="1"/>
  <c r="B234" i="15"/>
  <c r="P233" i="15"/>
  <c r="X233" i="15" s="1"/>
  <c r="Z233" i="15" s="1"/>
  <c r="L233" i="15"/>
  <c r="N233" i="15" s="1"/>
  <c r="D233" i="15"/>
  <c r="B233" i="15"/>
  <c r="Z232" i="15"/>
  <c r="P232" i="15"/>
  <c r="P231" i="15" s="1"/>
  <c r="X231" i="15" s="1"/>
  <c r="Z231" i="15" s="1"/>
  <c r="N232" i="15"/>
  <c r="D232" i="15"/>
  <c r="L232" i="15" s="1"/>
  <c r="B232" i="15"/>
  <c r="T231" i="15"/>
  <c r="H231" i="15"/>
  <c r="Z229" i="15"/>
  <c r="X229" i="15"/>
  <c r="L229" i="15"/>
  <c r="N229" i="15" s="1"/>
  <c r="B229" i="15"/>
  <c r="X228" i="15"/>
  <c r="T228" i="15"/>
  <c r="Z228" i="15" s="1"/>
  <c r="P228" i="15"/>
  <c r="H228" i="15"/>
  <c r="D228" i="15"/>
  <c r="B228" i="15"/>
  <c r="X227" i="15"/>
  <c r="Z227" i="15" s="1"/>
  <c r="N227" i="15"/>
  <c r="L227" i="15"/>
  <c r="B227" i="15"/>
  <c r="X226" i="15"/>
  <c r="Z226" i="15" s="1"/>
  <c r="L226" i="15"/>
  <c r="N226" i="15" s="1"/>
  <c r="B226" i="15"/>
  <c r="Z225" i="15"/>
  <c r="X225" i="15"/>
  <c r="N225" i="15"/>
  <c r="L225" i="15"/>
  <c r="B225" i="15"/>
  <c r="X224" i="15"/>
  <c r="T224" i="15"/>
  <c r="Z224" i="15" s="1"/>
  <c r="P224" i="15"/>
  <c r="H224" i="15"/>
  <c r="D224" i="15"/>
  <c r="B224" i="15"/>
  <c r="Z223" i="15"/>
  <c r="X223" i="15"/>
  <c r="N223" i="15"/>
  <c r="L223" i="15"/>
  <c r="B223" i="15"/>
  <c r="T222" i="15"/>
  <c r="P222" i="15"/>
  <c r="N222" i="15"/>
  <c r="H222" i="15"/>
  <c r="D222" i="15"/>
  <c r="L222" i="15" s="1"/>
  <c r="B222" i="15"/>
  <c r="X221" i="15"/>
  <c r="Z221" i="15" s="1"/>
  <c r="N221" i="15"/>
  <c r="L221" i="15"/>
  <c r="B221" i="15"/>
  <c r="Z220" i="15"/>
  <c r="X220" i="15"/>
  <c r="L220" i="15"/>
  <c r="N220" i="15" s="1"/>
  <c r="B220" i="15"/>
  <c r="Z219" i="15"/>
  <c r="X219" i="15"/>
  <c r="T219" i="15"/>
  <c r="P219" i="15"/>
  <c r="L219" i="15"/>
  <c r="N219" i="15" s="1"/>
  <c r="H219" i="15"/>
  <c r="D219" i="15"/>
  <c r="B219" i="15"/>
  <c r="X218" i="15"/>
  <c r="Z218" i="15" s="1"/>
  <c r="L218" i="15"/>
  <c r="N218" i="15" s="1"/>
  <c r="B218" i="15"/>
  <c r="X217" i="15"/>
  <c r="Z217" i="15" s="1"/>
  <c r="N217" i="15"/>
  <c r="L217" i="15"/>
  <c r="B217" i="15"/>
  <c r="Z216" i="15"/>
  <c r="X216" i="15"/>
  <c r="L216" i="15"/>
  <c r="N216" i="15" s="1"/>
  <c r="B216" i="15"/>
  <c r="Z215" i="15"/>
  <c r="X215" i="15"/>
  <c r="N215" i="15"/>
  <c r="L215" i="15"/>
  <c r="B215" i="15"/>
  <c r="X214" i="15"/>
  <c r="Z214" i="15" s="1"/>
  <c r="L214" i="15"/>
  <c r="N214" i="15" s="1"/>
  <c r="B214" i="15"/>
  <c r="Z213" i="15"/>
  <c r="X213" i="15"/>
  <c r="L213" i="15"/>
  <c r="N213" i="15" s="1"/>
  <c r="B213" i="15"/>
  <c r="X212" i="15"/>
  <c r="Z212" i="15" s="1"/>
  <c r="N212" i="15"/>
  <c r="L212" i="15"/>
  <c r="B212" i="15"/>
  <c r="Z211" i="15"/>
  <c r="X211" i="15"/>
  <c r="L211" i="15"/>
  <c r="N211" i="15" s="1"/>
  <c r="B211" i="15"/>
  <c r="X210" i="15"/>
  <c r="Z210" i="15" s="1"/>
  <c r="L210" i="15"/>
  <c r="N210" i="15" s="1"/>
  <c r="B210" i="15"/>
  <c r="X209" i="15"/>
  <c r="Z209" i="15" s="1"/>
  <c r="T209" i="15"/>
  <c r="P209" i="15"/>
  <c r="H209" i="15"/>
  <c r="D209" i="15"/>
  <c r="L209" i="15" s="1"/>
  <c r="B209" i="15"/>
  <c r="X208" i="15"/>
  <c r="Z208" i="15" s="1"/>
  <c r="N208" i="15"/>
  <c r="L208" i="15"/>
  <c r="B208" i="15"/>
  <c r="Z207" i="15"/>
  <c r="X207" i="15"/>
  <c r="L207" i="15"/>
  <c r="N207" i="15" s="1"/>
  <c r="B207" i="15"/>
  <c r="T206" i="15"/>
  <c r="Z206" i="15" s="1"/>
  <c r="P206" i="15"/>
  <c r="X206" i="15" s="1"/>
  <c r="L206" i="15"/>
  <c r="H206" i="15"/>
  <c r="N206" i="15" s="1"/>
  <c r="D206" i="15"/>
  <c r="B206" i="15"/>
  <c r="Z205" i="15"/>
  <c r="X205" i="15"/>
  <c r="L205" i="15"/>
  <c r="N205" i="15" s="1"/>
  <c r="B205" i="15"/>
  <c r="X204" i="15"/>
  <c r="Z204" i="15" s="1"/>
  <c r="N204" i="15"/>
  <c r="L204" i="15"/>
  <c r="B204" i="15"/>
  <c r="Z203" i="15"/>
  <c r="X203" i="15"/>
  <c r="N203" i="15"/>
  <c r="L203" i="15"/>
  <c r="B203" i="15"/>
  <c r="X202" i="15"/>
  <c r="Z202" i="15" s="1"/>
  <c r="L202" i="15"/>
  <c r="N202" i="15" s="1"/>
  <c r="B202" i="15"/>
  <c r="X201" i="15"/>
  <c r="T201" i="15"/>
  <c r="Z201" i="15" s="1"/>
  <c r="P201" i="15"/>
  <c r="H201" i="15"/>
  <c r="D201" i="15"/>
  <c r="L201" i="15" s="1"/>
  <c r="B201" i="15"/>
  <c r="X200" i="15"/>
  <c r="Z200" i="15" s="1"/>
  <c r="N200" i="15"/>
  <c r="L200" i="15"/>
  <c r="B200" i="15"/>
  <c r="Z199" i="15"/>
  <c r="X199" i="15"/>
  <c r="L199" i="15"/>
  <c r="N199" i="15" s="1"/>
  <c r="B199" i="15"/>
  <c r="X198" i="15"/>
  <c r="Z198" i="15" s="1"/>
  <c r="L198" i="15"/>
  <c r="N198" i="15" s="1"/>
  <c r="B198" i="15"/>
  <c r="X197" i="15"/>
  <c r="Z197" i="15" s="1"/>
  <c r="N197" i="15"/>
  <c r="L197" i="15"/>
  <c r="B197" i="15"/>
  <c r="T196" i="15"/>
  <c r="P196" i="15"/>
  <c r="X196" i="15" s="1"/>
  <c r="Z196" i="15" s="1"/>
  <c r="H196" i="15"/>
  <c r="D196" i="15"/>
  <c r="L196" i="15" s="1"/>
  <c r="B196" i="15"/>
  <c r="Z195" i="15"/>
  <c r="X195" i="15"/>
  <c r="L195" i="15"/>
  <c r="N195" i="15" s="1"/>
  <c r="B195" i="15"/>
  <c r="X194" i="15"/>
  <c r="Z194" i="15" s="1"/>
  <c r="L194" i="15"/>
  <c r="N194" i="15" s="1"/>
  <c r="B194" i="15"/>
  <c r="Z193" i="15"/>
  <c r="X193" i="15"/>
  <c r="N193" i="15"/>
  <c r="L193" i="15"/>
  <c r="B193" i="15"/>
  <c r="Z192" i="15"/>
  <c r="X192" i="15"/>
  <c r="N192" i="15"/>
  <c r="L192" i="15"/>
  <c r="B192" i="15"/>
  <c r="T191" i="15"/>
  <c r="P191" i="15"/>
  <c r="L191" i="15"/>
  <c r="N191" i="15" s="1"/>
  <c r="H191" i="15"/>
  <c r="D191" i="15"/>
  <c r="B191" i="15"/>
  <c r="X190" i="15"/>
  <c r="Z190" i="15" s="1"/>
  <c r="L190" i="15"/>
  <c r="N190" i="15" s="1"/>
  <c r="B190" i="15"/>
  <c r="X189" i="15"/>
  <c r="Z189" i="15" s="1"/>
  <c r="T189" i="15"/>
  <c r="P189" i="15"/>
  <c r="H189" i="15"/>
  <c r="D189" i="15"/>
  <c r="L189" i="15" s="1"/>
  <c r="B189" i="15"/>
  <c r="X188" i="15"/>
  <c r="Z188" i="15" s="1"/>
  <c r="N188" i="15"/>
  <c r="L188" i="15"/>
  <c r="B188" i="15"/>
  <c r="T187" i="15"/>
  <c r="Z187" i="15" s="1"/>
  <c r="P187" i="15"/>
  <c r="X187" i="15" s="1"/>
  <c r="N187" i="15"/>
  <c r="H187" i="15"/>
  <c r="D187" i="15"/>
  <c r="L187" i="15" s="1"/>
  <c r="B187" i="15"/>
  <c r="Z186" i="15"/>
  <c r="X186" i="15"/>
  <c r="N186" i="15"/>
  <c r="L186" i="15"/>
  <c r="B186" i="15"/>
  <c r="Z185" i="15"/>
  <c r="X185" i="15"/>
  <c r="L185" i="15"/>
  <c r="N185" i="15" s="1"/>
  <c r="B185" i="15"/>
  <c r="X184" i="15"/>
  <c r="T184" i="15"/>
  <c r="Z184" i="15" s="1"/>
  <c r="P184" i="15"/>
  <c r="H184" i="15"/>
  <c r="D184" i="15"/>
  <c r="B184" i="15"/>
  <c r="X183" i="15"/>
  <c r="Z183" i="15" s="1"/>
  <c r="N183" i="15"/>
  <c r="L183" i="15"/>
  <c r="B183" i="15"/>
  <c r="T182" i="15"/>
  <c r="P182" i="15"/>
  <c r="H182" i="15"/>
  <c r="D182" i="15"/>
  <c r="L182" i="15" s="1"/>
  <c r="N182" i="15" s="1"/>
  <c r="B182" i="15"/>
  <c r="X181" i="15"/>
  <c r="Z181" i="15" s="1"/>
  <c r="N181" i="15"/>
  <c r="L181" i="15"/>
  <c r="B181" i="15"/>
  <c r="Z180" i="15"/>
  <c r="X180" i="15"/>
  <c r="N180" i="15"/>
  <c r="L180" i="15"/>
  <c r="B180" i="15"/>
  <c r="X179" i="15"/>
  <c r="Z179" i="15" s="1"/>
  <c r="N179" i="15"/>
  <c r="L179" i="15"/>
  <c r="B179" i="15"/>
  <c r="T178" i="15"/>
  <c r="P178" i="15"/>
  <c r="X178" i="15" s="1"/>
  <c r="H178" i="15"/>
  <c r="D178" i="15"/>
  <c r="L178" i="15" s="1"/>
  <c r="N178" i="15" s="1"/>
  <c r="B178" i="15"/>
  <c r="X177" i="15"/>
  <c r="Z177" i="15" s="1"/>
  <c r="N177" i="15"/>
  <c r="L177" i="15"/>
  <c r="B177" i="15"/>
  <c r="Z176" i="15"/>
  <c r="X176" i="15"/>
  <c r="L176" i="15"/>
  <c r="N176" i="15" s="1"/>
  <c r="B176" i="15"/>
  <c r="X175" i="15"/>
  <c r="Z175" i="15" s="1"/>
  <c r="T175" i="15"/>
  <c r="P175" i="15"/>
  <c r="L175" i="15"/>
  <c r="N175" i="15" s="1"/>
  <c r="H175" i="15"/>
  <c r="D175" i="15"/>
  <c r="B175" i="15"/>
  <c r="X174" i="15"/>
  <c r="Z174" i="15" s="1"/>
  <c r="L174" i="15"/>
  <c r="N174" i="15" s="1"/>
  <c r="B174" i="15"/>
  <c r="X173" i="15"/>
  <c r="Z173" i="15" s="1"/>
  <c r="T173" i="15"/>
  <c r="P173" i="15"/>
  <c r="H173" i="15"/>
  <c r="D173" i="15"/>
  <c r="L173" i="15" s="1"/>
  <c r="B173" i="15"/>
  <c r="X172" i="15"/>
  <c r="Z172" i="15" s="1"/>
  <c r="N172" i="15"/>
  <c r="L172" i="15"/>
  <c r="B172" i="15"/>
  <c r="T171" i="15"/>
  <c r="P171" i="15"/>
  <c r="X171" i="15" s="1"/>
  <c r="H171" i="15"/>
  <c r="D171" i="15"/>
  <c r="L171" i="15" s="1"/>
  <c r="N171" i="15" s="1"/>
  <c r="B171" i="15"/>
  <c r="X170" i="15"/>
  <c r="Z170" i="15" s="1"/>
  <c r="L170" i="15"/>
  <c r="N170" i="15" s="1"/>
  <c r="B170" i="15"/>
  <c r="Z169" i="15"/>
  <c r="X169" i="15"/>
  <c r="N169" i="15"/>
  <c r="L169" i="15"/>
  <c r="B169" i="15"/>
  <c r="X168" i="15"/>
  <c r="T168" i="15"/>
  <c r="Z168" i="15" s="1"/>
  <c r="P168" i="15"/>
  <c r="H168" i="15"/>
  <c r="D168" i="15"/>
  <c r="L168" i="15" s="1"/>
  <c r="B168" i="15"/>
  <c r="Z167" i="15"/>
  <c r="X167" i="15"/>
  <c r="N167" i="15"/>
  <c r="L167" i="15"/>
  <c r="B167" i="15"/>
  <c r="Z166" i="15"/>
  <c r="X166" i="15"/>
  <c r="L166" i="15"/>
  <c r="N166" i="15" s="1"/>
  <c r="B166" i="15"/>
  <c r="T165" i="15"/>
  <c r="P165" i="15"/>
  <c r="X165" i="15" s="1"/>
  <c r="Z165" i="15" s="1"/>
  <c r="L165" i="15"/>
  <c r="H165" i="15"/>
  <c r="N165" i="15" s="1"/>
  <c r="D165" i="15"/>
  <c r="B165" i="15"/>
  <c r="Z164" i="15"/>
  <c r="X164" i="15"/>
  <c r="L164" i="15"/>
  <c r="N164" i="15" s="1"/>
  <c r="B164" i="15"/>
  <c r="Z163" i="15"/>
  <c r="X163" i="15"/>
  <c r="N163" i="15"/>
  <c r="L163" i="15"/>
  <c r="B163" i="15"/>
  <c r="T162" i="15"/>
  <c r="P162" i="15"/>
  <c r="X162" i="15" s="1"/>
  <c r="H162" i="15"/>
  <c r="D162" i="15"/>
  <c r="L162" i="15" s="1"/>
  <c r="N162" i="15" s="1"/>
  <c r="B162" i="15"/>
  <c r="X161" i="15"/>
  <c r="Z161" i="15" s="1"/>
  <c r="N161" i="15"/>
  <c r="L161" i="15"/>
  <c r="B161" i="15"/>
  <c r="T160" i="15"/>
  <c r="P160" i="15"/>
  <c r="X160" i="15" s="1"/>
  <c r="Z160" i="15" s="1"/>
  <c r="L160" i="15"/>
  <c r="H160" i="15"/>
  <c r="N160" i="15" s="1"/>
  <c r="D160" i="15"/>
  <c r="B160" i="15"/>
  <c r="Z159" i="15"/>
  <c r="X159" i="15"/>
  <c r="L159" i="15"/>
  <c r="N159" i="15" s="1"/>
  <c r="B159" i="15"/>
  <c r="X158" i="15"/>
  <c r="Z158" i="15" s="1"/>
  <c r="N158" i="15"/>
  <c r="L158" i="15"/>
  <c r="B158" i="15"/>
  <c r="X157" i="15"/>
  <c r="Z157" i="15" s="1"/>
  <c r="T157" i="15"/>
  <c r="P157" i="15"/>
  <c r="H157" i="15"/>
  <c r="D157" i="15"/>
  <c r="L157" i="15" s="1"/>
  <c r="B157" i="15"/>
  <c r="X156" i="15"/>
  <c r="Z156" i="15" s="1"/>
  <c r="N156" i="15"/>
  <c r="L156" i="15"/>
  <c r="B156" i="15"/>
  <c r="T155" i="15"/>
  <c r="P155" i="15"/>
  <c r="H155" i="15"/>
  <c r="N155" i="15" s="1"/>
  <c r="D155" i="15"/>
  <c r="L155" i="15" s="1"/>
  <c r="B155" i="15"/>
  <c r="Z154" i="15"/>
  <c r="X154" i="15"/>
  <c r="N154" i="15"/>
  <c r="L154" i="15"/>
  <c r="B154" i="15"/>
  <c r="Z153" i="15"/>
  <c r="X153" i="15"/>
  <c r="N153" i="15"/>
  <c r="L153" i="15"/>
  <c r="B153" i="15"/>
  <c r="X152" i="15"/>
  <c r="Z152" i="15" s="1"/>
  <c r="N152" i="15"/>
  <c r="L152" i="15"/>
  <c r="B152" i="15"/>
  <c r="Z151" i="15"/>
  <c r="X151" i="15"/>
  <c r="L151" i="15"/>
  <c r="N151" i="15" s="1"/>
  <c r="B151" i="15"/>
  <c r="Z150" i="15"/>
  <c r="X150" i="15"/>
  <c r="N150" i="15"/>
  <c r="L150" i="15"/>
  <c r="B150" i="15"/>
  <c r="X149" i="15"/>
  <c r="Z149" i="15" s="1"/>
  <c r="N149" i="15"/>
  <c r="L149" i="15"/>
  <c r="B149" i="15"/>
  <c r="Z148" i="15"/>
  <c r="X148" i="15"/>
  <c r="L148" i="15"/>
  <c r="N148" i="15" s="1"/>
  <c r="B148" i="15"/>
  <c r="Z147" i="15"/>
  <c r="X147" i="15"/>
  <c r="N147" i="15"/>
  <c r="L147" i="15"/>
  <c r="B147" i="15"/>
  <c r="X146" i="15"/>
  <c r="Z146" i="15" s="1"/>
  <c r="L146" i="15"/>
  <c r="N146" i="15" s="1"/>
  <c r="B146" i="15"/>
  <c r="Z145" i="15"/>
  <c r="X145" i="15"/>
  <c r="L145" i="15"/>
  <c r="N145" i="15" s="1"/>
  <c r="B145" i="15"/>
  <c r="T144" i="15"/>
  <c r="P144" i="15"/>
  <c r="H144" i="15"/>
  <c r="N144" i="15" s="1"/>
  <c r="D144" i="15"/>
  <c r="L144" i="15" s="1"/>
  <c r="B144" i="15"/>
  <c r="X143" i="15"/>
  <c r="Z143" i="15" s="1"/>
  <c r="N143" i="15"/>
  <c r="L143" i="15"/>
  <c r="B143" i="15"/>
  <c r="X142" i="15"/>
  <c r="Z142" i="15" s="1"/>
  <c r="L142" i="15"/>
  <c r="N142" i="15" s="1"/>
  <c r="B142" i="15"/>
  <c r="Z141" i="15"/>
  <c r="X141" i="15"/>
  <c r="L141" i="15"/>
  <c r="N141" i="15" s="1"/>
  <c r="B141" i="15"/>
  <c r="Z140" i="15"/>
  <c r="X140" i="15"/>
  <c r="N140" i="15"/>
  <c r="L140" i="15"/>
  <c r="B140" i="15"/>
  <c r="Z139" i="15"/>
  <c r="X139" i="15"/>
  <c r="N139" i="15"/>
  <c r="L139" i="15"/>
  <c r="B139" i="15"/>
  <c r="X138" i="15"/>
  <c r="Z138" i="15" s="1"/>
  <c r="L138" i="15"/>
  <c r="N138" i="15" s="1"/>
  <c r="B138" i="15"/>
  <c r="X137" i="15"/>
  <c r="Z137" i="15" s="1"/>
  <c r="N137" i="15"/>
  <c r="L137" i="15"/>
  <c r="B137" i="15"/>
  <c r="Z136" i="15"/>
  <c r="X136" i="15"/>
  <c r="L136" i="15"/>
  <c r="N136" i="15" s="1"/>
  <c r="B136" i="15"/>
  <c r="X135" i="15"/>
  <c r="Z135" i="15" s="1"/>
  <c r="N135" i="15"/>
  <c r="L135" i="15"/>
  <c r="B135" i="15"/>
  <c r="X134" i="15"/>
  <c r="Z134" i="15" s="1"/>
  <c r="L134" i="15"/>
  <c r="N134" i="15" s="1"/>
  <c r="B134" i="15"/>
  <c r="T133" i="15"/>
  <c r="P133" i="15"/>
  <c r="X133" i="15" s="1"/>
  <c r="Z133" i="15" s="1"/>
  <c r="L133" i="15"/>
  <c r="H133" i="15"/>
  <c r="N133" i="15" s="1"/>
  <c r="D133" i="15"/>
  <c r="B133" i="15"/>
  <c r="T132" i="15"/>
  <c r="P132" i="15"/>
  <c r="X132" i="15" s="1"/>
  <c r="H132" i="15"/>
  <c r="D132" i="15"/>
  <c r="L132" i="15" s="1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B103" i="15"/>
  <c r="Z102" i="15"/>
  <c r="X102" i="15"/>
  <c r="N102" i="15"/>
  <c r="L102" i="15"/>
  <c r="B102" i="15"/>
  <c r="Z101" i="15"/>
  <c r="X101" i="15"/>
  <c r="N101" i="15"/>
  <c r="L101" i="15"/>
  <c r="B101" i="15"/>
  <c r="Z100" i="15"/>
  <c r="X100" i="15"/>
  <c r="N100" i="15"/>
  <c r="L100" i="15"/>
  <c r="B100" i="15"/>
  <c r="Z99" i="15"/>
  <c r="X99" i="15"/>
  <c r="N99" i="15"/>
  <c r="L99" i="15"/>
  <c r="B99" i="15"/>
  <c r="Z98" i="15"/>
  <c r="X98" i="15"/>
  <c r="N98" i="15"/>
  <c r="L98" i="15"/>
  <c r="B98" i="15"/>
  <c r="Z97" i="15"/>
  <c r="X97" i="15"/>
  <c r="N97" i="15"/>
  <c r="L97" i="15"/>
  <c r="B97" i="15"/>
  <c r="Z96" i="15"/>
  <c r="X96" i="15"/>
  <c r="N96" i="15"/>
  <c r="L96" i="15"/>
  <c r="B96" i="15"/>
  <c r="Z95" i="15"/>
  <c r="X95" i="15"/>
  <c r="N95" i="15"/>
  <c r="L95" i="15"/>
  <c r="B95" i="15"/>
  <c r="Z94" i="15"/>
  <c r="X94" i="15"/>
  <c r="N94" i="15"/>
  <c r="L94" i="15"/>
  <c r="B94" i="15"/>
  <c r="Z93" i="15"/>
  <c r="X93" i="15"/>
  <c r="N93" i="15"/>
  <c r="L93" i="15"/>
  <c r="B93" i="15"/>
  <c r="Z92" i="15"/>
  <c r="X92" i="15"/>
  <c r="N92" i="15"/>
  <c r="L92" i="15"/>
  <c r="B92" i="15"/>
  <c r="Z91" i="15"/>
  <c r="X91" i="15"/>
  <c r="N91" i="15"/>
  <c r="L91" i="15"/>
  <c r="B91" i="15"/>
  <c r="Z90" i="15"/>
  <c r="X90" i="15"/>
  <c r="N90" i="15"/>
  <c r="L90" i="15"/>
  <c r="B90" i="15"/>
  <c r="Z89" i="15"/>
  <c r="X89" i="15"/>
  <c r="N89" i="15"/>
  <c r="L89" i="15"/>
  <c r="B89" i="15"/>
  <c r="Z88" i="15"/>
  <c r="X88" i="15"/>
  <c r="N88" i="15"/>
  <c r="L88" i="15"/>
  <c r="B88" i="15"/>
  <c r="Z87" i="15"/>
  <c r="X87" i="15"/>
  <c r="N87" i="15"/>
  <c r="L87" i="15"/>
  <c r="B87" i="15"/>
  <c r="Z86" i="15"/>
  <c r="X86" i="15"/>
  <c r="N86" i="15"/>
  <c r="L86" i="15"/>
  <c r="B86" i="15"/>
  <c r="Z85" i="15"/>
  <c r="X85" i="15"/>
  <c r="N85" i="15"/>
  <c r="L85" i="15"/>
  <c r="B85" i="15"/>
  <c r="Z84" i="15"/>
  <c r="X84" i="15"/>
  <c r="N84" i="15"/>
  <c r="L84" i="15"/>
  <c r="B84" i="15"/>
  <c r="Z83" i="15"/>
  <c r="X83" i="15"/>
  <c r="N83" i="15"/>
  <c r="L83" i="15"/>
  <c r="B83" i="15"/>
  <c r="Z82" i="15"/>
  <c r="X82" i="15"/>
  <c r="N82" i="15"/>
  <c r="L82" i="15"/>
  <c r="B82" i="15"/>
  <c r="X81" i="15"/>
  <c r="Z81" i="15" s="1"/>
  <c r="N81" i="15"/>
  <c r="L81" i="15"/>
  <c r="B81" i="15"/>
  <c r="T80" i="15"/>
  <c r="P80" i="15"/>
  <c r="X80" i="15" s="1"/>
  <c r="H80" i="15"/>
  <c r="D80" i="15"/>
  <c r="L80" i="15" s="1"/>
  <c r="Z78" i="15"/>
  <c r="X78" i="15"/>
  <c r="P78" i="15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X76" i="15"/>
  <c r="P76" i="15"/>
  <c r="N76" i="15"/>
  <c r="D76" i="15"/>
  <c r="L76" i="15" s="1"/>
  <c r="B76" i="15"/>
  <c r="Z75" i="15"/>
  <c r="P75" i="15"/>
  <c r="X75" i="15" s="1"/>
  <c r="N75" i="15"/>
  <c r="L75" i="15"/>
  <c r="D75" i="15"/>
  <c r="B75" i="15"/>
  <c r="Z74" i="15"/>
  <c r="P74" i="15"/>
  <c r="X74" i="15" s="1"/>
  <c r="N74" i="15"/>
  <c r="D74" i="15"/>
  <c r="L74" i="15" s="1"/>
  <c r="B74" i="15"/>
  <c r="Z73" i="15"/>
  <c r="X73" i="15"/>
  <c r="P73" i="15"/>
  <c r="N73" i="15"/>
  <c r="L73" i="15"/>
  <c r="D73" i="15"/>
  <c r="B73" i="15"/>
  <c r="Z72" i="15"/>
  <c r="P72" i="15"/>
  <c r="X72" i="15" s="1"/>
  <c r="N72" i="15"/>
  <c r="D72" i="15"/>
  <c r="L72" i="15" s="1"/>
  <c r="B72" i="15"/>
  <c r="Z71" i="15"/>
  <c r="P71" i="15"/>
  <c r="X71" i="15" s="1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P69" i="15"/>
  <c r="X69" i="15" s="1"/>
  <c r="N69" i="15"/>
  <c r="D69" i="15"/>
  <c r="L69" i="15" s="1"/>
  <c r="B69" i="15"/>
  <c r="Z68" i="15"/>
  <c r="X68" i="15"/>
  <c r="P68" i="15"/>
  <c r="N68" i="15"/>
  <c r="D68" i="15"/>
  <c r="L68" i="15" s="1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D66" i="15"/>
  <c r="L66" i="15" s="1"/>
  <c r="B66" i="15"/>
  <c r="Z65" i="15"/>
  <c r="X65" i="15"/>
  <c r="P65" i="15"/>
  <c r="N65" i="15"/>
  <c r="L65" i="15"/>
  <c r="D65" i="15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D63" i="15"/>
  <c r="L63" i="15" s="1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D60" i="15"/>
  <c r="L60" i="15" s="1"/>
  <c r="B60" i="15"/>
  <c r="Z59" i="15"/>
  <c r="P59" i="15"/>
  <c r="X59" i="15" s="1"/>
  <c r="N59" i="15"/>
  <c r="L59" i="15"/>
  <c r="D59" i="15"/>
  <c r="B59" i="15"/>
  <c r="Z58" i="15"/>
  <c r="P58" i="15"/>
  <c r="X58" i="15" s="1"/>
  <c r="N58" i="15"/>
  <c r="D58" i="15"/>
  <c r="L58" i="15" s="1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D56" i="15"/>
  <c r="L56" i="15" s="1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X52" i="15"/>
  <c r="P52" i="15"/>
  <c r="N52" i="15"/>
  <c r="D52" i="15"/>
  <c r="L52" i="15" s="1"/>
  <c r="B52" i="15"/>
  <c r="Z51" i="15"/>
  <c r="P51" i="15"/>
  <c r="X51" i="15" s="1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L49" i="15"/>
  <c r="D49" i="15"/>
  <c r="B49" i="15"/>
  <c r="Z48" i="15"/>
  <c r="P48" i="15"/>
  <c r="X48" i="15" s="1"/>
  <c r="N48" i="15"/>
  <c r="D48" i="15"/>
  <c r="L48" i="15" s="1"/>
  <c r="B48" i="15"/>
  <c r="Z47" i="15"/>
  <c r="P47" i="15"/>
  <c r="X47" i="15" s="1"/>
  <c r="N47" i="15"/>
  <c r="D47" i="15"/>
  <c r="L47" i="15" s="1"/>
  <c r="B47" i="15"/>
  <c r="Z46" i="15"/>
  <c r="X46" i="15"/>
  <c r="P46" i="15"/>
  <c r="N46" i="15"/>
  <c r="L46" i="15"/>
  <c r="D46" i="15"/>
  <c r="B46" i="15"/>
  <c r="Z45" i="15"/>
  <c r="P45" i="15"/>
  <c r="X45" i="15" s="1"/>
  <c r="N45" i="15"/>
  <c r="D45" i="15"/>
  <c r="L45" i="15" s="1"/>
  <c r="B45" i="15"/>
  <c r="Z44" i="15"/>
  <c r="X44" i="15"/>
  <c r="P44" i="15"/>
  <c r="N44" i="15"/>
  <c r="D44" i="15"/>
  <c r="L44" i="15" s="1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X41" i="15"/>
  <c r="P41" i="15"/>
  <c r="N41" i="15"/>
  <c r="L41" i="15"/>
  <c r="D41" i="15"/>
  <c r="B41" i="15"/>
  <c r="Z40" i="15"/>
  <c r="P40" i="15"/>
  <c r="X40" i="15" s="1"/>
  <c r="N40" i="15"/>
  <c r="D40" i="15"/>
  <c r="L40" i="15" s="1"/>
  <c r="B40" i="15"/>
  <c r="Z39" i="15"/>
  <c r="P39" i="15"/>
  <c r="X39" i="15" s="1"/>
  <c r="N39" i="15"/>
  <c r="D39" i="15"/>
  <c r="L39" i="15" s="1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D36" i="15"/>
  <c r="L36" i="15" s="1"/>
  <c r="B36" i="15"/>
  <c r="P35" i="15"/>
  <c r="X35" i="15" s="1"/>
  <c r="Z35" i="15" s="1"/>
  <c r="L35" i="15"/>
  <c r="N35" i="15" s="1"/>
  <c r="D35" i="15"/>
  <c r="B35" i="15"/>
  <c r="Z34" i="15"/>
  <c r="P34" i="15"/>
  <c r="X34" i="15" s="1"/>
  <c r="N34" i="15"/>
  <c r="D34" i="15"/>
  <c r="L34" i="15" s="1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D32" i="15"/>
  <c r="L32" i="15" s="1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X28" i="15"/>
  <c r="P28" i="15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L25" i="15"/>
  <c r="D25" i="15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P21" i="15"/>
  <c r="X21" i="15" s="1"/>
  <c r="N21" i="15"/>
  <c r="D21" i="15"/>
  <c r="L21" i="15" s="1"/>
  <c r="B21" i="15"/>
  <c r="Z20" i="15"/>
  <c r="X20" i="15"/>
  <c r="P20" i="15"/>
  <c r="N20" i="15"/>
  <c r="D20" i="15"/>
  <c r="L20" i="15" s="1"/>
  <c r="B20" i="15"/>
  <c r="Z19" i="15"/>
  <c r="X19" i="15"/>
  <c r="P19" i="15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P16" i="15"/>
  <c r="X16" i="15" s="1"/>
  <c r="N16" i="15"/>
  <c r="L16" i="15"/>
  <c r="D16" i="15"/>
  <c r="B16" i="15"/>
  <c r="Z15" i="15"/>
  <c r="P15" i="15"/>
  <c r="X15" i="15" s="1"/>
  <c r="N15" i="15"/>
  <c r="D15" i="15"/>
  <c r="L15" i="15" s="1"/>
  <c r="B15" i="15"/>
  <c r="Z14" i="15"/>
  <c r="X14" i="15"/>
  <c r="P14" i="15"/>
  <c r="N14" i="15"/>
  <c r="L14" i="15"/>
  <c r="D14" i="15"/>
  <c r="B14" i="15"/>
  <c r="P13" i="15"/>
  <c r="X13" i="15" s="1"/>
  <c r="Z13" i="15" s="1"/>
  <c r="D13" i="15"/>
  <c r="L13" i="15" s="1"/>
  <c r="N13" i="15" s="1"/>
  <c r="B13" i="15"/>
  <c r="T12" i="15"/>
  <c r="V211" i="15" s="1"/>
  <c r="H12" i="15"/>
  <c r="J236" i="15" s="1"/>
  <c r="D4" i="15"/>
  <c r="B39" i="14"/>
  <c r="B38" i="14"/>
  <c r="T34" i="14"/>
  <c r="Z34" i="14" s="1"/>
  <c r="P34" i="14"/>
  <c r="H34" i="14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P20" i="14"/>
  <c r="H20" i="14"/>
  <c r="N20" i="14" s="1"/>
  <c r="D20" i="14"/>
  <c r="T16" i="14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36" i="14" s="1"/>
  <c r="P12" i="14"/>
  <c r="R21" i="14" s="1"/>
  <c r="H12" i="14"/>
  <c r="J20" i="14" s="1"/>
  <c r="D12" i="14"/>
  <c r="F36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L29" i="13" s="1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6" i="13" s="1"/>
  <c r="P12" i="13"/>
  <c r="R36" i="13" s="1"/>
  <c r="H12" i="13"/>
  <c r="J27" i="13" s="1"/>
  <c r="D12" i="13"/>
  <c r="F29" i="13" s="1"/>
  <c r="D5" i="13"/>
  <c r="D4" i="13"/>
  <c r="Z247" i="12"/>
  <c r="X247" i="12"/>
  <c r="N247" i="12"/>
  <c r="L247" i="12"/>
  <c r="Z243" i="12"/>
  <c r="P243" i="12"/>
  <c r="X243" i="12" s="1"/>
  <c r="N243" i="12"/>
  <c r="L243" i="12"/>
  <c r="D243" i="12"/>
  <c r="B243" i="12"/>
  <c r="Z242" i="12"/>
  <c r="X242" i="12"/>
  <c r="P242" i="12"/>
  <c r="N242" i="12"/>
  <c r="D242" i="12"/>
  <c r="L242" i="12" s="1"/>
  <c r="B242" i="12"/>
  <c r="P241" i="12"/>
  <c r="X241" i="12" s="1"/>
  <c r="Z241" i="12" s="1"/>
  <c r="L241" i="12"/>
  <c r="N241" i="12" s="1"/>
  <c r="D241" i="12"/>
  <c r="B241" i="12"/>
  <c r="X240" i="12"/>
  <c r="Z240" i="12" s="1"/>
  <c r="P240" i="12"/>
  <c r="D240" i="12"/>
  <c r="L240" i="12" s="1"/>
  <c r="N240" i="12" s="1"/>
  <c r="B240" i="12"/>
  <c r="Z239" i="12"/>
  <c r="P239" i="12"/>
  <c r="X239" i="12" s="1"/>
  <c r="N239" i="12"/>
  <c r="L239" i="12"/>
  <c r="D239" i="12"/>
  <c r="B239" i="12"/>
  <c r="T238" i="12"/>
  <c r="Z238" i="12" s="1"/>
  <c r="P238" i="12"/>
  <c r="X238" i="12" s="1"/>
  <c r="H238" i="12"/>
  <c r="D238" i="12"/>
  <c r="L238" i="12" s="1"/>
  <c r="X236" i="12"/>
  <c r="Z236" i="12" s="1"/>
  <c r="L236" i="12"/>
  <c r="N236" i="12" s="1"/>
  <c r="B236" i="12"/>
  <c r="Z235" i="12"/>
  <c r="X235" i="12"/>
  <c r="T235" i="12"/>
  <c r="P235" i="12"/>
  <c r="H235" i="12"/>
  <c r="D235" i="12"/>
  <c r="L235" i="12" s="1"/>
  <c r="N235" i="12" s="1"/>
  <c r="B235" i="12"/>
  <c r="X234" i="12"/>
  <c r="Z234" i="12" s="1"/>
  <c r="N234" i="12"/>
  <c r="L234" i="12"/>
  <c r="B234" i="12"/>
  <c r="Z233" i="12"/>
  <c r="X233" i="12"/>
  <c r="L233" i="12"/>
  <c r="N233" i="12" s="1"/>
  <c r="B233" i="12"/>
  <c r="X232" i="12"/>
  <c r="Z232" i="12" s="1"/>
  <c r="N232" i="12"/>
  <c r="L232" i="12"/>
  <c r="B232" i="12"/>
  <c r="Z231" i="12"/>
  <c r="X231" i="12"/>
  <c r="T231" i="12"/>
  <c r="P231" i="12"/>
  <c r="H231" i="12"/>
  <c r="D231" i="12"/>
  <c r="L231" i="12" s="1"/>
  <c r="N231" i="12" s="1"/>
  <c r="B231" i="12"/>
  <c r="X230" i="12"/>
  <c r="Z230" i="12" s="1"/>
  <c r="N230" i="12"/>
  <c r="L230" i="12"/>
  <c r="B230" i="12"/>
  <c r="T229" i="12"/>
  <c r="P229" i="12"/>
  <c r="X229" i="12" s="1"/>
  <c r="Z229" i="12" s="1"/>
  <c r="N229" i="12"/>
  <c r="H229" i="12"/>
  <c r="D229" i="12"/>
  <c r="L229" i="12" s="1"/>
  <c r="B229" i="12"/>
  <c r="X228" i="12"/>
  <c r="Z228" i="12" s="1"/>
  <c r="L228" i="12"/>
  <c r="N228" i="12" s="1"/>
  <c r="B228" i="12"/>
  <c r="Z227" i="12"/>
  <c r="X227" i="12"/>
  <c r="N227" i="12"/>
  <c r="L227" i="12"/>
  <c r="B227" i="12"/>
  <c r="X226" i="12"/>
  <c r="T226" i="12"/>
  <c r="Z226" i="12" s="1"/>
  <c r="P226" i="12"/>
  <c r="L226" i="12"/>
  <c r="H226" i="12"/>
  <c r="N226" i="12" s="1"/>
  <c r="D226" i="12"/>
  <c r="B226" i="12"/>
  <c r="X225" i="12"/>
  <c r="Z225" i="12" s="1"/>
  <c r="N225" i="12"/>
  <c r="L225" i="12"/>
  <c r="B225" i="12"/>
  <c r="X224" i="12"/>
  <c r="Z224" i="12" s="1"/>
  <c r="L224" i="12"/>
  <c r="N224" i="12" s="1"/>
  <c r="B224" i="12"/>
  <c r="Z223" i="12"/>
  <c r="X223" i="12"/>
  <c r="N223" i="12"/>
  <c r="L223" i="12"/>
  <c r="B223" i="12"/>
  <c r="X222" i="12"/>
  <c r="Z222" i="12" s="1"/>
  <c r="N222" i="12"/>
  <c r="L222" i="12"/>
  <c r="B222" i="12"/>
  <c r="Z221" i="12"/>
  <c r="X221" i="12"/>
  <c r="L221" i="12"/>
  <c r="N221" i="12" s="1"/>
  <c r="B221" i="12"/>
  <c r="X220" i="12"/>
  <c r="Z220" i="12" s="1"/>
  <c r="L220" i="12"/>
  <c r="N220" i="12" s="1"/>
  <c r="B220" i="12"/>
  <c r="Z219" i="12"/>
  <c r="X219" i="12"/>
  <c r="N219" i="12"/>
  <c r="L219" i="12"/>
  <c r="B219" i="12"/>
  <c r="Z218" i="12"/>
  <c r="X218" i="12"/>
  <c r="L218" i="12"/>
  <c r="N218" i="12" s="1"/>
  <c r="B218" i="12"/>
  <c r="X217" i="12"/>
  <c r="Z217" i="12" s="1"/>
  <c r="N217" i="12"/>
  <c r="L217" i="12"/>
  <c r="B217" i="12"/>
  <c r="T216" i="12"/>
  <c r="P216" i="12"/>
  <c r="H216" i="12"/>
  <c r="D216" i="12"/>
  <c r="L216" i="12" s="1"/>
  <c r="B216" i="12"/>
  <c r="Z215" i="12"/>
  <c r="X215" i="12"/>
  <c r="N215" i="12"/>
  <c r="L215" i="12"/>
  <c r="B215" i="12"/>
  <c r="Z214" i="12"/>
  <c r="X214" i="12"/>
  <c r="L214" i="12"/>
  <c r="N214" i="12" s="1"/>
  <c r="B214" i="12"/>
  <c r="Z213" i="12"/>
  <c r="X213" i="12"/>
  <c r="T213" i="12"/>
  <c r="P213" i="12"/>
  <c r="N213" i="12"/>
  <c r="L213" i="12"/>
  <c r="H213" i="12"/>
  <c r="D213" i="12"/>
  <c r="B213" i="12"/>
  <c r="X212" i="12"/>
  <c r="Z212" i="12" s="1"/>
  <c r="L212" i="12"/>
  <c r="N212" i="12" s="1"/>
  <c r="B212" i="12"/>
  <c r="Z211" i="12"/>
  <c r="X211" i="12"/>
  <c r="N211" i="12"/>
  <c r="L211" i="12"/>
  <c r="B211" i="12"/>
  <c r="Z210" i="12"/>
  <c r="X210" i="12"/>
  <c r="L210" i="12"/>
  <c r="N210" i="12" s="1"/>
  <c r="B210" i="12"/>
  <c r="Z209" i="12"/>
  <c r="X209" i="12"/>
  <c r="N209" i="12"/>
  <c r="L209" i="12"/>
  <c r="B209" i="12"/>
  <c r="X208" i="12"/>
  <c r="Z208" i="12" s="1"/>
  <c r="L208" i="12"/>
  <c r="N208" i="12" s="1"/>
  <c r="B208" i="12"/>
  <c r="T207" i="12"/>
  <c r="P207" i="12"/>
  <c r="X207" i="12" s="1"/>
  <c r="Z207" i="12" s="1"/>
  <c r="L207" i="12"/>
  <c r="N207" i="12" s="1"/>
  <c r="H207" i="12"/>
  <c r="D207" i="12"/>
  <c r="B207" i="12"/>
  <c r="Z206" i="12"/>
  <c r="X206" i="12"/>
  <c r="L206" i="12"/>
  <c r="N206" i="12" s="1"/>
  <c r="B206" i="12"/>
  <c r="Z205" i="12"/>
  <c r="X205" i="12"/>
  <c r="N205" i="12"/>
  <c r="L205" i="12"/>
  <c r="B205" i="12"/>
  <c r="X204" i="12"/>
  <c r="Z204" i="12" s="1"/>
  <c r="L204" i="12"/>
  <c r="N204" i="12" s="1"/>
  <c r="B204" i="12"/>
  <c r="Z203" i="12"/>
  <c r="X203" i="12"/>
  <c r="N203" i="12"/>
  <c r="L203" i="12"/>
  <c r="B203" i="12"/>
  <c r="T202" i="12"/>
  <c r="P202" i="12"/>
  <c r="H202" i="12"/>
  <c r="D202" i="12"/>
  <c r="L202" i="12" s="1"/>
  <c r="B202" i="12"/>
  <c r="Z201" i="12"/>
  <c r="X201" i="12"/>
  <c r="N201" i="12"/>
  <c r="L201" i="12"/>
  <c r="B201" i="12"/>
  <c r="X200" i="12"/>
  <c r="Z200" i="12" s="1"/>
  <c r="L200" i="12"/>
  <c r="N200" i="12" s="1"/>
  <c r="B200" i="12"/>
  <c r="Z199" i="12"/>
  <c r="X199" i="12"/>
  <c r="N199" i="12"/>
  <c r="L199" i="12"/>
  <c r="B199" i="12"/>
  <c r="X198" i="12"/>
  <c r="Z198" i="12" s="1"/>
  <c r="N198" i="12"/>
  <c r="L198" i="12"/>
  <c r="B198" i="12"/>
  <c r="T197" i="12"/>
  <c r="P197" i="12"/>
  <c r="X197" i="12" s="1"/>
  <c r="H197" i="12"/>
  <c r="D197" i="12"/>
  <c r="L197" i="12" s="1"/>
  <c r="N197" i="12" s="1"/>
  <c r="B197" i="12"/>
  <c r="X196" i="12"/>
  <c r="Z196" i="12" s="1"/>
  <c r="L196" i="12"/>
  <c r="N196" i="12" s="1"/>
  <c r="B196" i="12"/>
  <c r="T195" i="12"/>
  <c r="P195" i="12"/>
  <c r="X195" i="12" s="1"/>
  <c r="Z195" i="12" s="1"/>
  <c r="L195" i="12"/>
  <c r="N195" i="12" s="1"/>
  <c r="H195" i="12"/>
  <c r="D195" i="12"/>
  <c r="B195" i="12"/>
  <c r="Z194" i="12"/>
  <c r="X194" i="12"/>
  <c r="N194" i="12"/>
  <c r="L194" i="12"/>
  <c r="B194" i="12"/>
  <c r="X193" i="12"/>
  <c r="Z193" i="12" s="1"/>
  <c r="T193" i="12"/>
  <c r="P193" i="12"/>
  <c r="N193" i="12"/>
  <c r="L193" i="12"/>
  <c r="H193" i="12"/>
  <c r="D193" i="12"/>
  <c r="B193" i="12"/>
  <c r="Z192" i="12"/>
  <c r="X192" i="12"/>
  <c r="N192" i="12"/>
  <c r="L192" i="12"/>
  <c r="B192" i="12"/>
  <c r="Z191" i="12"/>
  <c r="X191" i="12"/>
  <c r="N191" i="12"/>
  <c r="L191" i="12"/>
  <c r="B191" i="12"/>
  <c r="T190" i="12"/>
  <c r="Z190" i="12" s="1"/>
  <c r="P190" i="12"/>
  <c r="X190" i="12" s="1"/>
  <c r="H190" i="12"/>
  <c r="D190" i="12"/>
  <c r="L190" i="12" s="1"/>
  <c r="B190" i="12"/>
  <c r="Z189" i="12"/>
  <c r="X189" i="12"/>
  <c r="L189" i="12"/>
  <c r="N189" i="12" s="1"/>
  <c r="B189" i="12"/>
  <c r="T188" i="12"/>
  <c r="Z188" i="12" s="1"/>
  <c r="P188" i="12"/>
  <c r="X188" i="12" s="1"/>
  <c r="H188" i="12"/>
  <c r="D188" i="12"/>
  <c r="B188" i="12"/>
  <c r="Z187" i="12"/>
  <c r="X187" i="12"/>
  <c r="N187" i="12"/>
  <c r="L187" i="12"/>
  <c r="B187" i="12"/>
  <c r="T186" i="12"/>
  <c r="P186" i="12"/>
  <c r="X186" i="12" s="1"/>
  <c r="L186" i="12"/>
  <c r="H186" i="12"/>
  <c r="N186" i="12" s="1"/>
  <c r="D186" i="12"/>
  <c r="B186" i="12"/>
  <c r="Z185" i="12"/>
  <c r="X185" i="12"/>
  <c r="N185" i="12"/>
  <c r="L185" i="12"/>
  <c r="B185" i="12"/>
  <c r="X184" i="12"/>
  <c r="Z184" i="12" s="1"/>
  <c r="N184" i="12"/>
  <c r="L184" i="12"/>
  <c r="B184" i="12"/>
  <c r="Z183" i="12"/>
  <c r="X183" i="12"/>
  <c r="N183" i="12"/>
  <c r="L183" i="12"/>
  <c r="B183" i="12"/>
  <c r="T182" i="12"/>
  <c r="P182" i="12"/>
  <c r="X182" i="12" s="1"/>
  <c r="L182" i="12"/>
  <c r="H182" i="12"/>
  <c r="N182" i="12" s="1"/>
  <c r="D182" i="12"/>
  <c r="B182" i="12"/>
  <c r="Z181" i="12"/>
  <c r="X181" i="12"/>
  <c r="N181" i="12"/>
  <c r="L181" i="12"/>
  <c r="B181" i="12"/>
  <c r="X180" i="12"/>
  <c r="Z180" i="12" s="1"/>
  <c r="L180" i="12"/>
  <c r="N180" i="12" s="1"/>
  <c r="B180" i="12"/>
  <c r="T179" i="12"/>
  <c r="P179" i="12"/>
  <c r="X179" i="12" s="1"/>
  <c r="Z179" i="12" s="1"/>
  <c r="N179" i="12"/>
  <c r="L179" i="12"/>
  <c r="H179" i="12"/>
  <c r="D179" i="12"/>
  <c r="B179" i="12"/>
  <c r="X178" i="12"/>
  <c r="Z178" i="12" s="1"/>
  <c r="L178" i="12"/>
  <c r="N178" i="12" s="1"/>
  <c r="B178" i="12"/>
  <c r="Z177" i="12"/>
  <c r="X177" i="12"/>
  <c r="T177" i="12"/>
  <c r="P177" i="12"/>
  <c r="N177" i="12"/>
  <c r="L177" i="12"/>
  <c r="H177" i="12"/>
  <c r="D177" i="12"/>
  <c r="B177" i="12"/>
  <c r="X176" i="12"/>
  <c r="Z176" i="12" s="1"/>
  <c r="L176" i="12"/>
  <c r="N176" i="12" s="1"/>
  <c r="B176" i="12"/>
  <c r="Z175" i="12"/>
  <c r="X175" i="12"/>
  <c r="T175" i="12"/>
  <c r="P175" i="12"/>
  <c r="H175" i="12"/>
  <c r="D175" i="12"/>
  <c r="L175" i="12" s="1"/>
  <c r="B175" i="12"/>
  <c r="X174" i="12"/>
  <c r="Z174" i="12" s="1"/>
  <c r="N174" i="12"/>
  <c r="L174" i="12"/>
  <c r="B174" i="12"/>
  <c r="Z173" i="12"/>
  <c r="X173" i="12"/>
  <c r="N173" i="12"/>
  <c r="L173" i="12"/>
  <c r="B173" i="12"/>
  <c r="T172" i="12"/>
  <c r="P172" i="12"/>
  <c r="X172" i="12" s="1"/>
  <c r="H172" i="12"/>
  <c r="D172" i="12"/>
  <c r="L172" i="12" s="1"/>
  <c r="B172" i="12"/>
  <c r="Z171" i="12"/>
  <c r="X171" i="12"/>
  <c r="N171" i="12"/>
  <c r="L171" i="12"/>
  <c r="B171" i="12"/>
  <c r="X170" i="12"/>
  <c r="Z170" i="12" s="1"/>
  <c r="L170" i="12"/>
  <c r="N170" i="12" s="1"/>
  <c r="B170" i="12"/>
  <c r="T169" i="12"/>
  <c r="Z169" i="12" s="1"/>
  <c r="P169" i="12"/>
  <c r="X169" i="12" s="1"/>
  <c r="H169" i="12"/>
  <c r="D169" i="12"/>
  <c r="L169" i="12" s="1"/>
  <c r="N169" i="12" s="1"/>
  <c r="B169" i="12"/>
  <c r="X168" i="12"/>
  <c r="Z168" i="12" s="1"/>
  <c r="L168" i="12"/>
  <c r="N168" i="12" s="1"/>
  <c r="B168" i="12"/>
  <c r="Z167" i="12"/>
  <c r="X167" i="12"/>
  <c r="N167" i="12"/>
  <c r="L167" i="12"/>
  <c r="B167" i="12"/>
  <c r="T166" i="12"/>
  <c r="P166" i="12"/>
  <c r="X166" i="12" s="1"/>
  <c r="L166" i="12"/>
  <c r="N166" i="12" s="1"/>
  <c r="H166" i="12"/>
  <c r="D166" i="12"/>
  <c r="B166" i="12"/>
  <c r="X165" i="12"/>
  <c r="Z165" i="12" s="1"/>
  <c r="N165" i="12"/>
  <c r="L165" i="12"/>
  <c r="B165" i="12"/>
  <c r="X164" i="12"/>
  <c r="Z164" i="12" s="1"/>
  <c r="T164" i="12"/>
  <c r="P164" i="12"/>
  <c r="H164" i="12"/>
  <c r="D164" i="12"/>
  <c r="B164" i="12"/>
  <c r="Z163" i="12"/>
  <c r="X163" i="12"/>
  <c r="N163" i="12"/>
  <c r="L163" i="12"/>
  <c r="B163" i="12"/>
  <c r="X162" i="12"/>
  <c r="Z162" i="12" s="1"/>
  <c r="L162" i="12"/>
  <c r="N162" i="12" s="1"/>
  <c r="B162" i="12"/>
  <c r="Z161" i="12"/>
  <c r="X161" i="12"/>
  <c r="T161" i="12"/>
  <c r="P161" i="12"/>
  <c r="N161" i="12"/>
  <c r="L161" i="12"/>
  <c r="H161" i="12"/>
  <c r="D161" i="12"/>
  <c r="B161" i="12"/>
  <c r="X160" i="12"/>
  <c r="Z160" i="12" s="1"/>
  <c r="L160" i="12"/>
  <c r="N160" i="12" s="1"/>
  <c r="B160" i="12"/>
  <c r="Z159" i="12"/>
  <c r="X159" i="12"/>
  <c r="T159" i="12"/>
  <c r="P159" i="12"/>
  <c r="H159" i="12"/>
  <c r="D159" i="12"/>
  <c r="L159" i="12" s="1"/>
  <c r="B159" i="12"/>
  <c r="Z158" i="12"/>
  <c r="X158" i="12"/>
  <c r="N158" i="12"/>
  <c r="L158" i="12"/>
  <c r="B158" i="12"/>
  <c r="Z157" i="12"/>
  <c r="X157" i="12"/>
  <c r="N157" i="12"/>
  <c r="L157" i="12"/>
  <c r="B157" i="12"/>
  <c r="X156" i="12"/>
  <c r="Z156" i="12" s="1"/>
  <c r="L156" i="12"/>
  <c r="N156" i="12" s="1"/>
  <c r="B156" i="12"/>
  <c r="Z155" i="12"/>
  <c r="X155" i="12"/>
  <c r="N155" i="12"/>
  <c r="L155" i="12"/>
  <c r="B155" i="12"/>
  <c r="Z154" i="12"/>
  <c r="X154" i="12"/>
  <c r="N154" i="12"/>
  <c r="L154" i="12"/>
  <c r="B154" i="12"/>
  <c r="X153" i="12"/>
  <c r="Z153" i="12" s="1"/>
  <c r="N153" i="12"/>
  <c r="L153" i="12"/>
  <c r="B153" i="12"/>
  <c r="X152" i="12"/>
  <c r="Z152" i="12" s="1"/>
  <c r="L152" i="12"/>
  <c r="N152" i="12" s="1"/>
  <c r="B152" i="12"/>
  <c r="Z151" i="12"/>
  <c r="X151" i="12"/>
  <c r="N151" i="12"/>
  <c r="L151" i="12"/>
  <c r="B151" i="12"/>
  <c r="X150" i="12"/>
  <c r="Z150" i="12" s="1"/>
  <c r="N150" i="12"/>
  <c r="L150" i="12"/>
  <c r="B150" i="12"/>
  <c r="Z149" i="12"/>
  <c r="X149" i="12"/>
  <c r="N149" i="12"/>
  <c r="L149" i="12"/>
  <c r="B149" i="12"/>
  <c r="T148" i="12"/>
  <c r="Z148" i="12" s="1"/>
  <c r="P148" i="12"/>
  <c r="X148" i="12" s="1"/>
  <c r="H148" i="12"/>
  <c r="N148" i="12" s="1"/>
  <c r="D148" i="12"/>
  <c r="L148" i="12" s="1"/>
  <c r="B148" i="12"/>
  <c r="Z147" i="12"/>
  <c r="X147" i="12"/>
  <c r="N147" i="12"/>
  <c r="L147" i="12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N143" i="12"/>
  <c r="L143" i="12"/>
  <c r="B143" i="12"/>
  <c r="X142" i="12"/>
  <c r="Z142" i="12" s="1"/>
  <c r="L142" i="12"/>
  <c r="N142" i="12" s="1"/>
  <c r="B142" i="12"/>
  <c r="X141" i="12"/>
  <c r="Z141" i="12" s="1"/>
  <c r="N141" i="12"/>
  <c r="L141" i="12"/>
  <c r="B141" i="12"/>
  <c r="X140" i="12"/>
  <c r="Z140" i="12" s="1"/>
  <c r="L140" i="12"/>
  <c r="N140" i="12" s="1"/>
  <c r="B140" i="12"/>
  <c r="Z139" i="12"/>
  <c r="X139" i="12"/>
  <c r="N139" i="12"/>
  <c r="L139" i="12"/>
  <c r="B139" i="12"/>
  <c r="X138" i="12"/>
  <c r="Z138" i="12" s="1"/>
  <c r="L138" i="12"/>
  <c r="N138" i="12" s="1"/>
  <c r="B138" i="12"/>
  <c r="T137" i="12"/>
  <c r="P137" i="12"/>
  <c r="X137" i="12" s="1"/>
  <c r="H137" i="12"/>
  <c r="D137" i="12"/>
  <c r="L137" i="12" s="1"/>
  <c r="N137" i="12" s="1"/>
  <c r="B137" i="12"/>
  <c r="T136" i="12"/>
  <c r="P136" i="12"/>
  <c r="X136" i="12" s="1"/>
  <c r="H136" i="12"/>
  <c r="D136" i="12"/>
  <c r="L136" i="12" s="1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B106" i="12"/>
  <c r="Z105" i="12"/>
  <c r="X105" i="12"/>
  <c r="N105" i="12"/>
  <c r="L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N100" i="12"/>
  <c r="L100" i="12"/>
  <c r="B100" i="12"/>
  <c r="Z99" i="12"/>
  <c r="X99" i="12"/>
  <c r="N99" i="12"/>
  <c r="L99" i="12"/>
  <c r="B99" i="12"/>
  <c r="Z98" i="12"/>
  <c r="X98" i="12"/>
  <c r="N98" i="12"/>
  <c r="L98" i="12"/>
  <c r="B98" i="12"/>
  <c r="Z97" i="12"/>
  <c r="X97" i="12"/>
  <c r="N97" i="12"/>
  <c r="L97" i="12"/>
  <c r="B97" i="12"/>
  <c r="Z96" i="12"/>
  <c r="X96" i="12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B90" i="12"/>
  <c r="Z89" i="12"/>
  <c r="X89" i="12"/>
  <c r="N89" i="12"/>
  <c r="L89" i="12"/>
  <c r="B89" i="12"/>
  <c r="Z88" i="12"/>
  <c r="X88" i="12"/>
  <c r="N88" i="12"/>
  <c r="L88" i="12"/>
  <c r="B88" i="12"/>
  <c r="Z87" i="12"/>
  <c r="X87" i="12"/>
  <c r="N87" i="12"/>
  <c r="L87" i="12"/>
  <c r="B87" i="12"/>
  <c r="Z86" i="12"/>
  <c r="X86" i="12"/>
  <c r="N86" i="12"/>
  <c r="L86" i="12"/>
  <c r="B86" i="12"/>
  <c r="Z85" i="12"/>
  <c r="X85" i="12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X82" i="12"/>
  <c r="T82" i="12"/>
  <c r="Z82" i="12" s="1"/>
  <c r="P82" i="12"/>
  <c r="H82" i="12"/>
  <c r="N82" i="12" s="1"/>
  <c r="D82" i="12"/>
  <c r="L82" i="12" s="1"/>
  <c r="Z80" i="12"/>
  <c r="X80" i="12"/>
  <c r="P80" i="12"/>
  <c r="N80" i="12"/>
  <c r="D80" i="12"/>
  <c r="L80" i="12" s="1"/>
  <c r="B80" i="12"/>
  <c r="Z79" i="12"/>
  <c r="P79" i="12"/>
  <c r="X79" i="12" s="1"/>
  <c r="N79" i="12"/>
  <c r="L79" i="12"/>
  <c r="D79" i="12"/>
  <c r="B79" i="12"/>
  <c r="Z78" i="12"/>
  <c r="X78" i="12"/>
  <c r="P78" i="12"/>
  <c r="N78" i="12"/>
  <c r="D78" i="12"/>
  <c r="L78" i="12" s="1"/>
  <c r="B78" i="12"/>
  <c r="Z77" i="12"/>
  <c r="P77" i="12"/>
  <c r="X77" i="12" s="1"/>
  <c r="N77" i="12"/>
  <c r="L77" i="12"/>
  <c r="D77" i="12"/>
  <c r="B77" i="12"/>
  <c r="Z76" i="12"/>
  <c r="X76" i="12"/>
  <c r="P76" i="12"/>
  <c r="N76" i="12"/>
  <c r="D76" i="12"/>
  <c r="L76" i="12" s="1"/>
  <c r="B76" i="12"/>
  <c r="Z75" i="12"/>
  <c r="P75" i="12"/>
  <c r="X75" i="12" s="1"/>
  <c r="N75" i="12"/>
  <c r="L75" i="12"/>
  <c r="D75" i="12"/>
  <c r="B75" i="12"/>
  <c r="Z74" i="12"/>
  <c r="X74" i="12"/>
  <c r="P74" i="12"/>
  <c r="N74" i="12"/>
  <c r="D74" i="12"/>
  <c r="L74" i="12" s="1"/>
  <c r="B74" i="12"/>
  <c r="Z73" i="12"/>
  <c r="P73" i="12"/>
  <c r="X73" i="12" s="1"/>
  <c r="N73" i="12"/>
  <c r="L73" i="12"/>
  <c r="D73" i="12"/>
  <c r="B73" i="12"/>
  <c r="Z72" i="12"/>
  <c r="X72" i="12"/>
  <c r="P72" i="12"/>
  <c r="N72" i="12"/>
  <c r="D72" i="12"/>
  <c r="L72" i="12" s="1"/>
  <c r="B72" i="12"/>
  <c r="Z71" i="12"/>
  <c r="P71" i="12"/>
  <c r="X71" i="12" s="1"/>
  <c r="N71" i="12"/>
  <c r="L71" i="12"/>
  <c r="D71" i="12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L69" i="12"/>
  <c r="D69" i="12"/>
  <c r="B69" i="12"/>
  <c r="Z68" i="12"/>
  <c r="X68" i="12"/>
  <c r="P68" i="12"/>
  <c r="N68" i="12"/>
  <c r="D68" i="12"/>
  <c r="L68" i="12" s="1"/>
  <c r="B68" i="12"/>
  <c r="Z67" i="12"/>
  <c r="P67" i="12"/>
  <c r="X67" i="12" s="1"/>
  <c r="N67" i="12"/>
  <c r="L67" i="12"/>
  <c r="D67" i="12"/>
  <c r="B67" i="12"/>
  <c r="Z66" i="12"/>
  <c r="X66" i="12"/>
  <c r="P66" i="12"/>
  <c r="N66" i="12"/>
  <c r="D66" i="12"/>
  <c r="L66" i="12" s="1"/>
  <c r="B66" i="12"/>
  <c r="Z65" i="12"/>
  <c r="P65" i="12"/>
  <c r="X65" i="12" s="1"/>
  <c r="N65" i="12"/>
  <c r="L65" i="12"/>
  <c r="D65" i="12"/>
  <c r="B65" i="12"/>
  <c r="Z64" i="12"/>
  <c r="X64" i="12"/>
  <c r="P64" i="12"/>
  <c r="N64" i="12"/>
  <c r="D64" i="12"/>
  <c r="L64" i="12" s="1"/>
  <c r="B64" i="12"/>
  <c r="Z63" i="12"/>
  <c r="X63" i="12"/>
  <c r="P63" i="12"/>
  <c r="N63" i="12"/>
  <c r="L63" i="12"/>
  <c r="D63" i="12"/>
  <c r="B63" i="12"/>
  <c r="Z62" i="12"/>
  <c r="X62" i="12"/>
  <c r="P62" i="12"/>
  <c r="N62" i="12"/>
  <c r="D62" i="12"/>
  <c r="L62" i="12" s="1"/>
  <c r="B62" i="12"/>
  <c r="Z61" i="12"/>
  <c r="P61" i="12"/>
  <c r="X61" i="12" s="1"/>
  <c r="N61" i="12"/>
  <c r="L61" i="12"/>
  <c r="D61" i="12"/>
  <c r="B61" i="12"/>
  <c r="Z60" i="12"/>
  <c r="X60" i="12"/>
  <c r="P60" i="12"/>
  <c r="N60" i="12"/>
  <c r="L60" i="12"/>
  <c r="D60" i="12"/>
  <c r="B60" i="12"/>
  <c r="Z59" i="12"/>
  <c r="P59" i="12"/>
  <c r="X59" i="12" s="1"/>
  <c r="N59" i="12"/>
  <c r="L59" i="12"/>
  <c r="D59" i="12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L57" i="12"/>
  <c r="D57" i="12"/>
  <c r="B57" i="12"/>
  <c r="Z56" i="12"/>
  <c r="X56" i="12"/>
  <c r="P56" i="12"/>
  <c r="N56" i="12"/>
  <c r="D56" i="12"/>
  <c r="L56" i="12" s="1"/>
  <c r="B56" i="12"/>
  <c r="Z55" i="12"/>
  <c r="X55" i="12"/>
  <c r="P55" i="12"/>
  <c r="N55" i="12"/>
  <c r="L55" i="12"/>
  <c r="D55" i="12"/>
  <c r="B55" i="12"/>
  <c r="Z54" i="12"/>
  <c r="X54" i="12"/>
  <c r="P54" i="12"/>
  <c r="N54" i="12"/>
  <c r="D54" i="12"/>
  <c r="L54" i="12" s="1"/>
  <c r="B54" i="12"/>
  <c r="Z53" i="12"/>
  <c r="P53" i="12"/>
  <c r="X53" i="12" s="1"/>
  <c r="N53" i="12"/>
  <c r="L53" i="12"/>
  <c r="D53" i="12"/>
  <c r="B53" i="12"/>
  <c r="Z52" i="12"/>
  <c r="X52" i="12"/>
  <c r="P52" i="12"/>
  <c r="N52" i="12"/>
  <c r="L52" i="12"/>
  <c r="D52" i="12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D50" i="12"/>
  <c r="L50" i="12" s="1"/>
  <c r="B50" i="12"/>
  <c r="Z49" i="12"/>
  <c r="P49" i="12"/>
  <c r="X49" i="12" s="1"/>
  <c r="N49" i="12"/>
  <c r="L49" i="12"/>
  <c r="D49" i="12"/>
  <c r="B49" i="12"/>
  <c r="Z48" i="12"/>
  <c r="X48" i="12"/>
  <c r="P48" i="12"/>
  <c r="N48" i="12"/>
  <c r="D48" i="12"/>
  <c r="L48" i="12" s="1"/>
  <c r="B48" i="12"/>
  <c r="Z47" i="12"/>
  <c r="X47" i="12"/>
  <c r="P47" i="12"/>
  <c r="N47" i="12"/>
  <c r="L47" i="12"/>
  <c r="D47" i="12"/>
  <c r="B47" i="12"/>
  <c r="Z46" i="12"/>
  <c r="X46" i="12"/>
  <c r="P46" i="12"/>
  <c r="N46" i="12"/>
  <c r="D46" i="12"/>
  <c r="L46" i="12" s="1"/>
  <c r="B46" i="12"/>
  <c r="Z45" i="12"/>
  <c r="P45" i="12"/>
  <c r="X45" i="12" s="1"/>
  <c r="N45" i="12"/>
  <c r="L45" i="12"/>
  <c r="D45" i="12"/>
  <c r="B45" i="12"/>
  <c r="Z44" i="12"/>
  <c r="X44" i="12"/>
  <c r="P44" i="12"/>
  <c r="N44" i="12"/>
  <c r="L44" i="12"/>
  <c r="D44" i="12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D42" i="12"/>
  <c r="L42" i="12" s="1"/>
  <c r="B42" i="12"/>
  <c r="Z41" i="12"/>
  <c r="P41" i="12"/>
  <c r="X41" i="12" s="1"/>
  <c r="N41" i="12"/>
  <c r="L41" i="12"/>
  <c r="D41" i="12"/>
  <c r="B41" i="12"/>
  <c r="Z40" i="12"/>
  <c r="X40" i="12"/>
  <c r="P40" i="12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X38" i="12"/>
  <c r="P38" i="12"/>
  <c r="N38" i="12"/>
  <c r="D38" i="12"/>
  <c r="L38" i="12" s="1"/>
  <c r="B38" i="12"/>
  <c r="Z37" i="12"/>
  <c r="P37" i="12"/>
  <c r="X37" i="12" s="1"/>
  <c r="N37" i="12"/>
  <c r="L37" i="12"/>
  <c r="D37" i="12"/>
  <c r="B37" i="12"/>
  <c r="X36" i="12"/>
  <c r="Z36" i="12" s="1"/>
  <c r="P36" i="12"/>
  <c r="N36" i="12"/>
  <c r="L36" i="12"/>
  <c r="D36" i="12"/>
  <c r="B36" i="12"/>
  <c r="Z35" i="12"/>
  <c r="P35" i="12"/>
  <c r="X35" i="12" s="1"/>
  <c r="N35" i="12"/>
  <c r="L35" i="12"/>
  <c r="D35" i="12"/>
  <c r="B35" i="12"/>
  <c r="Z34" i="12"/>
  <c r="X34" i="12"/>
  <c r="P34" i="12"/>
  <c r="N34" i="12"/>
  <c r="D34" i="12"/>
  <c r="L34" i="12" s="1"/>
  <c r="B34" i="12"/>
  <c r="Z33" i="12"/>
  <c r="P33" i="12"/>
  <c r="X33" i="12" s="1"/>
  <c r="N33" i="12"/>
  <c r="L33" i="12"/>
  <c r="D33" i="12"/>
  <c r="B33" i="12"/>
  <c r="Z32" i="12"/>
  <c r="X32" i="12"/>
  <c r="P32" i="12"/>
  <c r="N32" i="12"/>
  <c r="D32" i="12"/>
  <c r="L32" i="12" s="1"/>
  <c r="B32" i="12"/>
  <c r="Z31" i="12"/>
  <c r="X31" i="12"/>
  <c r="P31" i="12"/>
  <c r="N31" i="12"/>
  <c r="L31" i="12"/>
  <c r="D31" i="12"/>
  <c r="B31" i="12"/>
  <c r="Z30" i="12"/>
  <c r="X30" i="12"/>
  <c r="P30" i="12"/>
  <c r="N30" i="12"/>
  <c r="D30" i="12"/>
  <c r="L30" i="12" s="1"/>
  <c r="B30" i="12"/>
  <c r="Z29" i="12"/>
  <c r="P29" i="12"/>
  <c r="X29" i="12" s="1"/>
  <c r="N29" i="12"/>
  <c r="L29" i="12"/>
  <c r="D29" i="12"/>
  <c r="B29" i="12"/>
  <c r="Z28" i="12"/>
  <c r="X28" i="12"/>
  <c r="P28" i="12"/>
  <c r="N28" i="12"/>
  <c r="L28" i="12"/>
  <c r="D28" i="12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D26" i="12"/>
  <c r="L26" i="12" s="1"/>
  <c r="B26" i="12"/>
  <c r="Z25" i="12"/>
  <c r="P25" i="12"/>
  <c r="X25" i="12" s="1"/>
  <c r="N25" i="12"/>
  <c r="L25" i="12"/>
  <c r="D25" i="12"/>
  <c r="B25" i="12"/>
  <c r="Z24" i="12"/>
  <c r="X24" i="12"/>
  <c r="P24" i="12"/>
  <c r="N24" i="12"/>
  <c r="D24" i="12"/>
  <c r="L24" i="12" s="1"/>
  <c r="B24" i="12"/>
  <c r="Z23" i="12"/>
  <c r="X23" i="12"/>
  <c r="P23" i="12"/>
  <c r="N23" i="12"/>
  <c r="L23" i="12"/>
  <c r="D23" i="12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L21" i="12"/>
  <c r="D21" i="12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P17" i="12"/>
  <c r="X17" i="12" s="1"/>
  <c r="N17" i="12"/>
  <c r="L17" i="12"/>
  <c r="D17" i="12"/>
  <c r="B17" i="12"/>
  <c r="Z16" i="12"/>
  <c r="X16" i="12"/>
  <c r="P16" i="12"/>
  <c r="N16" i="12"/>
  <c r="D16" i="12"/>
  <c r="D12" i="12" s="1"/>
  <c r="B16" i="12"/>
  <c r="Z15" i="12"/>
  <c r="X15" i="12"/>
  <c r="P15" i="12"/>
  <c r="N15" i="12"/>
  <c r="L15" i="12"/>
  <c r="D15" i="12"/>
  <c r="B15" i="12"/>
  <c r="Z14" i="12"/>
  <c r="X14" i="12"/>
  <c r="P14" i="12"/>
  <c r="N14" i="12"/>
  <c r="D14" i="12"/>
  <c r="L14" i="12" s="1"/>
  <c r="B14" i="12"/>
  <c r="P13" i="12"/>
  <c r="X13" i="12" s="1"/>
  <c r="Z13" i="12" s="1"/>
  <c r="N13" i="12"/>
  <c r="L13" i="12"/>
  <c r="D13" i="12"/>
  <c r="B13" i="12"/>
  <c r="T12" i="12"/>
  <c r="V233" i="12" s="1"/>
  <c r="P12" i="12"/>
  <c r="H12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L22" i="11" s="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6" i="11" s="1"/>
  <c r="P12" i="11"/>
  <c r="R34" i="11" s="1"/>
  <c r="H12" i="11"/>
  <c r="J22" i="11" s="1"/>
  <c r="D12" i="11"/>
  <c r="F21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X24" i="10" s="1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4" i="10" s="1"/>
  <c r="P12" i="10"/>
  <c r="R34" i="10" s="1"/>
  <c r="H12" i="10"/>
  <c r="J18" i="10" s="1"/>
  <c r="D12" i="10"/>
  <c r="F21" i="10" s="1"/>
  <c r="D5" i="10"/>
  <c r="D4" i="10"/>
  <c r="Z106" i="9"/>
  <c r="X106" i="9"/>
  <c r="N106" i="9"/>
  <c r="L106" i="9"/>
  <c r="Z102" i="9"/>
  <c r="P102" i="9"/>
  <c r="X102" i="9" s="1"/>
  <c r="N102" i="9"/>
  <c r="D102" i="9"/>
  <c r="L102" i="9" s="1"/>
  <c r="B102" i="9"/>
  <c r="Z101" i="9"/>
  <c r="X101" i="9"/>
  <c r="P101" i="9"/>
  <c r="N101" i="9"/>
  <c r="D101" i="9"/>
  <c r="L101" i="9" s="1"/>
  <c r="B101" i="9"/>
  <c r="Z100" i="9"/>
  <c r="P100" i="9"/>
  <c r="P99" i="9" s="1"/>
  <c r="X99" i="9" s="1"/>
  <c r="N100" i="9"/>
  <c r="L100" i="9"/>
  <c r="D100" i="9"/>
  <c r="B100" i="9"/>
  <c r="T99" i="9"/>
  <c r="Z99" i="9" s="1"/>
  <c r="H99" i="9"/>
  <c r="N99" i="9" s="1"/>
  <c r="D99" i="9"/>
  <c r="L99" i="9" s="1"/>
  <c r="Z97" i="9"/>
  <c r="X97" i="9"/>
  <c r="N97" i="9"/>
  <c r="L97" i="9"/>
  <c r="B97" i="9"/>
  <c r="Z96" i="9"/>
  <c r="X96" i="9"/>
  <c r="N96" i="9"/>
  <c r="L96" i="9"/>
  <c r="B96" i="9"/>
  <c r="T95" i="9"/>
  <c r="Z95" i="9" s="1"/>
  <c r="P95" i="9"/>
  <c r="X95" i="9" s="1"/>
  <c r="H95" i="9"/>
  <c r="N95" i="9" s="1"/>
  <c r="D95" i="9"/>
  <c r="L95" i="9" s="1"/>
  <c r="B95" i="9"/>
  <c r="Z94" i="9"/>
  <c r="X94" i="9"/>
  <c r="N94" i="9"/>
  <c r="L94" i="9"/>
  <c r="B94" i="9"/>
  <c r="T93" i="9"/>
  <c r="Z93" i="9" s="1"/>
  <c r="P93" i="9"/>
  <c r="X93" i="9" s="1"/>
  <c r="L93" i="9"/>
  <c r="H93" i="9"/>
  <c r="N93" i="9" s="1"/>
  <c r="D93" i="9"/>
  <c r="B93" i="9"/>
  <c r="Z92" i="9"/>
  <c r="X92" i="9"/>
  <c r="N92" i="9"/>
  <c r="L92" i="9"/>
  <c r="B92" i="9"/>
  <c r="X91" i="9"/>
  <c r="Z91" i="9" s="1"/>
  <c r="L91" i="9"/>
  <c r="N91" i="9" s="1"/>
  <c r="B91" i="9"/>
  <c r="Z90" i="9"/>
  <c r="X90" i="9"/>
  <c r="T90" i="9"/>
  <c r="P90" i="9"/>
  <c r="H90" i="9"/>
  <c r="L90" i="9" s="1"/>
  <c r="N90" i="9" s="1"/>
  <c r="D90" i="9"/>
  <c r="B90" i="9"/>
  <c r="Z89" i="9"/>
  <c r="X89" i="9"/>
  <c r="N89" i="9"/>
  <c r="L89" i="9"/>
  <c r="B89" i="9"/>
  <c r="Z88" i="9"/>
  <c r="X88" i="9"/>
  <c r="N88" i="9"/>
  <c r="L88" i="9"/>
  <c r="B88" i="9"/>
  <c r="X87" i="9"/>
  <c r="Z87" i="9" s="1"/>
  <c r="L87" i="9"/>
  <c r="N87" i="9" s="1"/>
  <c r="B87" i="9"/>
  <c r="Z86" i="9"/>
  <c r="X86" i="9"/>
  <c r="N86" i="9"/>
  <c r="L86" i="9"/>
  <c r="B86" i="9"/>
  <c r="Z85" i="9"/>
  <c r="X85" i="9"/>
  <c r="L85" i="9"/>
  <c r="N85" i="9" s="1"/>
  <c r="B85" i="9"/>
  <c r="X84" i="9"/>
  <c r="Z84" i="9" s="1"/>
  <c r="N84" i="9"/>
  <c r="L84" i="9"/>
  <c r="B84" i="9"/>
  <c r="T83" i="9"/>
  <c r="P83" i="9"/>
  <c r="X83" i="9" s="1"/>
  <c r="H83" i="9"/>
  <c r="D83" i="9"/>
  <c r="L83" i="9" s="1"/>
  <c r="B83" i="9"/>
  <c r="Z82" i="9"/>
  <c r="X82" i="9"/>
  <c r="N82" i="9"/>
  <c r="L82" i="9"/>
  <c r="B82" i="9"/>
  <c r="Z81" i="9"/>
  <c r="X81" i="9"/>
  <c r="L81" i="9"/>
  <c r="N81" i="9" s="1"/>
  <c r="B81" i="9"/>
  <c r="T80" i="9"/>
  <c r="P80" i="9"/>
  <c r="X80" i="9" s="1"/>
  <c r="N80" i="9"/>
  <c r="L80" i="9"/>
  <c r="H80" i="9"/>
  <c r="D80" i="9"/>
  <c r="B80" i="9"/>
  <c r="X79" i="9"/>
  <c r="Z79" i="9" s="1"/>
  <c r="L79" i="9"/>
  <c r="N79" i="9" s="1"/>
  <c r="B79" i="9"/>
  <c r="Z78" i="9"/>
  <c r="X78" i="9"/>
  <c r="N78" i="9"/>
  <c r="L78" i="9"/>
  <c r="B78" i="9"/>
  <c r="T77" i="9"/>
  <c r="Z77" i="9" s="1"/>
  <c r="P77" i="9"/>
  <c r="X77" i="9" s="1"/>
  <c r="L77" i="9"/>
  <c r="N77" i="9" s="1"/>
  <c r="H77" i="9"/>
  <c r="D77" i="9"/>
  <c r="B77" i="9"/>
  <c r="Z76" i="9"/>
  <c r="X76" i="9"/>
  <c r="N76" i="9"/>
  <c r="L76" i="9"/>
  <c r="B76" i="9"/>
  <c r="X75" i="9"/>
  <c r="Z75" i="9" s="1"/>
  <c r="L75" i="9"/>
  <c r="N75" i="9" s="1"/>
  <c r="B75" i="9"/>
  <c r="Z74" i="9"/>
  <c r="X74" i="9"/>
  <c r="N74" i="9"/>
  <c r="L74" i="9"/>
  <c r="B74" i="9"/>
  <c r="Z73" i="9"/>
  <c r="X73" i="9"/>
  <c r="L73" i="9"/>
  <c r="N73" i="9" s="1"/>
  <c r="B73" i="9"/>
  <c r="T72" i="9"/>
  <c r="P72" i="9"/>
  <c r="X72" i="9" s="1"/>
  <c r="N72" i="9"/>
  <c r="L72" i="9"/>
  <c r="H72" i="9"/>
  <c r="D72" i="9"/>
  <c r="B72" i="9"/>
  <c r="X71" i="9"/>
  <c r="Z71" i="9" s="1"/>
  <c r="L71" i="9"/>
  <c r="N71" i="9" s="1"/>
  <c r="B71" i="9"/>
  <c r="Z70" i="9"/>
  <c r="X70" i="9"/>
  <c r="N70" i="9"/>
  <c r="L70" i="9"/>
  <c r="B70" i="9"/>
  <c r="Z69" i="9"/>
  <c r="X69" i="9"/>
  <c r="L69" i="9"/>
  <c r="N69" i="9" s="1"/>
  <c r="B69" i="9"/>
  <c r="Z68" i="9"/>
  <c r="X68" i="9"/>
  <c r="N68" i="9"/>
  <c r="L68" i="9"/>
  <c r="B68" i="9"/>
  <c r="T67" i="9"/>
  <c r="P67" i="9"/>
  <c r="X67" i="9" s="1"/>
  <c r="H67" i="9"/>
  <c r="D67" i="9"/>
  <c r="L67" i="9" s="1"/>
  <c r="B67" i="9"/>
  <c r="Z66" i="9"/>
  <c r="X66" i="9"/>
  <c r="N66" i="9"/>
  <c r="L66" i="9"/>
  <c r="B66" i="9"/>
  <c r="Z65" i="9"/>
  <c r="X65" i="9"/>
  <c r="N65" i="9"/>
  <c r="L65" i="9"/>
  <c r="B65" i="9"/>
  <c r="T64" i="9"/>
  <c r="Z64" i="9" s="1"/>
  <c r="P64" i="9"/>
  <c r="X64" i="9" s="1"/>
  <c r="N64" i="9"/>
  <c r="L64" i="9"/>
  <c r="H64" i="9"/>
  <c r="D64" i="9"/>
  <c r="B64" i="9"/>
  <c r="X63" i="9"/>
  <c r="Z63" i="9" s="1"/>
  <c r="L63" i="9"/>
  <c r="N63" i="9" s="1"/>
  <c r="B63" i="9"/>
  <c r="Z62" i="9"/>
  <c r="X62" i="9"/>
  <c r="T62" i="9"/>
  <c r="P62" i="9"/>
  <c r="N62" i="9"/>
  <c r="L62" i="9"/>
  <c r="H62" i="9"/>
  <c r="D62" i="9"/>
  <c r="B62" i="9"/>
  <c r="X61" i="9"/>
  <c r="Z61" i="9" s="1"/>
  <c r="R61" i="9"/>
  <c r="N61" i="9"/>
  <c r="L61" i="9"/>
  <c r="B61" i="9"/>
  <c r="Z60" i="9"/>
  <c r="X60" i="9"/>
  <c r="V60" i="9"/>
  <c r="N60" i="9"/>
  <c r="L60" i="9"/>
  <c r="B60" i="9"/>
  <c r="X59" i="9"/>
  <c r="Z59" i="9" s="1"/>
  <c r="T59" i="9"/>
  <c r="P59" i="9"/>
  <c r="H59" i="9"/>
  <c r="D59" i="9"/>
  <c r="B59" i="9"/>
  <c r="Z58" i="9"/>
  <c r="X58" i="9"/>
  <c r="N58" i="9"/>
  <c r="L58" i="9"/>
  <c r="B58" i="9"/>
  <c r="T57" i="9"/>
  <c r="P57" i="9"/>
  <c r="H57" i="9"/>
  <c r="D57" i="9"/>
  <c r="L57" i="9" s="1"/>
  <c r="B57" i="9"/>
  <c r="X56" i="9"/>
  <c r="Z56" i="9" s="1"/>
  <c r="N56" i="9"/>
  <c r="L56" i="9"/>
  <c r="B56" i="9"/>
  <c r="T55" i="9"/>
  <c r="Z55" i="9" s="1"/>
  <c r="P55" i="9"/>
  <c r="X55" i="9" s="1"/>
  <c r="H55" i="9"/>
  <c r="N55" i="9" s="1"/>
  <c r="D55" i="9"/>
  <c r="L55" i="9" s="1"/>
  <c r="B55" i="9"/>
  <c r="Z54" i="9"/>
  <c r="X54" i="9"/>
  <c r="N54" i="9"/>
  <c r="L54" i="9"/>
  <c r="B54" i="9"/>
  <c r="Z53" i="9"/>
  <c r="X53" i="9"/>
  <c r="N53" i="9"/>
  <c r="L53" i="9"/>
  <c r="B53" i="9"/>
  <c r="T52" i="9"/>
  <c r="Z52" i="9" s="1"/>
  <c r="P52" i="9"/>
  <c r="X52" i="9" s="1"/>
  <c r="N52" i="9"/>
  <c r="L52" i="9"/>
  <c r="H52" i="9"/>
  <c r="D52" i="9"/>
  <c r="B52" i="9"/>
  <c r="X51" i="9"/>
  <c r="Z51" i="9" s="1"/>
  <c r="N51" i="9"/>
  <c r="L51" i="9"/>
  <c r="B51" i="9"/>
  <c r="Z50" i="9"/>
  <c r="X50" i="9"/>
  <c r="N50" i="9"/>
  <c r="L50" i="9"/>
  <c r="B50" i="9"/>
  <c r="T49" i="9"/>
  <c r="Z49" i="9" s="1"/>
  <c r="P49" i="9"/>
  <c r="X49" i="9" s="1"/>
  <c r="L49" i="9"/>
  <c r="N49" i="9" s="1"/>
  <c r="H49" i="9"/>
  <c r="D49" i="9"/>
  <c r="B49" i="9"/>
  <c r="Z48" i="9"/>
  <c r="X48" i="9"/>
  <c r="V48" i="9"/>
  <c r="N48" i="9"/>
  <c r="L48" i="9"/>
  <c r="B48" i="9"/>
  <c r="X47" i="9"/>
  <c r="Z47" i="9" s="1"/>
  <c r="T47" i="9"/>
  <c r="P47" i="9"/>
  <c r="H47" i="9"/>
  <c r="D47" i="9"/>
  <c r="B47" i="9"/>
  <c r="Z46" i="9"/>
  <c r="X46" i="9"/>
  <c r="N46" i="9"/>
  <c r="L46" i="9"/>
  <c r="B46" i="9"/>
  <c r="T45" i="9"/>
  <c r="P45" i="9"/>
  <c r="H45" i="9"/>
  <c r="N45" i="9" s="1"/>
  <c r="D45" i="9"/>
  <c r="L45" i="9" s="1"/>
  <c r="B45" i="9"/>
  <c r="X44" i="9"/>
  <c r="Z44" i="9" s="1"/>
  <c r="N44" i="9"/>
  <c r="L44" i="9"/>
  <c r="B44" i="9"/>
  <c r="T43" i="9"/>
  <c r="Z43" i="9" s="1"/>
  <c r="P43" i="9"/>
  <c r="X43" i="9" s="1"/>
  <c r="H43" i="9"/>
  <c r="D43" i="9"/>
  <c r="L43" i="9" s="1"/>
  <c r="B43" i="9"/>
  <c r="Z42" i="9"/>
  <c r="X42" i="9"/>
  <c r="N42" i="9"/>
  <c r="L42" i="9"/>
  <c r="B42" i="9"/>
  <c r="Z41" i="9"/>
  <c r="X41" i="9"/>
  <c r="N41" i="9"/>
  <c r="L41" i="9"/>
  <c r="B41" i="9"/>
  <c r="Z40" i="9"/>
  <c r="X40" i="9"/>
  <c r="N40" i="9"/>
  <c r="L40" i="9"/>
  <c r="B40" i="9"/>
  <c r="X39" i="9"/>
  <c r="Z39" i="9" s="1"/>
  <c r="R39" i="9"/>
  <c r="L39" i="9"/>
  <c r="N39" i="9" s="1"/>
  <c r="B39" i="9"/>
  <c r="Z38" i="9"/>
  <c r="X38" i="9"/>
  <c r="N38" i="9"/>
  <c r="L38" i="9"/>
  <c r="B38" i="9"/>
  <c r="X37" i="9"/>
  <c r="Z37" i="9" s="1"/>
  <c r="R37" i="9"/>
  <c r="N37" i="9"/>
  <c r="L37" i="9"/>
  <c r="B37" i="9"/>
  <c r="Z36" i="9"/>
  <c r="X36" i="9"/>
  <c r="V36" i="9"/>
  <c r="N36" i="9"/>
  <c r="L36" i="9"/>
  <c r="B36" i="9"/>
  <c r="Z35" i="9"/>
  <c r="X35" i="9"/>
  <c r="N35" i="9"/>
  <c r="L35" i="9"/>
  <c r="B35" i="9"/>
  <c r="Z34" i="9"/>
  <c r="X34" i="9"/>
  <c r="N34" i="9"/>
  <c r="L34" i="9"/>
  <c r="B34" i="9"/>
  <c r="Z33" i="9"/>
  <c r="X33" i="9"/>
  <c r="L33" i="9"/>
  <c r="N33" i="9" s="1"/>
  <c r="B33" i="9"/>
  <c r="T32" i="9"/>
  <c r="R32" i="9"/>
  <c r="P32" i="9"/>
  <c r="X32" i="9" s="1"/>
  <c r="N32" i="9"/>
  <c r="L32" i="9"/>
  <c r="H32" i="9"/>
  <c r="D32" i="9"/>
  <c r="B32" i="9"/>
  <c r="X31" i="9"/>
  <c r="Z31" i="9" s="1"/>
  <c r="L31" i="9"/>
  <c r="N31" i="9" s="1"/>
  <c r="B31" i="9"/>
  <c r="Z30" i="9"/>
  <c r="X30" i="9"/>
  <c r="N30" i="9"/>
  <c r="L30" i="9"/>
  <c r="B30" i="9"/>
  <c r="Z29" i="9"/>
  <c r="X29" i="9"/>
  <c r="R29" i="9"/>
  <c r="L29" i="9"/>
  <c r="N29" i="9" s="1"/>
  <c r="B29" i="9"/>
  <c r="X28" i="9"/>
  <c r="Z28" i="9" s="1"/>
  <c r="N28" i="9"/>
  <c r="L28" i="9"/>
  <c r="B28" i="9"/>
  <c r="Z27" i="9"/>
  <c r="X27" i="9"/>
  <c r="R27" i="9"/>
  <c r="N27" i="9"/>
  <c r="L27" i="9"/>
  <c r="B27" i="9"/>
  <c r="Z26" i="9"/>
  <c r="X26" i="9"/>
  <c r="N26" i="9"/>
  <c r="L26" i="9"/>
  <c r="B26" i="9"/>
  <c r="X25" i="9"/>
  <c r="Z25" i="9" s="1"/>
  <c r="R25" i="9"/>
  <c r="N25" i="9"/>
  <c r="L25" i="9"/>
  <c r="B25" i="9"/>
  <c r="Z24" i="9"/>
  <c r="X24" i="9"/>
  <c r="V24" i="9"/>
  <c r="L24" i="9"/>
  <c r="N24" i="9" s="1"/>
  <c r="B24" i="9"/>
  <c r="X23" i="9"/>
  <c r="Z23" i="9" s="1"/>
  <c r="L23" i="9"/>
  <c r="N23" i="9" s="1"/>
  <c r="B23" i="9"/>
  <c r="Z22" i="9"/>
  <c r="X22" i="9"/>
  <c r="N22" i="9"/>
  <c r="L22" i="9"/>
  <c r="B22" i="9"/>
  <c r="Z21" i="9"/>
  <c r="X21" i="9"/>
  <c r="R21" i="9"/>
  <c r="L21" i="9"/>
  <c r="N21" i="9" s="1"/>
  <c r="B21" i="9"/>
  <c r="T20" i="9"/>
  <c r="R20" i="9"/>
  <c r="P20" i="9"/>
  <c r="X20" i="9" s="1"/>
  <c r="N20" i="9"/>
  <c r="L20" i="9"/>
  <c r="H20" i="9"/>
  <c r="D20" i="9"/>
  <c r="B20" i="9"/>
  <c r="T19" i="9"/>
  <c r="P19" i="9"/>
  <c r="X19" i="9" s="1"/>
  <c r="Z19" i="9" s="1"/>
  <c r="H19" i="9"/>
  <c r="D19" i="9"/>
  <c r="T17" i="9"/>
  <c r="T104" i="9" s="1"/>
  <c r="R17" i="9"/>
  <c r="P17" i="9"/>
  <c r="X17" i="9" s="1"/>
  <c r="X15" i="9"/>
  <c r="T15" i="9"/>
  <c r="Z15" i="9" s="1"/>
  <c r="P15" i="9"/>
  <c r="H15" i="9"/>
  <c r="N15" i="9" s="1"/>
  <c r="D15" i="9"/>
  <c r="Z13" i="9"/>
  <c r="X13" i="9"/>
  <c r="P13" i="9"/>
  <c r="N13" i="9"/>
  <c r="D13" i="9"/>
  <c r="D12" i="9" s="1"/>
  <c r="B13" i="9"/>
  <c r="T12" i="9"/>
  <c r="V92" i="9" s="1"/>
  <c r="P12" i="9"/>
  <c r="R108" i="9" s="1"/>
  <c r="H12" i="9"/>
  <c r="J111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0" i="8" s="1"/>
  <c r="P12" i="8"/>
  <c r="R36" i="8" s="1"/>
  <c r="H12" i="8"/>
  <c r="J20" i="8" s="1"/>
  <c r="D12" i="8"/>
  <c r="F3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2" i="7" s="1"/>
  <c r="P12" i="7"/>
  <c r="R18" i="7" s="1"/>
  <c r="H12" i="7"/>
  <c r="J20" i="7" s="1"/>
  <c r="D12" i="7"/>
  <c r="F22" i="7" s="1"/>
  <c r="D5" i="7"/>
  <c r="D4" i="7"/>
  <c r="T29" i="6"/>
  <c r="Z29" i="6" s="1"/>
  <c r="P29" i="6"/>
  <c r="X29" i="6" s="1"/>
  <c r="L29" i="6"/>
  <c r="J29" i="6"/>
  <c r="H29" i="6"/>
  <c r="D29" i="6"/>
  <c r="T28" i="6"/>
  <c r="P28" i="6"/>
  <c r="H28" i="6"/>
  <c r="N28" i="6" s="1"/>
  <c r="D28" i="6"/>
  <c r="L28" i="6" s="1"/>
  <c r="J26" i="6"/>
  <c r="Z24" i="6"/>
  <c r="X24" i="6"/>
  <c r="R24" i="6"/>
  <c r="N24" i="6"/>
  <c r="L24" i="6"/>
  <c r="T20" i="6"/>
  <c r="Z20" i="6" s="1"/>
  <c r="P20" i="6"/>
  <c r="X20" i="6" s="1"/>
  <c r="L20" i="6"/>
  <c r="J20" i="6"/>
  <c r="H20" i="6"/>
  <c r="N20" i="6" s="1"/>
  <c r="D20" i="6"/>
  <c r="T18" i="6"/>
  <c r="P18" i="6"/>
  <c r="H18" i="6"/>
  <c r="N18" i="6" s="1"/>
  <c r="D18" i="6"/>
  <c r="L18" i="6" s="1"/>
  <c r="J16" i="6"/>
  <c r="T14" i="6"/>
  <c r="P14" i="6"/>
  <c r="H14" i="6"/>
  <c r="H16" i="6" s="1"/>
  <c r="D14" i="6"/>
  <c r="L14" i="6" s="1"/>
  <c r="Z12" i="6"/>
  <c r="T12" i="6"/>
  <c r="V29" i="6" s="1"/>
  <c r="P12" i="6"/>
  <c r="R31" i="6" s="1"/>
  <c r="N12" i="6"/>
  <c r="H12" i="6"/>
  <c r="J24" i="6" s="1"/>
  <c r="D12" i="6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D20" i="5"/>
  <c r="T16" i="5"/>
  <c r="Z16" i="5" s="1"/>
  <c r="P16" i="5"/>
  <c r="H16" i="5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4" i="5" s="1"/>
  <c r="P12" i="5"/>
  <c r="R22" i="5" s="1"/>
  <c r="H12" i="5"/>
  <c r="J24" i="5" s="1"/>
  <c r="D12" i="5"/>
  <c r="D5" i="5"/>
  <c r="D4" i="5"/>
  <c r="B39" i="4"/>
  <c r="B38" i="4"/>
  <c r="T34" i="4"/>
  <c r="Z34" i="4" s="1"/>
  <c r="P34" i="4"/>
  <c r="H34" i="4"/>
  <c r="N34" i="4" s="1"/>
  <c r="D34" i="4"/>
  <c r="T33" i="4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X15" i="4" s="1"/>
  <c r="H15" i="4"/>
  <c r="N15" i="4" s="1"/>
  <c r="D15" i="4"/>
  <c r="T13" i="4"/>
  <c r="Z13" i="4" s="1"/>
  <c r="P13" i="4"/>
  <c r="H13" i="4"/>
  <c r="N13" i="4" s="1"/>
  <c r="D13" i="4"/>
  <c r="B13" i="4"/>
  <c r="T12" i="4"/>
  <c r="V18" i="4" s="1"/>
  <c r="P12" i="4"/>
  <c r="R36" i="4" s="1"/>
  <c r="H12" i="4"/>
  <c r="J20" i="4" s="1"/>
  <c r="D12" i="4"/>
  <c r="F22" i="4" s="1"/>
  <c r="D5" i="4"/>
  <c r="D4" i="4"/>
  <c r="T288" i="3"/>
  <c r="Z288" i="3" s="1"/>
  <c r="P288" i="3"/>
  <c r="X288" i="3" s="1"/>
  <c r="N288" i="3"/>
  <c r="H288" i="3"/>
  <c r="D288" i="3"/>
  <c r="L288" i="3" s="1"/>
  <c r="X287" i="3"/>
  <c r="T287" i="3"/>
  <c r="Z287" i="3" s="1"/>
  <c r="P287" i="3"/>
  <c r="H287" i="3"/>
  <c r="N287" i="3" s="1"/>
  <c r="D287" i="3"/>
  <c r="L287" i="3" s="1"/>
  <c r="X283" i="3"/>
  <c r="Z283" i="3" s="1"/>
  <c r="N283" i="3"/>
  <c r="L283" i="3"/>
  <c r="Z279" i="3"/>
  <c r="P279" i="3"/>
  <c r="X279" i="3" s="1"/>
  <c r="N279" i="3"/>
  <c r="L279" i="3"/>
  <c r="D279" i="3"/>
  <c r="B279" i="3"/>
  <c r="Z278" i="3"/>
  <c r="P278" i="3"/>
  <c r="X278" i="3" s="1"/>
  <c r="N278" i="3"/>
  <c r="D278" i="3"/>
  <c r="L278" i="3" s="1"/>
  <c r="B278" i="3"/>
  <c r="P277" i="3"/>
  <c r="X277" i="3" s="1"/>
  <c r="Z277" i="3" s="1"/>
  <c r="D277" i="3"/>
  <c r="L277" i="3" s="1"/>
  <c r="N277" i="3" s="1"/>
  <c r="B277" i="3"/>
  <c r="Z276" i="3"/>
  <c r="P276" i="3"/>
  <c r="X276" i="3" s="1"/>
  <c r="N276" i="3"/>
  <c r="D276" i="3"/>
  <c r="L276" i="3" s="1"/>
  <c r="B276" i="3"/>
  <c r="X275" i="3"/>
  <c r="Z275" i="3" s="1"/>
  <c r="P275" i="3"/>
  <c r="D275" i="3"/>
  <c r="L275" i="3" s="1"/>
  <c r="N275" i="3" s="1"/>
  <c r="B275" i="3"/>
  <c r="X274" i="3"/>
  <c r="Z274" i="3" s="1"/>
  <c r="P274" i="3"/>
  <c r="L274" i="3"/>
  <c r="N274" i="3" s="1"/>
  <c r="D274" i="3"/>
  <c r="B274" i="3"/>
  <c r="Z273" i="3"/>
  <c r="P273" i="3"/>
  <c r="P271" i="3" s="1"/>
  <c r="X271" i="3" s="1"/>
  <c r="Z271" i="3" s="1"/>
  <c r="N273" i="3"/>
  <c r="L273" i="3"/>
  <c r="D273" i="3"/>
  <c r="B273" i="3"/>
  <c r="Z272" i="3"/>
  <c r="X272" i="3"/>
  <c r="P272" i="3"/>
  <c r="N272" i="3"/>
  <c r="D272" i="3"/>
  <c r="L272" i="3" s="1"/>
  <c r="B272" i="3"/>
  <c r="T271" i="3"/>
  <c r="H271" i="3"/>
  <c r="X269" i="3"/>
  <c r="Z269" i="3" s="1"/>
  <c r="N269" i="3"/>
  <c r="L269" i="3"/>
  <c r="B269" i="3"/>
  <c r="X268" i="3"/>
  <c r="Z268" i="3" s="1"/>
  <c r="T268" i="3"/>
  <c r="P268" i="3"/>
  <c r="H268" i="3"/>
  <c r="N268" i="3" s="1"/>
  <c r="D268" i="3"/>
  <c r="L268" i="3" s="1"/>
  <c r="B268" i="3"/>
  <c r="Z267" i="3"/>
  <c r="X267" i="3"/>
  <c r="N267" i="3"/>
  <c r="L267" i="3"/>
  <c r="B267" i="3"/>
  <c r="X266" i="3"/>
  <c r="Z266" i="3" s="1"/>
  <c r="L266" i="3"/>
  <c r="N266" i="3" s="1"/>
  <c r="B266" i="3"/>
  <c r="X265" i="3"/>
  <c r="Z265" i="3" s="1"/>
  <c r="N265" i="3"/>
  <c r="L265" i="3"/>
  <c r="B265" i="3"/>
  <c r="X264" i="3"/>
  <c r="Z264" i="3" s="1"/>
  <c r="T264" i="3"/>
  <c r="P264" i="3"/>
  <c r="H264" i="3"/>
  <c r="N264" i="3" s="1"/>
  <c r="D264" i="3"/>
  <c r="L264" i="3" s="1"/>
  <c r="B264" i="3"/>
  <c r="Z263" i="3"/>
  <c r="X263" i="3"/>
  <c r="N263" i="3"/>
  <c r="L263" i="3"/>
  <c r="B263" i="3"/>
  <c r="T262" i="3"/>
  <c r="Z262" i="3" s="1"/>
  <c r="P262" i="3"/>
  <c r="X262" i="3" s="1"/>
  <c r="H262" i="3"/>
  <c r="N262" i="3" s="1"/>
  <c r="D262" i="3"/>
  <c r="L262" i="3" s="1"/>
  <c r="B262" i="3"/>
  <c r="Z261" i="3"/>
  <c r="X261" i="3"/>
  <c r="L261" i="3"/>
  <c r="N261" i="3" s="1"/>
  <c r="B261" i="3"/>
  <c r="X260" i="3"/>
  <c r="Z260" i="3" s="1"/>
  <c r="L260" i="3"/>
  <c r="N260" i="3" s="1"/>
  <c r="B260" i="3"/>
  <c r="T259" i="3"/>
  <c r="Z259" i="3" s="1"/>
  <c r="P259" i="3"/>
  <c r="X259" i="3" s="1"/>
  <c r="H259" i="3"/>
  <c r="D259" i="3"/>
  <c r="L259" i="3" s="1"/>
  <c r="N259" i="3" s="1"/>
  <c r="B259" i="3"/>
  <c r="X258" i="3"/>
  <c r="Z258" i="3" s="1"/>
  <c r="L258" i="3"/>
  <c r="N258" i="3" s="1"/>
  <c r="B258" i="3"/>
  <c r="Z257" i="3"/>
  <c r="X257" i="3"/>
  <c r="L257" i="3"/>
  <c r="N257" i="3" s="1"/>
  <c r="B257" i="3"/>
  <c r="Z256" i="3"/>
  <c r="X256" i="3"/>
  <c r="N256" i="3"/>
  <c r="L256" i="3"/>
  <c r="B256" i="3"/>
  <c r="Z255" i="3"/>
  <c r="X255" i="3"/>
  <c r="N255" i="3"/>
  <c r="L255" i="3"/>
  <c r="B255" i="3"/>
  <c r="X254" i="3"/>
  <c r="Z254" i="3" s="1"/>
  <c r="L254" i="3"/>
  <c r="N254" i="3" s="1"/>
  <c r="B254" i="3"/>
  <c r="X253" i="3"/>
  <c r="Z253" i="3" s="1"/>
  <c r="N253" i="3"/>
  <c r="L253" i="3"/>
  <c r="B253" i="3"/>
  <c r="X252" i="3"/>
  <c r="Z252" i="3" s="1"/>
  <c r="L252" i="3"/>
  <c r="N252" i="3" s="1"/>
  <c r="B252" i="3"/>
  <c r="Z251" i="3"/>
  <c r="X251" i="3"/>
  <c r="N251" i="3"/>
  <c r="L251" i="3"/>
  <c r="B251" i="3"/>
  <c r="X250" i="3"/>
  <c r="Z250" i="3" s="1"/>
  <c r="L250" i="3"/>
  <c r="N250" i="3" s="1"/>
  <c r="B250" i="3"/>
  <c r="Z249" i="3"/>
  <c r="X249" i="3"/>
  <c r="L249" i="3"/>
  <c r="N249" i="3" s="1"/>
  <c r="B249" i="3"/>
  <c r="X248" i="3"/>
  <c r="Z248" i="3" s="1"/>
  <c r="L248" i="3"/>
  <c r="N248" i="3" s="1"/>
  <c r="B248" i="3"/>
  <c r="T247" i="3"/>
  <c r="P247" i="3"/>
  <c r="X247" i="3" s="1"/>
  <c r="H247" i="3"/>
  <c r="D247" i="3"/>
  <c r="L247" i="3" s="1"/>
  <c r="N247" i="3" s="1"/>
  <c r="B247" i="3"/>
  <c r="X246" i="3"/>
  <c r="Z246" i="3" s="1"/>
  <c r="N246" i="3"/>
  <c r="L246" i="3"/>
  <c r="B246" i="3"/>
  <c r="Z245" i="3"/>
  <c r="X245" i="3"/>
  <c r="L245" i="3"/>
  <c r="N245" i="3" s="1"/>
  <c r="B245" i="3"/>
  <c r="T244" i="3"/>
  <c r="Z244" i="3" s="1"/>
  <c r="P244" i="3"/>
  <c r="X244" i="3" s="1"/>
  <c r="L244" i="3"/>
  <c r="H244" i="3"/>
  <c r="N244" i="3" s="1"/>
  <c r="D244" i="3"/>
  <c r="B244" i="3"/>
  <c r="Z243" i="3"/>
  <c r="X243" i="3"/>
  <c r="N243" i="3"/>
  <c r="L243" i="3"/>
  <c r="B243" i="3"/>
  <c r="X242" i="3"/>
  <c r="Z242" i="3" s="1"/>
  <c r="L242" i="3"/>
  <c r="N242" i="3" s="1"/>
  <c r="B242" i="3"/>
  <c r="Z241" i="3"/>
  <c r="X241" i="3"/>
  <c r="L241" i="3"/>
  <c r="N241" i="3" s="1"/>
  <c r="B241" i="3"/>
  <c r="X240" i="3"/>
  <c r="Z240" i="3" s="1"/>
  <c r="N240" i="3"/>
  <c r="L240" i="3"/>
  <c r="B240" i="3"/>
  <c r="Z239" i="3"/>
  <c r="X239" i="3"/>
  <c r="N239" i="3"/>
  <c r="L239" i="3"/>
  <c r="B239" i="3"/>
  <c r="T238" i="3"/>
  <c r="Z238" i="3" s="1"/>
  <c r="P238" i="3"/>
  <c r="X238" i="3" s="1"/>
  <c r="H238" i="3"/>
  <c r="D238" i="3"/>
  <c r="L238" i="3" s="1"/>
  <c r="B238" i="3"/>
  <c r="Z237" i="3"/>
  <c r="X237" i="3"/>
  <c r="L237" i="3"/>
  <c r="N237" i="3" s="1"/>
  <c r="B237" i="3"/>
  <c r="X236" i="3"/>
  <c r="Z236" i="3" s="1"/>
  <c r="L236" i="3"/>
  <c r="N236" i="3" s="1"/>
  <c r="B236" i="3"/>
  <c r="Z235" i="3"/>
  <c r="X235" i="3"/>
  <c r="N235" i="3"/>
  <c r="L235" i="3"/>
  <c r="B235" i="3"/>
  <c r="X234" i="3"/>
  <c r="Z234" i="3" s="1"/>
  <c r="L234" i="3"/>
  <c r="N234" i="3" s="1"/>
  <c r="B234" i="3"/>
  <c r="T233" i="3"/>
  <c r="P233" i="3"/>
  <c r="X233" i="3" s="1"/>
  <c r="H233" i="3"/>
  <c r="D233" i="3"/>
  <c r="L233" i="3" s="1"/>
  <c r="N233" i="3" s="1"/>
  <c r="B233" i="3"/>
  <c r="X232" i="3"/>
  <c r="Z232" i="3" s="1"/>
  <c r="L232" i="3"/>
  <c r="N232" i="3" s="1"/>
  <c r="B232" i="3"/>
  <c r="Z231" i="3"/>
  <c r="X231" i="3"/>
  <c r="N231" i="3"/>
  <c r="L231" i="3"/>
  <c r="B231" i="3"/>
  <c r="Z230" i="3"/>
  <c r="X230" i="3"/>
  <c r="L230" i="3"/>
  <c r="N230" i="3" s="1"/>
  <c r="B230" i="3"/>
  <c r="X229" i="3"/>
  <c r="Z229" i="3" s="1"/>
  <c r="N229" i="3"/>
  <c r="L229" i="3"/>
  <c r="B229" i="3"/>
  <c r="X228" i="3"/>
  <c r="T228" i="3"/>
  <c r="Z228" i="3" s="1"/>
  <c r="P228" i="3"/>
  <c r="H228" i="3"/>
  <c r="D228" i="3"/>
  <c r="L228" i="3" s="1"/>
  <c r="B228" i="3"/>
  <c r="Z227" i="3"/>
  <c r="X227" i="3"/>
  <c r="N227" i="3"/>
  <c r="L227" i="3"/>
  <c r="B227" i="3"/>
  <c r="T226" i="3"/>
  <c r="P226" i="3"/>
  <c r="X226" i="3" s="1"/>
  <c r="H226" i="3"/>
  <c r="D226" i="3"/>
  <c r="L226" i="3" s="1"/>
  <c r="N226" i="3" s="1"/>
  <c r="B226" i="3"/>
  <c r="X225" i="3"/>
  <c r="Z225" i="3" s="1"/>
  <c r="N225" i="3"/>
  <c r="L225" i="3"/>
  <c r="B225" i="3"/>
  <c r="T224" i="3"/>
  <c r="P224" i="3"/>
  <c r="X224" i="3" s="1"/>
  <c r="Z224" i="3" s="1"/>
  <c r="L224" i="3"/>
  <c r="H224" i="3"/>
  <c r="N224" i="3" s="1"/>
  <c r="D224" i="3"/>
  <c r="B224" i="3"/>
  <c r="Z223" i="3"/>
  <c r="X223" i="3"/>
  <c r="N223" i="3"/>
  <c r="L223" i="3"/>
  <c r="B223" i="3"/>
  <c r="T222" i="3"/>
  <c r="P222" i="3"/>
  <c r="L222" i="3"/>
  <c r="H222" i="3"/>
  <c r="N222" i="3" s="1"/>
  <c r="D222" i="3"/>
  <c r="B222" i="3"/>
  <c r="Z221" i="3"/>
  <c r="X221" i="3"/>
  <c r="N221" i="3"/>
  <c r="L221" i="3"/>
  <c r="B221" i="3"/>
  <c r="X220" i="3"/>
  <c r="Z220" i="3" s="1"/>
  <c r="L220" i="3"/>
  <c r="N220" i="3" s="1"/>
  <c r="B220" i="3"/>
  <c r="T219" i="3"/>
  <c r="P219" i="3"/>
  <c r="X219" i="3" s="1"/>
  <c r="Z219" i="3" s="1"/>
  <c r="H219" i="3"/>
  <c r="D219" i="3"/>
  <c r="L219" i="3" s="1"/>
  <c r="N219" i="3" s="1"/>
  <c r="B219" i="3"/>
  <c r="X218" i="3"/>
  <c r="Z218" i="3" s="1"/>
  <c r="L218" i="3"/>
  <c r="N218" i="3" s="1"/>
  <c r="B218" i="3"/>
  <c r="T217" i="3"/>
  <c r="P217" i="3"/>
  <c r="X217" i="3" s="1"/>
  <c r="Z217" i="3" s="1"/>
  <c r="H217" i="3"/>
  <c r="L217" i="3" s="1"/>
  <c r="N217" i="3" s="1"/>
  <c r="D217" i="3"/>
  <c r="B217" i="3"/>
  <c r="Z216" i="3"/>
  <c r="X216" i="3"/>
  <c r="L216" i="3"/>
  <c r="N216" i="3" s="1"/>
  <c r="B216" i="3"/>
  <c r="T215" i="3"/>
  <c r="X215" i="3" s="1"/>
  <c r="Z215" i="3" s="1"/>
  <c r="P215" i="3"/>
  <c r="L215" i="3"/>
  <c r="N215" i="3" s="1"/>
  <c r="H215" i="3"/>
  <c r="D215" i="3"/>
  <c r="B215" i="3"/>
  <c r="X214" i="3"/>
  <c r="Z214" i="3" s="1"/>
  <c r="N214" i="3"/>
  <c r="L214" i="3"/>
  <c r="B214" i="3"/>
  <c r="X213" i="3"/>
  <c r="Z213" i="3" s="1"/>
  <c r="N213" i="3"/>
  <c r="L213" i="3"/>
  <c r="B213" i="3"/>
  <c r="Z212" i="3"/>
  <c r="X212" i="3"/>
  <c r="N212" i="3"/>
  <c r="L212" i="3"/>
  <c r="B212" i="3"/>
  <c r="T211" i="3"/>
  <c r="P211" i="3"/>
  <c r="L211" i="3"/>
  <c r="N211" i="3" s="1"/>
  <c r="H211" i="3"/>
  <c r="D211" i="3"/>
  <c r="B211" i="3"/>
  <c r="X210" i="3"/>
  <c r="Z210" i="3" s="1"/>
  <c r="N210" i="3"/>
  <c r="L210" i="3"/>
  <c r="B210" i="3"/>
  <c r="X209" i="3"/>
  <c r="Z209" i="3" s="1"/>
  <c r="L209" i="3"/>
  <c r="N209" i="3" s="1"/>
  <c r="B209" i="3"/>
  <c r="T208" i="3"/>
  <c r="P208" i="3"/>
  <c r="X208" i="3" s="1"/>
  <c r="Z208" i="3" s="1"/>
  <c r="L208" i="3"/>
  <c r="H208" i="3"/>
  <c r="N208" i="3" s="1"/>
  <c r="D208" i="3"/>
  <c r="B208" i="3"/>
  <c r="Z207" i="3"/>
  <c r="X207" i="3"/>
  <c r="N207" i="3"/>
  <c r="L207" i="3"/>
  <c r="B207" i="3"/>
  <c r="X206" i="3"/>
  <c r="T206" i="3"/>
  <c r="Z206" i="3" s="1"/>
  <c r="P206" i="3"/>
  <c r="H206" i="3"/>
  <c r="D206" i="3"/>
  <c r="B206" i="3"/>
  <c r="X205" i="3"/>
  <c r="Z205" i="3" s="1"/>
  <c r="N205" i="3"/>
  <c r="L205" i="3"/>
  <c r="B205" i="3"/>
  <c r="T204" i="3"/>
  <c r="P204" i="3"/>
  <c r="H204" i="3"/>
  <c r="D204" i="3"/>
  <c r="L204" i="3" s="1"/>
  <c r="B204" i="3"/>
  <c r="Z203" i="3"/>
  <c r="X203" i="3"/>
  <c r="N203" i="3"/>
  <c r="L203" i="3"/>
  <c r="B203" i="3"/>
  <c r="Z202" i="3"/>
  <c r="X202" i="3"/>
  <c r="N202" i="3"/>
  <c r="L202" i="3"/>
  <c r="B202" i="3"/>
  <c r="T201" i="3"/>
  <c r="P201" i="3"/>
  <c r="X201" i="3" s="1"/>
  <c r="Z201" i="3" s="1"/>
  <c r="H201" i="3"/>
  <c r="L201" i="3" s="1"/>
  <c r="N201" i="3" s="1"/>
  <c r="D201" i="3"/>
  <c r="B201" i="3"/>
  <c r="Z200" i="3"/>
  <c r="X200" i="3"/>
  <c r="N200" i="3"/>
  <c r="L200" i="3"/>
  <c r="B200" i="3"/>
  <c r="Z199" i="3"/>
  <c r="X199" i="3"/>
  <c r="N199" i="3"/>
  <c r="L199" i="3"/>
  <c r="B199" i="3"/>
  <c r="T198" i="3"/>
  <c r="P198" i="3"/>
  <c r="X198" i="3" s="1"/>
  <c r="H198" i="3"/>
  <c r="D198" i="3"/>
  <c r="L198" i="3" s="1"/>
  <c r="N198" i="3" s="1"/>
  <c r="B198" i="3"/>
  <c r="Z197" i="3"/>
  <c r="X197" i="3"/>
  <c r="L197" i="3"/>
  <c r="N197" i="3" s="1"/>
  <c r="B197" i="3"/>
  <c r="Z196" i="3"/>
  <c r="X196" i="3"/>
  <c r="L196" i="3"/>
  <c r="N196" i="3" s="1"/>
  <c r="B196" i="3"/>
  <c r="Z195" i="3"/>
  <c r="X195" i="3"/>
  <c r="N195" i="3"/>
  <c r="L195" i="3"/>
  <c r="B195" i="3"/>
  <c r="T194" i="3"/>
  <c r="P194" i="3"/>
  <c r="X194" i="3" s="1"/>
  <c r="H194" i="3"/>
  <c r="D194" i="3"/>
  <c r="L194" i="3" s="1"/>
  <c r="N194" i="3" s="1"/>
  <c r="B194" i="3"/>
  <c r="Z193" i="3"/>
  <c r="X193" i="3"/>
  <c r="N193" i="3"/>
  <c r="L193" i="3"/>
  <c r="B193" i="3"/>
  <c r="T192" i="3"/>
  <c r="P192" i="3"/>
  <c r="X192" i="3" s="1"/>
  <c r="Z192" i="3" s="1"/>
  <c r="L192" i="3"/>
  <c r="H192" i="3"/>
  <c r="N192" i="3" s="1"/>
  <c r="D192" i="3"/>
  <c r="B192" i="3"/>
  <c r="Z191" i="3"/>
  <c r="X191" i="3"/>
  <c r="N191" i="3"/>
  <c r="L191" i="3"/>
  <c r="B191" i="3"/>
  <c r="X190" i="3"/>
  <c r="Z190" i="3" s="1"/>
  <c r="L190" i="3"/>
  <c r="N190" i="3" s="1"/>
  <c r="B190" i="3"/>
  <c r="Z189" i="3"/>
  <c r="X189" i="3"/>
  <c r="T189" i="3"/>
  <c r="P189" i="3"/>
  <c r="H189" i="3"/>
  <c r="L189" i="3" s="1"/>
  <c r="N189" i="3" s="1"/>
  <c r="D189" i="3"/>
  <c r="B189" i="3"/>
  <c r="X188" i="3"/>
  <c r="Z188" i="3" s="1"/>
  <c r="N188" i="3"/>
  <c r="L188" i="3"/>
  <c r="B188" i="3"/>
  <c r="T187" i="3"/>
  <c r="X187" i="3" s="1"/>
  <c r="Z187" i="3" s="1"/>
  <c r="P187" i="3"/>
  <c r="H187" i="3"/>
  <c r="D187" i="3"/>
  <c r="L187" i="3" s="1"/>
  <c r="N187" i="3" s="1"/>
  <c r="B187" i="3"/>
  <c r="Z186" i="3"/>
  <c r="X186" i="3"/>
  <c r="N186" i="3"/>
  <c r="L186" i="3"/>
  <c r="B186" i="3"/>
  <c r="Z185" i="3"/>
  <c r="X185" i="3"/>
  <c r="N185" i="3"/>
  <c r="L185" i="3"/>
  <c r="B185" i="3"/>
  <c r="X184" i="3"/>
  <c r="Z184" i="3" s="1"/>
  <c r="N184" i="3"/>
  <c r="L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L180" i="3"/>
  <c r="N180" i="3" s="1"/>
  <c r="B180" i="3"/>
  <c r="Z179" i="3"/>
  <c r="X179" i="3"/>
  <c r="N179" i="3"/>
  <c r="L179" i="3"/>
  <c r="B179" i="3"/>
  <c r="X178" i="3"/>
  <c r="Z178" i="3" s="1"/>
  <c r="L178" i="3"/>
  <c r="N178" i="3" s="1"/>
  <c r="B178" i="3"/>
  <c r="Z177" i="3"/>
  <c r="X177" i="3"/>
  <c r="N177" i="3"/>
  <c r="L177" i="3"/>
  <c r="B177" i="3"/>
  <c r="T176" i="3"/>
  <c r="P176" i="3"/>
  <c r="H176" i="3"/>
  <c r="D176" i="3"/>
  <c r="L176" i="3" s="1"/>
  <c r="B176" i="3"/>
  <c r="Z175" i="3"/>
  <c r="X175" i="3"/>
  <c r="N175" i="3"/>
  <c r="L175" i="3"/>
  <c r="B175" i="3"/>
  <c r="X174" i="3"/>
  <c r="Z174" i="3" s="1"/>
  <c r="L174" i="3"/>
  <c r="N174" i="3" s="1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X170" i="3"/>
  <c r="Z170" i="3" s="1"/>
  <c r="L170" i="3"/>
  <c r="N170" i="3" s="1"/>
  <c r="B170" i="3"/>
  <c r="Z169" i="3"/>
  <c r="X169" i="3"/>
  <c r="N169" i="3"/>
  <c r="L169" i="3"/>
  <c r="B169" i="3"/>
  <c r="X168" i="3"/>
  <c r="Z168" i="3" s="1"/>
  <c r="L168" i="3"/>
  <c r="N168" i="3" s="1"/>
  <c r="B168" i="3"/>
  <c r="Z167" i="3"/>
  <c r="X167" i="3"/>
  <c r="N167" i="3"/>
  <c r="L167" i="3"/>
  <c r="B167" i="3"/>
  <c r="X166" i="3"/>
  <c r="Z166" i="3" s="1"/>
  <c r="L166" i="3"/>
  <c r="N166" i="3" s="1"/>
  <c r="B166" i="3"/>
  <c r="T165" i="3"/>
  <c r="P165" i="3"/>
  <c r="X165" i="3" s="1"/>
  <c r="Z165" i="3" s="1"/>
  <c r="H165" i="3"/>
  <c r="D165" i="3"/>
  <c r="L165" i="3" s="1"/>
  <c r="N165" i="3" s="1"/>
  <c r="B165" i="3"/>
  <c r="T164" i="3"/>
  <c r="P164" i="3"/>
  <c r="H164" i="3"/>
  <c r="D164" i="3"/>
  <c r="Z160" i="3"/>
  <c r="X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N156" i="3"/>
  <c r="L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B108" i="3"/>
  <c r="Z107" i="3"/>
  <c r="X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X104" i="3"/>
  <c r="Z104" i="3" s="1"/>
  <c r="L104" i="3"/>
  <c r="N104" i="3" s="1"/>
  <c r="B104" i="3"/>
  <c r="T103" i="3"/>
  <c r="P103" i="3"/>
  <c r="X103" i="3" s="1"/>
  <c r="Z103" i="3" s="1"/>
  <c r="H103" i="3"/>
  <c r="D103" i="3"/>
  <c r="L103" i="3" s="1"/>
  <c r="N103" i="3" s="1"/>
  <c r="Z101" i="3"/>
  <c r="P101" i="3"/>
  <c r="X101" i="3" s="1"/>
  <c r="N101" i="3"/>
  <c r="L101" i="3"/>
  <c r="D101" i="3"/>
  <c r="B101" i="3"/>
  <c r="Z100" i="3"/>
  <c r="X100" i="3"/>
  <c r="P100" i="3"/>
  <c r="N100" i="3"/>
  <c r="D100" i="3"/>
  <c r="L100" i="3" s="1"/>
  <c r="B100" i="3"/>
  <c r="Z99" i="3"/>
  <c r="P99" i="3"/>
  <c r="X99" i="3" s="1"/>
  <c r="N99" i="3"/>
  <c r="L99" i="3"/>
  <c r="D99" i="3"/>
  <c r="B99" i="3"/>
  <c r="Z98" i="3"/>
  <c r="X98" i="3"/>
  <c r="P98" i="3"/>
  <c r="N98" i="3"/>
  <c r="D98" i="3"/>
  <c r="L98" i="3" s="1"/>
  <c r="B98" i="3"/>
  <c r="Z97" i="3"/>
  <c r="P97" i="3"/>
  <c r="X97" i="3" s="1"/>
  <c r="N97" i="3"/>
  <c r="L97" i="3"/>
  <c r="D97" i="3"/>
  <c r="B97" i="3"/>
  <c r="Z96" i="3"/>
  <c r="X96" i="3"/>
  <c r="P96" i="3"/>
  <c r="N96" i="3"/>
  <c r="D96" i="3"/>
  <c r="L96" i="3" s="1"/>
  <c r="B96" i="3"/>
  <c r="Z95" i="3"/>
  <c r="P95" i="3"/>
  <c r="X95" i="3" s="1"/>
  <c r="N95" i="3"/>
  <c r="L95" i="3"/>
  <c r="D95" i="3"/>
  <c r="B95" i="3"/>
  <c r="Z94" i="3"/>
  <c r="X94" i="3"/>
  <c r="P94" i="3"/>
  <c r="N94" i="3"/>
  <c r="D94" i="3"/>
  <c r="L94" i="3" s="1"/>
  <c r="B94" i="3"/>
  <c r="Z93" i="3"/>
  <c r="P93" i="3"/>
  <c r="X93" i="3" s="1"/>
  <c r="N93" i="3"/>
  <c r="L93" i="3"/>
  <c r="D93" i="3"/>
  <c r="B93" i="3"/>
  <c r="Z92" i="3"/>
  <c r="X92" i="3"/>
  <c r="P92" i="3"/>
  <c r="N92" i="3"/>
  <c r="D92" i="3"/>
  <c r="L92" i="3" s="1"/>
  <c r="B92" i="3"/>
  <c r="Z91" i="3"/>
  <c r="P91" i="3"/>
  <c r="X91" i="3" s="1"/>
  <c r="N91" i="3"/>
  <c r="L91" i="3"/>
  <c r="D91" i="3"/>
  <c r="B91" i="3"/>
  <c r="Z90" i="3"/>
  <c r="X90" i="3"/>
  <c r="P90" i="3"/>
  <c r="N90" i="3"/>
  <c r="D90" i="3"/>
  <c r="L90" i="3" s="1"/>
  <c r="B90" i="3"/>
  <c r="Z89" i="3"/>
  <c r="P89" i="3"/>
  <c r="X89" i="3" s="1"/>
  <c r="N89" i="3"/>
  <c r="L89" i="3"/>
  <c r="D89" i="3"/>
  <c r="B89" i="3"/>
  <c r="Z88" i="3"/>
  <c r="X88" i="3"/>
  <c r="P88" i="3"/>
  <c r="N88" i="3"/>
  <c r="D88" i="3"/>
  <c r="L88" i="3" s="1"/>
  <c r="B88" i="3"/>
  <c r="Z87" i="3"/>
  <c r="P87" i="3"/>
  <c r="X87" i="3" s="1"/>
  <c r="N87" i="3"/>
  <c r="L87" i="3"/>
  <c r="D87" i="3"/>
  <c r="B87" i="3"/>
  <c r="Z86" i="3"/>
  <c r="X86" i="3"/>
  <c r="P86" i="3"/>
  <c r="N86" i="3"/>
  <c r="D86" i="3"/>
  <c r="L86" i="3" s="1"/>
  <c r="B86" i="3"/>
  <c r="Z85" i="3"/>
  <c r="P85" i="3"/>
  <c r="X85" i="3" s="1"/>
  <c r="N85" i="3"/>
  <c r="L85" i="3"/>
  <c r="D85" i="3"/>
  <c r="B85" i="3"/>
  <c r="Z84" i="3"/>
  <c r="X84" i="3"/>
  <c r="P84" i="3"/>
  <c r="N84" i="3"/>
  <c r="D84" i="3"/>
  <c r="L84" i="3" s="1"/>
  <c r="B84" i="3"/>
  <c r="Z83" i="3"/>
  <c r="P83" i="3"/>
  <c r="X83" i="3" s="1"/>
  <c r="N83" i="3"/>
  <c r="L83" i="3"/>
  <c r="D83" i="3"/>
  <c r="B83" i="3"/>
  <c r="Z82" i="3"/>
  <c r="X82" i="3"/>
  <c r="P82" i="3"/>
  <c r="N82" i="3"/>
  <c r="D82" i="3"/>
  <c r="L82" i="3" s="1"/>
  <c r="B82" i="3"/>
  <c r="Z81" i="3"/>
  <c r="P81" i="3"/>
  <c r="X81" i="3" s="1"/>
  <c r="N81" i="3"/>
  <c r="L81" i="3"/>
  <c r="D81" i="3"/>
  <c r="B81" i="3"/>
  <c r="Z80" i="3"/>
  <c r="X80" i="3"/>
  <c r="P80" i="3"/>
  <c r="N80" i="3"/>
  <c r="D80" i="3"/>
  <c r="L80" i="3" s="1"/>
  <c r="B80" i="3"/>
  <c r="Z79" i="3"/>
  <c r="P79" i="3"/>
  <c r="X79" i="3" s="1"/>
  <c r="N79" i="3"/>
  <c r="L79" i="3"/>
  <c r="D79" i="3"/>
  <c r="B79" i="3"/>
  <c r="Z78" i="3"/>
  <c r="X78" i="3"/>
  <c r="P78" i="3"/>
  <c r="N78" i="3"/>
  <c r="D78" i="3"/>
  <c r="L78" i="3" s="1"/>
  <c r="B78" i="3"/>
  <c r="Z77" i="3"/>
  <c r="P77" i="3"/>
  <c r="X77" i="3" s="1"/>
  <c r="N77" i="3"/>
  <c r="L77" i="3"/>
  <c r="D77" i="3"/>
  <c r="B77" i="3"/>
  <c r="Z76" i="3"/>
  <c r="X76" i="3"/>
  <c r="P76" i="3"/>
  <c r="N76" i="3"/>
  <c r="D76" i="3"/>
  <c r="L76" i="3" s="1"/>
  <c r="B76" i="3"/>
  <c r="Z75" i="3"/>
  <c r="P75" i="3"/>
  <c r="X75" i="3" s="1"/>
  <c r="N75" i="3"/>
  <c r="L75" i="3"/>
  <c r="D75" i="3"/>
  <c r="B75" i="3"/>
  <c r="Z74" i="3"/>
  <c r="X74" i="3"/>
  <c r="P74" i="3"/>
  <c r="N74" i="3"/>
  <c r="D74" i="3"/>
  <c r="L74" i="3" s="1"/>
  <c r="B74" i="3"/>
  <c r="Z73" i="3"/>
  <c r="P73" i="3"/>
  <c r="X73" i="3" s="1"/>
  <c r="N73" i="3"/>
  <c r="L73" i="3"/>
  <c r="D73" i="3"/>
  <c r="B73" i="3"/>
  <c r="Z72" i="3"/>
  <c r="X72" i="3"/>
  <c r="P72" i="3"/>
  <c r="N72" i="3"/>
  <c r="D72" i="3"/>
  <c r="L72" i="3" s="1"/>
  <c r="B72" i="3"/>
  <c r="Z71" i="3"/>
  <c r="P71" i="3"/>
  <c r="X71" i="3" s="1"/>
  <c r="N71" i="3"/>
  <c r="L71" i="3"/>
  <c r="D71" i="3"/>
  <c r="B71" i="3"/>
  <c r="Z70" i="3"/>
  <c r="X70" i="3"/>
  <c r="P70" i="3"/>
  <c r="N70" i="3"/>
  <c r="D70" i="3"/>
  <c r="L70" i="3" s="1"/>
  <c r="B70" i="3"/>
  <c r="Z69" i="3"/>
  <c r="P69" i="3"/>
  <c r="X69" i="3" s="1"/>
  <c r="N69" i="3"/>
  <c r="L69" i="3"/>
  <c r="D69" i="3"/>
  <c r="B69" i="3"/>
  <c r="Z68" i="3"/>
  <c r="X68" i="3"/>
  <c r="P68" i="3"/>
  <c r="N68" i="3"/>
  <c r="D68" i="3"/>
  <c r="L68" i="3" s="1"/>
  <c r="B68" i="3"/>
  <c r="Z67" i="3"/>
  <c r="P67" i="3"/>
  <c r="X67" i="3" s="1"/>
  <c r="N67" i="3"/>
  <c r="L67" i="3"/>
  <c r="D67" i="3"/>
  <c r="B67" i="3"/>
  <c r="Z66" i="3"/>
  <c r="X66" i="3"/>
  <c r="P66" i="3"/>
  <c r="N66" i="3"/>
  <c r="D66" i="3"/>
  <c r="L66" i="3" s="1"/>
  <c r="B66" i="3"/>
  <c r="Z65" i="3"/>
  <c r="P65" i="3"/>
  <c r="X65" i="3" s="1"/>
  <c r="N65" i="3"/>
  <c r="L65" i="3"/>
  <c r="D65" i="3"/>
  <c r="B65" i="3"/>
  <c r="Z64" i="3"/>
  <c r="X64" i="3"/>
  <c r="P64" i="3"/>
  <c r="N64" i="3"/>
  <c r="D64" i="3"/>
  <c r="L64" i="3" s="1"/>
  <c r="B64" i="3"/>
  <c r="Z63" i="3"/>
  <c r="P63" i="3"/>
  <c r="X63" i="3" s="1"/>
  <c r="N63" i="3"/>
  <c r="L63" i="3"/>
  <c r="D63" i="3"/>
  <c r="B63" i="3"/>
  <c r="Z62" i="3"/>
  <c r="X62" i="3"/>
  <c r="P62" i="3"/>
  <c r="N62" i="3"/>
  <c r="D62" i="3"/>
  <c r="L62" i="3" s="1"/>
  <c r="B62" i="3"/>
  <c r="Z61" i="3"/>
  <c r="P61" i="3"/>
  <c r="X61" i="3" s="1"/>
  <c r="N61" i="3"/>
  <c r="L61" i="3"/>
  <c r="D61" i="3"/>
  <c r="B61" i="3"/>
  <c r="Z60" i="3"/>
  <c r="X60" i="3"/>
  <c r="P60" i="3"/>
  <c r="N60" i="3"/>
  <c r="D60" i="3"/>
  <c r="L60" i="3" s="1"/>
  <c r="B60" i="3"/>
  <c r="Z59" i="3"/>
  <c r="P59" i="3"/>
  <c r="X59" i="3" s="1"/>
  <c r="N59" i="3"/>
  <c r="L59" i="3"/>
  <c r="D59" i="3"/>
  <c r="B59" i="3"/>
  <c r="Z58" i="3"/>
  <c r="X58" i="3"/>
  <c r="P58" i="3"/>
  <c r="N58" i="3"/>
  <c r="D58" i="3"/>
  <c r="L58" i="3" s="1"/>
  <c r="B58" i="3"/>
  <c r="Z57" i="3"/>
  <c r="P57" i="3"/>
  <c r="X57" i="3" s="1"/>
  <c r="N57" i="3"/>
  <c r="L57" i="3"/>
  <c r="D57" i="3"/>
  <c r="B57" i="3"/>
  <c r="Z56" i="3"/>
  <c r="X56" i="3"/>
  <c r="P56" i="3"/>
  <c r="N56" i="3"/>
  <c r="D56" i="3"/>
  <c r="L56" i="3" s="1"/>
  <c r="B56" i="3"/>
  <c r="Z55" i="3"/>
  <c r="P55" i="3"/>
  <c r="X55" i="3" s="1"/>
  <c r="N55" i="3"/>
  <c r="L55" i="3"/>
  <c r="D55" i="3"/>
  <c r="B55" i="3"/>
  <c r="Z54" i="3"/>
  <c r="X54" i="3"/>
  <c r="P54" i="3"/>
  <c r="N54" i="3"/>
  <c r="D54" i="3"/>
  <c r="L54" i="3" s="1"/>
  <c r="B54" i="3"/>
  <c r="Z53" i="3"/>
  <c r="P53" i="3"/>
  <c r="X53" i="3" s="1"/>
  <c r="N53" i="3"/>
  <c r="L53" i="3"/>
  <c r="D53" i="3"/>
  <c r="B53" i="3"/>
  <c r="Z52" i="3"/>
  <c r="X52" i="3"/>
  <c r="P52" i="3"/>
  <c r="N52" i="3"/>
  <c r="D52" i="3"/>
  <c r="L52" i="3" s="1"/>
  <c r="B52" i="3"/>
  <c r="Z51" i="3"/>
  <c r="P51" i="3"/>
  <c r="X51" i="3" s="1"/>
  <c r="N51" i="3"/>
  <c r="L51" i="3"/>
  <c r="D51" i="3"/>
  <c r="B51" i="3"/>
  <c r="Z50" i="3"/>
  <c r="X50" i="3"/>
  <c r="P50" i="3"/>
  <c r="N50" i="3"/>
  <c r="D50" i="3"/>
  <c r="L50" i="3" s="1"/>
  <c r="B50" i="3"/>
  <c r="Z49" i="3"/>
  <c r="P49" i="3"/>
  <c r="X49" i="3" s="1"/>
  <c r="N49" i="3"/>
  <c r="L49" i="3"/>
  <c r="D49" i="3"/>
  <c r="B49" i="3"/>
  <c r="Z48" i="3"/>
  <c r="X48" i="3"/>
  <c r="P48" i="3"/>
  <c r="N48" i="3"/>
  <c r="D48" i="3"/>
  <c r="L48" i="3" s="1"/>
  <c r="B48" i="3"/>
  <c r="Z47" i="3"/>
  <c r="P47" i="3"/>
  <c r="X47" i="3" s="1"/>
  <c r="N47" i="3"/>
  <c r="L47" i="3"/>
  <c r="D47" i="3"/>
  <c r="B47" i="3"/>
  <c r="Z46" i="3"/>
  <c r="X46" i="3"/>
  <c r="P46" i="3"/>
  <c r="N46" i="3"/>
  <c r="D46" i="3"/>
  <c r="L46" i="3" s="1"/>
  <c r="B46" i="3"/>
  <c r="Z45" i="3"/>
  <c r="P45" i="3"/>
  <c r="X45" i="3" s="1"/>
  <c r="N45" i="3"/>
  <c r="L45" i="3"/>
  <c r="D45" i="3"/>
  <c r="B45" i="3"/>
  <c r="Z44" i="3"/>
  <c r="X44" i="3"/>
  <c r="P44" i="3"/>
  <c r="N44" i="3"/>
  <c r="D44" i="3"/>
  <c r="L44" i="3" s="1"/>
  <c r="B44" i="3"/>
  <c r="P43" i="3"/>
  <c r="X43" i="3" s="1"/>
  <c r="Z43" i="3" s="1"/>
  <c r="L43" i="3"/>
  <c r="N43" i="3" s="1"/>
  <c r="D43" i="3"/>
  <c r="B43" i="3"/>
  <c r="Z42" i="3"/>
  <c r="X42" i="3"/>
  <c r="P42" i="3"/>
  <c r="N42" i="3"/>
  <c r="D42" i="3"/>
  <c r="L42" i="3" s="1"/>
  <c r="B42" i="3"/>
  <c r="Z41" i="3"/>
  <c r="P41" i="3"/>
  <c r="X41" i="3" s="1"/>
  <c r="N41" i="3"/>
  <c r="L41" i="3"/>
  <c r="D41" i="3"/>
  <c r="B41" i="3"/>
  <c r="Z40" i="3"/>
  <c r="X40" i="3"/>
  <c r="P40" i="3"/>
  <c r="N40" i="3"/>
  <c r="D40" i="3"/>
  <c r="L40" i="3" s="1"/>
  <c r="B40" i="3"/>
  <c r="Z39" i="3"/>
  <c r="P39" i="3"/>
  <c r="X39" i="3" s="1"/>
  <c r="N39" i="3"/>
  <c r="L39" i="3"/>
  <c r="D39" i="3"/>
  <c r="B39" i="3"/>
  <c r="Z38" i="3"/>
  <c r="X38" i="3"/>
  <c r="P38" i="3"/>
  <c r="N38" i="3"/>
  <c r="D38" i="3"/>
  <c r="L38" i="3" s="1"/>
  <c r="B38" i="3"/>
  <c r="Z37" i="3"/>
  <c r="P37" i="3"/>
  <c r="X37" i="3" s="1"/>
  <c r="N37" i="3"/>
  <c r="L37" i="3"/>
  <c r="D37" i="3"/>
  <c r="B37" i="3"/>
  <c r="Z36" i="3"/>
  <c r="X36" i="3"/>
  <c r="P36" i="3"/>
  <c r="N36" i="3"/>
  <c r="D36" i="3"/>
  <c r="L36" i="3" s="1"/>
  <c r="B36" i="3"/>
  <c r="Z35" i="3"/>
  <c r="P35" i="3"/>
  <c r="X35" i="3" s="1"/>
  <c r="N35" i="3"/>
  <c r="L35" i="3"/>
  <c r="D35" i="3"/>
  <c r="B35" i="3"/>
  <c r="Z34" i="3"/>
  <c r="X34" i="3"/>
  <c r="P34" i="3"/>
  <c r="N34" i="3"/>
  <c r="D34" i="3"/>
  <c r="L34" i="3" s="1"/>
  <c r="B34" i="3"/>
  <c r="Z33" i="3"/>
  <c r="P33" i="3"/>
  <c r="X33" i="3" s="1"/>
  <c r="N33" i="3"/>
  <c r="L33" i="3"/>
  <c r="D33" i="3"/>
  <c r="B33" i="3"/>
  <c r="Z32" i="3"/>
  <c r="X32" i="3"/>
  <c r="P32" i="3"/>
  <c r="N32" i="3"/>
  <c r="D32" i="3"/>
  <c r="L32" i="3" s="1"/>
  <c r="B32" i="3"/>
  <c r="Z31" i="3"/>
  <c r="P31" i="3"/>
  <c r="X31" i="3" s="1"/>
  <c r="N31" i="3"/>
  <c r="L31" i="3"/>
  <c r="D31" i="3"/>
  <c r="B31" i="3"/>
  <c r="Z30" i="3"/>
  <c r="X30" i="3"/>
  <c r="P30" i="3"/>
  <c r="N30" i="3"/>
  <c r="D30" i="3"/>
  <c r="L30" i="3" s="1"/>
  <c r="B30" i="3"/>
  <c r="Z29" i="3"/>
  <c r="P29" i="3"/>
  <c r="X29" i="3" s="1"/>
  <c r="N29" i="3"/>
  <c r="L29" i="3"/>
  <c r="D29" i="3"/>
  <c r="B29" i="3"/>
  <c r="Z28" i="3"/>
  <c r="X28" i="3"/>
  <c r="P28" i="3"/>
  <c r="N28" i="3"/>
  <c r="D28" i="3"/>
  <c r="L28" i="3" s="1"/>
  <c r="B28" i="3"/>
  <c r="Z27" i="3"/>
  <c r="P27" i="3"/>
  <c r="X27" i="3" s="1"/>
  <c r="N27" i="3"/>
  <c r="L27" i="3"/>
  <c r="D27" i="3"/>
  <c r="B27" i="3"/>
  <c r="Z26" i="3"/>
  <c r="X26" i="3"/>
  <c r="P26" i="3"/>
  <c r="N26" i="3"/>
  <c r="D26" i="3"/>
  <c r="L26" i="3" s="1"/>
  <c r="B26" i="3"/>
  <c r="Z25" i="3"/>
  <c r="P25" i="3"/>
  <c r="X25" i="3" s="1"/>
  <c r="N25" i="3"/>
  <c r="L25" i="3"/>
  <c r="D25" i="3"/>
  <c r="B25" i="3"/>
  <c r="Z24" i="3"/>
  <c r="X24" i="3"/>
  <c r="P24" i="3"/>
  <c r="N24" i="3"/>
  <c r="D24" i="3"/>
  <c r="L24" i="3" s="1"/>
  <c r="B24" i="3"/>
  <c r="Z23" i="3"/>
  <c r="P23" i="3"/>
  <c r="X23" i="3" s="1"/>
  <c r="N23" i="3"/>
  <c r="L23" i="3"/>
  <c r="D23" i="3"/>
  <c r="B23" i="3"/>
  <c r="Z22" i="3"/>
  <c r="X22" i="3"/>
  <c r="P22" i="3"/>
  <c r="N22" i="3"/>
  <c r="D22" i="3"/>
  <c r="L22" i="3" s="1"/>
  <c r="B22" i="3"/>
  <c r="Z21" i="3"/>
  <c r="P21" i="3"/>
  <c r="X21" i="3" s="1"/>
  <c r="N21" i="3"/>
  <c r="L21" i="3"/>
  <c r="D21" i="3"/>
  <c r="B21" i="3"/>
  <c r="Z20" i="3"/>
  <c r="X20" i="3"/>
  <c r="P20" i="3"/>
  <c r="N20" i="3"/>
  <c r="D20" i="3"/>
  <c r="L20" i="3" s="1"/>
  <c r="B20" i="3"/>
  <c r="Z19" i="3"/>
  <c r="P19" i="3"/>
  <c r="X19" i="3" s="1"/>
  <c r="N19" i="3"/>
  <c r="L19" i="3"/>
  <c r="D19" i="3"/>
  <c r="B19" i="3"/>
  <c r="Z18" i="3"/>
  <c r="X18" i="3"/>
  <c r="P18" i="3"/>
  <c r="N18" i="3"/>
  <c r="D18" i="3"/>
  <c r="L18" i="3" s="1"/>
  <c r="B18" i="3"/>
  <c r="Z17" i="3"/>
  <c r="P17" i="3"/>
  <c r="X17" i="3" s="1"/>
  <c r="N17" i="3"/>
  <c r="L17" i="3"/>
  <c r="D17" i="3"/>
  <c r="B17" i="3"/>
  <c r="Z16" i="3"/>
  <c r="X16" i="3"/>
  <c r="P16" i="3"/>
  <c r="N16" i="3"/>
  <c r="D16" i="3"/>
  <c r="L16" i="3" s="1"/>
  <c r="B16" i="3"/>
  <c r="Z15" i="3"/>
  <c r="P15" i="3"/>
  <c r="P12" i="3" s="1"/>
  <c r="N15" i="3"/>
  <c r="L15" i="3"/>
  <c r="D15" i="3"/>
  <c r="B15" i="3"/>
  <c r="Z14" i="3"/>
  <c r="X14" i="3"/>
  <c r="P14" i="3"/>
  <c r="N14" i="3"/>
  <c r="D14" i="3"/>
  <c r="L14" i="3" s="1"/>
  <c r="B14" i="3"/>
  <c r="P13" i="3"/>
  <c r="X13" i="3" s="1"/>
  <c r="Z13" i="3" s="1"/>
  <c r="L13" i="3"/>
  <c r="N13" i="3" s="1"/>
  <c r="D13" i="3"/>
  <c r="B13" i="3"/>
  <c r="T12" i="3"/>
  <c r="V273" i="3" s="1"/>
  <c r="H12" i="3"/>
  <c r="J287" i="3" s="1"/>
  <c r="D12" i="3"/>
  <c r="F275" i="3" s="1"/>
  <c r="D4" i="3"/>
  <c r="Z49" i="64" l="1"/>
  <c r="Z132" i="15"/>
  <c r="N52" i="24"/>
  <c r="N84" i="30"/>
  <c r="P105" i="62"/>
  <c r="V49" i="64"/>
  <c r="V56" i="66"/>
  <c r="X18" i="80"/>
  <c r="F25" i="85"/>
  <c r="X164" i="3"/>
  <c r="H88" i="33"/>
  <c r="R20" i="48"/>
  <c r="N25" i="85"/>
  <c r="Z25" i="45"/>
  <c r="Z18" i="60"/>
  <c r="X25" i="67"/>
  <c r="Z25" i="67" s="1"/>
  <c r="T49" i="75"/>
  <c r="N25" i="45"/>
  <c r="X34" i="39"/>
  <c r="H102" i="45"/>
  <c r="H106" i="45" s="1"/>
  <c r="V25" i="45"/>
  <c r="N52" i="51"/>
  <c r="N19" i="62"/>
  <c r="Z30" i="70"/>
  <c r="L23" i="78"/>
  <c r="N23" i="78" s="1"/>
  <c r="L20" i="87"/>
  <c r="J52" i="51"/>
  <c r="V24" i="73"/>
  <c r="Z23" i="76"/>
  <c r="L164" i="3"/>
  <c r="H130" i="77"/>
  <c r="N25" i="92"/>
  <c r="Z29" i="21"/>
  <c r="X29" i="21"/>
  <c r="X57" i="27"/>
  <c r="Z57" i="27" s="1"/>
  <c r="X32" i="33"/>
  <c r="X52" i="51"/>
  <c r="Z52" i="51" s="1"/>
  <c r="X19" i="57"/>
  <c r="Z19" i="57" s="1"/>
  <c r="L18" i="58"/>
  <c r="X56" i="66"/>
  <c r="Z56" i="66" s="1"/>
  <c r="L52" i="71"/>
  <c r="L54" i="77"/>
  <c r="N54" i="77" s="1"/>
  <c r="Z23" i="78"/>
  <c r="X22" i="79"/>
  <c r="Z22" i="79" s="1"/>
  <c r="N18" i="80"/>
  <c r="P89" i="81"/>
  <c r="L20" i="82"/>
  <c r="L21" i="83"/>
  <c r="L18" i="88"/>
  <c r="N18" i="88" s="1"/>
  <c r="Z18" i="91"/>
  <c r="X21" i="95"/>
  <c r="Z21" i="95" s="1"/>
  <c r="L34" i="50"/>
  <c r="X13" i="52"/>
  <c r="X24" i="23"/>
  <c r="L34" i="26"/>
  <c r="L13" i="37"/>
  <c r="X20" i="38"/>
  <c r="L22" i="38"/>
  <c r="X34" i="53"/>
  <c r="L36" i="67"/>
  <c r="N36" i="67" s="1"/>
  <c r="N26" i="67"/>
  <c r="X21" i="17"/>
  <c r="L21" i="19"/>
  <c r="X22" i="20"/>
  <c r="L25" i="25"/>
  <c r="X26" i="67"/>
  <c r="Z26" i="67" s="1"/>
  <c r="X22" i="11"/>
  <c r="X15" i="13"/>
  <c r="T74" i="67"/>
  <c r="L25" i="67"/>
  <c r="N25" i="67" s="1"/>
  <c r="J26" i="67"/>
  <c r="X25" i="34"/>
  <c r="X33" i="34"/>
  <c r="X22" i="35"/>
  <c r="L24" i="8"/>
  <c r="X13" i="11"/>
  <c r="L33" i="46"/>
  <c r="X29" i="50"/>
  <c r="L34" i="23"/>
  <c r="L15" i="25"/>
  <c r="L20" i="49"/>
  <c r="L29" i="16"/>
  <c r="X25" i="17"/>
  <c r="X33" i="17"/>
  <c r="L33" i="19"/>
  <c r="L13" i="53"/>
  <c r="X22" i="22"/>
  <c r="X34" i="8"/>
  <c r="L21" i="22"/>
  <c r="L16" i="23"/>
  <c r="L25" i="8"/>
  <c r="X16" i="98"/>
  <c r="L21" i="11"/>
  <c r="L25" i="13"/>
  <c r="L33" i="13"/>
  <c r="L22" i="14"/>
  <c r="X20" i="25"/>
  <c r="L22" i="25"/>
  <c r="L16" i="28"/>
  <c r="X33" i="40"/>
  <c r="X13" i="43"/>
  <c r="X22" i="46"/>
  <c r="L21" i="4"/>
  <c r="X22" i="8"/>
  <c r="X29" i="19"/>
  <c r="X34" i="19"/>
  <c r="L34" i="22"/>
  <c r="X21" i="23"/>
  <c r="X16" i="25"/>
  <c r="X13" i="26"/>
  <c r="L21" i="26"/>
  <c r="X25" i="26"/>
  <c r="X33" i="26"/>
  <c r="L34" i="29"/>
  <c r="L34" i="44"/>
  <c r="X13" i="47"/>
  <c r="X22" i="50"/>
  <c r="X29" i="43"/>
  <c r="L22" i="99"/>
  <c r="L15" i="5"/>
  <c r="L25" i="31"/>
  <c r="L20" i="34"/>
  <c r="X25" i="53"/>
  <c r="L21" i="14"/>
  <c r="X33" i="14"/>
  <c r="L25" i="16"/>
  <c r="X13" i="41"/>
  <c r="X25" i="41"/>
  <c r="L24" i="43"/>
  <c r="L21" i="44"/>
  <c r="X25" i="44"/>
  <c r="X33" i="44"/>
  <c r="L25" i="47"/>
  <c r="X21" i="5"/>
  <c r="X21" i="8"/>
  <c r="X24" i="46"/>
  <c r="X20" i="4"/>
  <c r="X15" i="5"/>
  <c r="L16" i="13"/>
  <c r="L33" i="32"/>
  <c r="L33" i="38"/>
  <c r="X34" i="100"/>
  <c r="X20" i="47"/>
  <c r="X24" i="50"/>
  <c r="X20" i="17"/>
  <c r="L15" i="19"/>
  <c r="X16" i="20"/>
  <c r="X16" i="22"/>
  <c r="X25" i="32"/>
  <c r="X33" i="32"/>
  <c r="L22" i="34"/>
  <c r="X15" i="35"/>
  <c r="X13" i="99"/>
  <c r="L24" i="4"/>
  <c r="X13" i="10"/>
  <c r="L25" i="11"/>
  <c r="L20" i="13"/>
  <c r="X24" i="13"/>
  <c r="X25" i="16"/>
  <c r="X25" i="25"/>
  <c r="X21" i="31"/>
  <c r="L24" i="32"/>
  <c r="L34" i="37"/>
  <c r="X16" i="41"/>
  <c r="L25" i="49"/>
  <c r="L33" i="49"/>
  <c r="X24" i="98"/>
  <c r="X22" i="13"/>
  <c r="H18" i="53"/>
  <c r="H27" i="53" s="1"/>
  <c r="X15" i="11"/>
  <c r="X33" i="13"/>
  <c r="L16" i="14"/>
  <c r="X22" i="14"/>
  <c r="X29" i="16"/>
  <c r="X34" i="16"/>
  <c r="X22" i="19"/>
  <c r="L25" i="22"/>
  <c r="L33" i="22"/>
  <c r="X34" i="23"/>
  <c r="L20" i="26"/>
  <c r="L25" i="28"/>
  <c r="X29" i="32"/>
  <c r="L22" i="37"/>
  <c r="X15" i="44"/>
  <c r="L24" i="49"/>
  <c r="X13" i="50"/>
  <c r="L21" i="50"/>
  <c r="X13" i="5"/>
  <c r="L20" i="100"/>
  <c r="L34" i="4"/>
  <c r="L16" i="8"/>
  <c r="X29" i="34"/>
  <c r="L29" i="5"/>
  <c r="X25" i="29"/>
  <c r="X13" i="32"/>
  <c r="L34" i="7"/>
  <c r="R15" i="19"/>
  <c r="X21" i="41"/>
  <c r="L29" i="46"/>
  <c r="F36" i="38"/>
  <c r="L29" i="47"/>
  <c r="L21" i="49"/>
  <c r="X16" i="52"/>
  <c r="J20" i="99"/>
  <c r="L13" i="5"/>
  <c r="X34" i="5"/>
  <c r="L34" i="8"/>
  <c r="X34" i="13"/>
  <c r="L12" i="23"/>
  <c r="X22" i="25"/>
  <c r="R20" i="29"/>
  <c r="L22" i="31"/>
  <c r="L15" i="32"/>
  <c r="X21" i="32"/>
  <c r="L13" i="34"/>
  <c r="L16" i="38"/>
  <c r="X22" i="38"/>
  <c r="L16" i="43"/>
  <c r="L13" i="44"/>
  <c r="L13" i="46"/>
  <c r="L13" i="50"/>
  <c r="L15" i="52"/>
  <c r="X21" i="52"/>
  <c r="L29" i="98"/>
  <c r="L34" i="98"/>
  <c r="X24" i="20"/>
  <c r="V16" i="23"/>
  <c r="V20" i="35"/>
  <c r="X22" i="44"/>
  <c r="X34" i="47"/>
  <c r="Z12" i="49"/>
  <c r="X21" i="100"/>
  <c r="J33" i="5"/>
  <c r="X20" i="32"/>
  <c r="L15" i="43"/>
  <c r="X16" i="5"/>
  <c r="L15" i="26"/>
  <c r="L29" i="41"/>
  <c r="L15" i="46"/>
  <c r="L13" i="49"/>
  <c r="N12" i="50"/>
  <c r="T18" i="53"/>
  <c r="Z18" i="53" s="1"/>
  <c r="L29" i="7"/>
  <c r="X29" i="38"/>
  <c r="X29" i="40"/>
  <c r="L16" i="16"/>
  <c r="L34" i="31"/>
  <c r="L21" i="32"/>
  <c r="X29" i="44"/>
  <c r="L29" i="38"/>
  <c r="L20" i="41"/>
  <c r="V16" i="100"/>
  <c r="X16" i="4"/>
  <c r="L15" i="8"/>
  <c r="L16" i="10"/>
  <c r="L25" i="10"/>
  <c r="X29" i="11"/>
  <c r="X34" i="11"/>
  <c r="L33" i="14"/>
  <c r="L20" i="16"/>
  <c r="X16" i="17"/>
  <c r="L24" i="17"/>
  <c r="X20" i="19"/>
  <c r="X24" i="19"/>
  <c r="L29" i="19"/>
  <c r="L21" i="20"/>
  <c r="X25" i="20"/>
  <c r="X33" i="20"/>
  <c r="L16" i="22"/>
  <c r="X29" i="22"/>
  <c r="N34" i="22"/>
  <c r="X16" i="23"/>
  <c r="L16" i="25"/>
  <c r="X34" i="25"/>
  <c r="V16" i="26"/>
  <c r="X29" i="29"/>
  <c r="L20" i="31"/>
  <c r="F22" i="32"/>
  <c r="X13" i="34"/>
  <c r="X15" i="38"/>
  <c r="L20" i="38"/>
  <c r="X24" i="38"/>
  <c r="F29" i="38"/>
  <c r="X15" i="41"/>
  <c r="R21" i="41"/>
  <c r="L24" i="41"/>
  <c r="V31" i="43"/>
  <c r="X24" i="44"/>
  <c r="X16" i="46"/>
  <c r="X15" i="47"/>
  <c r="L20" i="50"/>
  <c r="J24" i="50"/>
  <c r="F15" i="53"/>
  <c r="F24" i="46"/>
  <c r="L15" i="98"/>
  <c r="X25" i="99"/>
  <c r="X33" i="99"/>
  <c r="L29" i="100"/>
  <c r="L34" i="100"/>
  <c r="R15" i="5"/>
  <c r="L21" i="7"/>
  <c r="X16" i="8"/>
  <c r="X25" i="10"/>
  <c r="L16" i="11"/>
  <c r="J36" i="11"/>
  <c r="L13" i="16"/>
  <c r="X20" i="16"/>
  <c r="L22" i="16"/>
  <c r="L20" i="23"/>
  <c r="F20" i="26"/>
  <c r="L22" i="29"/>
  <c r="L13" i="31"/>
  <c r="L25" i="32"/>
  <c r="X21" i="37"/>
  <c r="X33" i="37"/>
  <c r="X16" i="40"/>
  <c r="X25" i="40"/>
  <c r="L13" i="41"/>
  <c r="L20" i="53"/>
  <c r="J25" i="43"/>
  <c r="R15" i="8"/>
  <c r="J15" i="28"/>
  <c r="H18" i="28"/>
  <c r="N18" i="28" s="1"/>
  <c r="D18" i="34"/>
  <c r="R36" i="47"/>
  <c r="V22" i="26"/>
  <c r="L29" i="10"/>
  <c r="X33" i="22"/>
  <c r="L16" i="26"/>
  <c r="X15" i="34"/>
  <c r="V15" i="35"/>
  <c r="F34" i="37"/>
  <c r="V29" i="38"/>
  <c r="X21" i="40"/>
  <c r="J27" i="40"/>
  <c r="L29" i="43"/>
  <c r="X13" i="44"/>
  <c r="R16" i="52"/>
  <c r="L22" i="53"/>
  <c r="L29" i="4"/>
  <c r="L20" i="14"/>
  <c r="X25" i="19"/>
  <c r="V25" i="22"/>
  <c r="L20" i="25"/>
  <c r="F22" i="26"/>
  <c r="F20" i="32"/>
  <c r="V21" i="35"/>
  <c r="L15" i="38"/>
  <c r="L13" i="43"/>
  <c r="L22" i="43"/>
  <c r="J20" i="49"/>
  <c r="X24" i="99"/>
  <c r="L25" i="100"/>
  <c r="L21" i="5"/>
  <c r="L22" i="10"/>
  <c r="L34" i="11"/>
  <c r="L13" i="13"/>
  <c r="L12" i="16"/>
  <c r="L15" i="16"/>
  <c r="L20" i="19"/>
  <c r="X21" i="19"/>
  <c r="L24" i="19"/>
  <c r="R25" i="19"/>
  <c r="L33" i="23"/>
  <c r="L13" i="25"/>
  <c r="X24" i="25"/>
  <c r="X20" i="28"/>
  <c r="L20" i="29"/>
  <c r="X13" i="35"/>
  <c r="L16" i="35"/>
  <c r="X22" i="37"/>
  <c r="F15" i="38"/>
  <c r="X16" i="38"/>
  <c r="X16" i="44"/>
  <c r="L24" i="44"/>
  <c r="L25" i="46"/>
  <c r="X21" i="47"/>
  <c r="L24" i="47"/>
  <c r="L24" i="50"/>
  <c r="X22" i="53"/>
  <c r="L33" i="53"/>
  <c r="L15" i="100"/>
  <c r="L21" i="100"/>
  <c r="X22" i="100"/>
  <c r="X22" i="4"/>
  <c r="X20" i="5"/>
  <c r="X24" i="5"/>
  <c r="X33" i="5"/>
  <c r="X24" i="7"/>
  <c r="L13" i="8"/>
  <c r="J21" i="22"/>
  <c r="N12" i="22"/>
  <c r="J21" i="98"/>
  <c r="J22" i="98"/>
  <c r="J16" i="98"/>
  <c r="V16" i="4"/>
  <c r="L16" i="32"/>
  <c r="N16" i="32"/>
  <c r="R24" i="31"/>
  <c r="R15" i="31"/>
  <c r="X21" i="4"/>
  <c r="L33" i="4"/>
  <c r="X16" i="7"/>
  <c r="X13" i="8"/>
  <c r="X20" i="8"/>
  <c r="X20" i="20"/>
  <c r="L20" i="22"/>
  <c r="L25" i="5"/>
  <c r="J15" i="7"/>
  <c r="J21" i="7"/>
  <c r="X34" i="10"/>
  <c r="J20" i="32"/>
  <c r="J15" i="32"/>
  <c r="X21" i="25"/>
  <c r="F21" i="29"/>
  <c r="F27" i="29"/>
  <c r="F31" i="29"/>
  <c r="L16" i="4"/>
  <c r="L33" i="5"/>
  <c r="X15" i="7"/>
  <c r="X22" i="7"/>
  <c r="X25" i="7"/>
  <c r="X34" i="7"/>
  <c r="R16" i="8"/>
  <c r="V36" i="16"/>
  <c r="V21" i="16"/>
  <c r="X24" i="4"/>
  <c r="L24" i="5"/>
  <c r="X20" i="7"/>
  <c r="L24" i="7"/>
  <c r="X33" i="7"/>
  <c r="F24" i="23"/>
  <c r="F25" i="23"/>
  <c r="F29" i="23"/>
  <c r="F15" i="23"/>
  <c r="X22" i="41"/>
  <c r="J22" i="47"/>
  <c r="J24" i="47"/>
  <c r="J31" i="47"/>
  <c r="J21" i="47"/>
  <c r="J15" i="47"/>
  <c r="V24" i="99"/>
  <c r="V25" i="99"/>
  <c r="Z12" i="99"/>
  <c r="X20" i="10"/>
  <c r="X33" i="10"/>
  <c r="L13" i="11"/>
  <c r="X20" i="11"/>
  <c r="J29" i="11"/>
  <c r="L34" i="13"/>
  <c r="X15" i="16"/>
  <c r="X24" i="16"/>
  <c r="L34" i="16"/>
  <c r="L21" i="17"/>
  <c r="L25" i="17"/>
  <c r="L33" i="17"/>
  <c r="X13" i="19"/>
  <c r="L16" i="19"/>
  <c r="X13" i="20"/>
  <c r="X34" i="20"/>
  <c r="L15" i="22"/>
  <c r="X20" i="22"/>
  <c r="L24" i="23"/>
  <c r="X25" i="23"/>
  <c r="X13" i="25"/>
  <c r="X25" i="28"/>
  <c r="V29" i="28"/>
  <c r="X34" i="28"/>
  <c r="D18" i="29"/>
  <c r="L21" i="29"/>
  <c r="X22" i="31"/>
  <c r="X34" i="31"/>
  <c r="X21" i="34"/>
  <c r="J25" i="34"/>
  <c r="L33" i="34"/>
  <c r="R18" i="35"/>
  <c r="V33" i="35"/>
  <c r="L15" i="37"/>
  <c r="F31" i="37"/>
  <c r="F24" i="38"/>
  <c r="L12" i="40"/>
  <c r="R15" i="40"/>
  <c r="L16" i="41"/>
  <c r="V15" i="43"/>
  <c r="F31" i="46"/>
  <c r="X34" i="46"/>
  <c r="L15" i="47"/>
  <c r="X16" i="47"/>
  <c r="L34" i="47"/>
  <c r="X21" i="49"/>
  <c r="L22" i="98"/>
  <c r="F24" i="98"/>
  <c r="F33" i="99"/>
  <c r="L22" i="100"/>
  <c r="X20" i="13"/>
  <c r="L22" i="13"/>
  <c r="R18" i="14"/>
  <c r="X21" i="14"/>
  <c r="V29" i="23"/>
  <c r="V18" i="35"/>
  <c r="F22" i="37"/>
  <c r="F24" i="37"/>
  <c r="V36" i="43"/>
  <c r="H18" i="52"/>
  <c r="H27" i="52" s="1"/>
  <c r="H31" i="52" s="1"/>
  <c r="F31" i="53"/>
  <c r="X24" i="8"/>
  <c r="F16" i="10"/>
  <c r="L34" i="10"/>
  <c r="N12" i="17"/>
  <c r="X12" i="19"/>
  <c r="X16" i="19"/>
  <c r="L34" i="19"/>
  <c r="V20" i="22"/>
  <c r="Z12" i="23"/>
  <c r="V25" i="23"/>
  <c r="V21" i="28"/>
  <c r="N20" i="34"/>
  <c r="Z12" i="35"/>
  <c r="L34" i="35"/>
  <c r="F18" i="37"/>
  <c r="F21" i="37"/>
  <c r="X25" i="37"/>
  <c r="X25" i="38"/>
  <c r="N12" i="40"/>
  <c r="V15" i="40"/>
  <c r="T18" i="40"/>
  <c r="T27" i="40" s="1"/>
  <c r="X20" i="46"/>
  <c r="F27" i="46"/>
  <c r="N15" i="47"/>
  <c r="P18" i="47"/>
  <c r="P27" i="47" s="1"/>
  <c r="V21" i="49"/>
  <c r="X34" i="49"/>
  <c r="X16" i="50"/>
  <c r="J22" i="50"/>
  <c r="L33" i="52"/>
  <c r="X12" i="98"/>
  <c r="L13" i="99"/>
  <c r="F18" i="99"/>
  <c r="F22" i="99"/>
  <c r="X22" i="10"/>
  <c r="X24" i="14"/>
  <c r="V18" i="22"/>
  <c r="V36" i="23"/>
  <c r="X12" i="25"/>
  <c r="L21" i="25"/>
  <c r="F16" i="26"/>
  <c r="L24" i="26"/>
  <c r="J27" i="28"/>
  <c r="F18" i="32"/>
  <c r="F21" i="32"/>
  <c r="L29" i="34"/>
  <c r="F15" i="35"/>
  <c r="L20" i="35"/>
  <c r="V22" i="35"/>
  <c r="V29" i="35"/>
  <c r="N34" i="35"/>
  <c r="J18" i="37"/>
  <c r="V27" i="37"/>
  <c r="V34" i="37"/>
  <c r="L21" i="38"/>
  <c r="J22" i="38"/>
  <c r="J27" i="38"/>
  <c r="J21" i="40"/>
  <c r="L15" i="41"/>
  <c r="R16" i="41"/>
  <c r="L25" i="43"/>
  <c r="R29" i="50"/>
  <c r="F36" i="53"/>
  <c r="R16" i="98"/>
  <c r="F21" i="98"/>
  <c r="R18" i="99"/>
  <c r="F29" i="99"/>
  <c r="F20" i="100"/>
  <c r="L15" i="10"/>
  <c r="L21" i="10"/>
  <c r="X29" i="10"/>
  <c r="L15" i="11"/>
  <c r="X16" i="11"/>
  <c r="X25" i="11"/>
  <c r="L33" i="11"/>
  <c r="L21" i="13"/>
  <c r="L13" i="14"/>
  <c r="L21" i="16"/>
  <c r="L33" i="16"/>
  <c r="X15" i="17"/>
  <c r="X24" i="17"/>
  <c r="L29" i="17"/>
  <c r="L34" i="17"/>
  <c r="L13" i="19"/>
  <c r="X15" i="19"/>
  <c r="X15" i="20"/>
  <c r="L24" i="20"/>
  <c r="L13" i="22"/>
  <c r="X33" i="23"/>
  <c r="X15" i="25"/>
  <c r="L22" i="26"/>
  <c r="Z12" i="28"/>
  <c r="L15" i="28"/>
  <c r="V20" i="28"/>
  <c r="L22" i="28"/>
  <c r="X13" i="31"/>
  <c r="X24" i="31"/>
  <c r="L29" i="31"/>
  <c r="X34" i="32"/>
  <c r="L13" i="35"/>
  <c r="N20" i="35"/>
  <c r="J15" i="38"/>
  <c r="F21" i="38"/>
  <c r="F15" i="40"/>
  <c r="L16" i="40"/>
  <c r="L20" i="40"/>
  <c r="J31" i="40"/>
  <c r="L21" i="41"/>
  <c r="X16" i="43"/>
  <c r="X25" i="47"/>
  <c r="L33" i="47"/>
  <c r="Z34" i="47"/>
  <c r="L15" i="49"/>
  <c r="F21" i="49"/>
  <c r="L29" i="49"/>
  <c r="L22" i="52"/>
  <c r="X13" i="53"/>
  <c r="L16" i="53"/>
  <c r="X33" i="53"/>
  <c r="V36" i="53"/>
  <c r="L13" i="98"/>
  <c r="F21" i="99"/>
  <c r="X22" i="99"/>
  <c r="L24" i="100"/>
  <c r="L33" i="100"/>
  <c r="T18" i="41"/>
  <c r="X20" i="50"/>
  <c r="L16" i="99"/>
  <c r="L16" i="100"/>
  <c r="X20" i="100"/>
  <c r="L33" i="8"/>
  <c r="X15" i="10"/>
  <c r="L20" i="10"/>
  <c r="X21" i="10"/>
  <c r="L24" i="10"/>
  <c r="L33" i="10"/>
  <c r="L29" i="11"/>
  <c r="X33" i="11"/>
  <c r="L24" i="13"/>
  <c r="X13" i="14"/>
  <c r="L25" i="14"/>
  <c r="L24" i="16"/>
  <c r="X33" i="16"/>
  <c r="L13" i="17"/>
  <c r="X29" i="17"/>
  <c r="X34" i="17"/>
  <c r="L13" i="20"/>
  <c r="L34" i="20"/>
  <c r="X13" i="22"/>
  <c r="V15" i="23"/>
  <c r="Z16" i="23"/>
  <c r="V33" i="23"/>
  <c r="R21" i="25"/>
  <c r="L24" i="25"/>
  <c r="X16" i="26"/>
  <c r="X34" i="26"/>
  <c r="L13" i="28"/>
  <c r="X15" i="28"/>
  <c r="X22" i="28"/>
  <c r="X29" i="28"/>
  <c r="L16" i="31"/>
  <c r="X29" i="31"/>
  <c r="F16" i="32"/>
  <c r="L25" i="34"/>
  <c r="T18" i="35"/>
  <c r="T27" i="35" s="1"/>
  <c r="V16" i="35"/>
  <c r="V25" i="35"/>
  <c r="V36" i="35"/>
  <c r="X13" i="37"/>
  <c r="Z21" i="37"/>
  <c r="X21" i="38"/>
  <c r="F25" i="38"/>
  <c r="X24" i="40"/>
  <c r="L33" i="40"/>
  <c r="R22" i="41"/>
  <c r="V18" i="43"/>
  <c r="Z29" i="43"/>
  <c r="X34" i="43"/>
  <c r="R21" i="44"/>
  <c r="Z22" i="44"/>
  <c r="L20" i="46"/>
  <c r="X21" i="46"/>
  <c r="L34" i="46"/>
  <c r="X24" i="47"/>
  <c r="X15" i="49"/>
  <c r="L22" i="49"/>
  <c r="L34" i="49"/>
  <c r="R20" i="50"/>
  <c r="X25" i="50"/>
  <c r="J22" i="52"/>
  <c r="X29" i="53"/>
  <c r="V33" i="53"/>
  <c r="L16" i="98"/>
  <c r="F31" i="98"/>
  <c r="X21" i="99"/>
  <c r="X34" i="99"/>
  <c r="X24" i="100"/>
  <c r="R15" i="4"/>
  <c r="R16" i="4"/>
  <c r="L22" i="5"/>
  <c r="R25" i="5"/>
  <c r="J29" i="5"/>
  <c r="F15" i="7"/>
  <c r="T18" i="7"/>
  <c r="T27" i="7" s="1"/>
  <c r="F21" i="7"/>
  <c r="V21" i="7"/>
  <c r="J25" i="7"/>
  <c r="F29" i="7"/>
  <c r="L33" i="7"/>
  <c r="V36" i="7"/>
  <c r="N16" i="8"/>
  <c r="L22" i="8"/>
  <c r="R24" i="8"/>
  <c r="L29" i="8"/>
  <c r="R22" i="10"/>
  <c r="J25" i="11"/>
  <c r="J31" i="11"/>
  <c r="V34" i="11"/>
  <c r="X16" i="13"/>
  <c r="N34" i="13"/>
  <c r="X15" i="14"/>
  <c r="V20" i="14"/>
  <c r="X21" i="16"/>
  <c r="L16" i="17"/>
  <c r="V18" i="17"/>
  <c r="R24" i="17"/>
  <c r="V22" i="19"/>
  <c r="X33" i="19"/>
  <c r="N12" i="20"/>
  <c r="R15" i="20"/>
  <c r="R22" i="20"/>
  <c r="V16" i="22"/>
  <c r="F29" i="22"/>
  <c r="X20" i="23"/>
  <c r="Z20" i="23"/>
  <c r="L22" i="35"/>
  <c r="R21" i="37"/>
  <c r="R24" i="37"/>
  <c r="R20" i="37"/>
  <c r="R16" i="37"/>
  <c r="X12" i="37"/>
  <c r="L13" i="4"/>
  <c r="L25" i="4"/>
  <c r="X34" i="4"/>
  <c r="L34" i="5"/>
  <c r="R36" i="5"/>
  <c r="Z12" i="7"/>
  <c r="F33" i="7"/>
  <c r="F20" i="8"/>
  <c r="F22" i="8"/>
  <c r="R18" i="10"/>
  <c r="J15" i="11"/>
  <c r="V21" i="11"/>
  <c r="L24" i="11"/>
  <c r="V31" i="11"/>
  <c r="X13" i="13"/>
  <c r="R16" i="13"/>
  <c r="X21" i="13"/>
  <c r="R15" i="14"/>
  <c r="V16" i="14"/>
  <c r="X29" i="14"/>
  <c r="Z12" i="16"/>
  <c r="X16" i="16"/>
  <c r="X22" i="16"/>
  <c r="L15" i="17"/>
  <c r="L20" i="17"/>
  <c r="X22" i="17"/>
  <c r="L25" i="19"/>
  <c r="R33" i="19"/>
  <c r="V16" i="20"/>
  <c r="V20" i="20"/>
  <c r="Z24" i="20"/>
  <c r="X29" i="20"/>
  <c r="F15" i="22"/>
  <c r="L24" i="22"/>
  <c r="F25" i="22"/>
  <c r="V36" i="22"/>
  <c r="L22" i="32"/>
  <c r="F16" i="22"/>
  <c r="D18" i="22"/>
  <c r="J22" i="22"/>
  <c r="V33" i="22"/>
  <c r="R18" i="23"/>
  <c r="L21" i="23"/>
  <c r="J18" i="31"/>
  <c r="J24" i="14"/>
  <c r="X13" i="4"/>
  <c r="R20" i="4"/>
  <c r="R22" i="4"/>
  <c r="R24" i="4"/>
  <c r="Z12" i="5"/>
  <c r="V16" i="5"/>
  <c r="X29" i="5"/>
  <c r="J34" i="5"/>
  <c r="L16" i="7"/>
  <c r="L20" i="7"/>
  <c r="X29" i="7"/>
  <c r="L20" i="8"/>
  <c r="L21" i="8"/>
  <c r="F24" i="8"/>
  <c r="F20" i="10"/>
  <c r="F22" i="10"/>
  <c r="L12" i="13"/>
  <c r="X25" i="14"/>
  <c r="V31" i="14"/>
  <c r="V22" i="16"/>
  <c r="R33" i="17"/>
  <c r="R36" i="17"/>
  <c r="P18" i="19"/>
  <c r="P27" i="19" s="1"/>
  <c r="R29" i="19"/>
  <c r="Z12" i="20"/>
  <c r="L16" i="20"/>
  <c r="L20" i="20"/>
  <c r="L12" i="22"/>
  <c r="P18" i="22"/>
  <c r="F18" i="22"/>
  <c r="X12" i="23"/>
  <c r="T18" i="23"/>
  <c r="T27" i="23" s="1"/>
  <c r="Z27" i="23" s="1"/>
  <c r="V15" i="5"/>
  <c r="V20" i="5"/>
  <c r="J25" i="5"/>
  <c r="J27" i="5"/>
  <c r="R29" i="5"/>
  <c r="V25" i="7"/>
  <c r="F24" i="10"/>
  <c r="H18" i="11"/>
  <c r="H27" i="11" s="1"/>
  <c r="H31" i="11" s="1"/>
  <c r="J33" i="11"/>
  <c r="D18" i="13"/>
  <c r="D27" i="13" s="1"/>
  <c r="F16" i="13"/>
  <c r="F18" i="13"/>
  <c r="F20" i="14"/>
  <c r="R18" i="16"/>
  <c r="F21" i="16"/>
  <c r="R15" i="17"/>
  <c r="R18" i="19"/>
  <c r="L22" i="19"/>
  <c r="F16" i="20"/>
  <c r="F20" i="20"/>
  <c r="L22" i="20"/>
  <c r="J24" i="20"/>
  <c r="R15" i="22"/>
  <c r="R18" i="22"/>
  <c r="X22" i="23"/>
  <c r="D18" i="25"/>
  <c r="D27" i="25" s="1"/>
  <c r="X24" i="37"/>
  <c r="P18" i="4"/>
  <c r="P27" i="4" s="1"/>
  <c r="P31" i="4" s="1"/>
  <c r="V24" i="4"/>
  <c r="H18" i="5"/>
  <c r="H27" i="5" s="1"/>
  <c r="N27" i="5" s="1"/>
  <c r="V21" i="5"/>
  <c r="X21" i="7"/>
  <c r="L25" i="7"/>
  <c r="V29" i="7"/>
  <c r="R22" i="8"/>
  <c r="L13" i="10"/>
  <c r="X16" i="10"/>
  <c r="N12" i="11"/>
  <c r="V18" i="11"/>
  <c r="J21" i="11"/>
  <c r="F15" i="13"/>
  <c r="X12" i="14"/>
  <c r="L15" i="14"/>
  <c r="F16" i="14"/>
  <c r="R22" i="14"/>
  <c r="V27" i="14"/>
  <c r="V34" i="14"/>
  <c r="V15" i="16"/>
  <c r="R29" i="17"/>
  <c r="R20" i="22"/>
  <c r="R22" i="22"/>
  <c r="R21" i="22"/>
  <c r="V25" i="5"/>
  <c r="R18" i="4"/>
  <c r="J15" i="5"/>
  <c r="P18" i="5"/>
  <c r="P27" i="5" s="1"/>
  <c r="R33" i="5"/>
  <c r="L12" i="7"/>
  <c r="V15" i="7"/>
  <c r="D18" i="7"/>
  <c r="D27" i="7" s="1"/>
  <c r="R21" i="7"/>
  <c r="F25" i="7"/>
  <c r="V27" i="7"/>
  <c r="V33" i="7"/>
  <c r="F16" i="8"/>
  <c r="F18" i="8"/>
  <c r="R20" i="8"/>
  <c r="R16" i="10"/>
  <c r="L20" i="11"/>
  <c r="J27" i="11"/>
  <c r="F20" i="13"/>
  <c r="Z12" i="14"/>
  <c r="L29" i="14"/>
  <c r="X34" i="14"/>
  <c r="F22" i="16"/>
  <c r="X13" i="17"/>
  <c r="P18" i="17"/>
  <c r="L22" i="17"/>
  <c r="Z12" i="19"/>
  <c r="V34" i="22"/>
  <c r="T18" i="22"/>
  <c r="T27" i="22" s="1"/>
  <c r="T31" i="22" s="1"/>
  <c r="V15" i="22"/>
  <c r="X25" i="22"/>
  <c r="R21" i="23"/>
  <c r="N15" i="34"/>
  <c r="L15" i="34"/>
  <c r="L25" i="38"/>
  <c r="N29" i="52"/>
  <c r="L29" i="52"/>
  <c r="L22" i="4"/>
  <c r="T18" i="5"/>
  <c r="T27" i="5" s="1"/>
  <c r="X25" i="5"/>
  <c r="J31" i="5"/>
  <c r="L15" i="7"/>
  <c r="H18" i="7"/>
  <c r="H27" i="7" s="1"/>
  <c r="H31" i="7" s="1"/>
  <c r="H36" i="7" s="1"/>
  <c r="N36" i="7" s="1"/>
  <c r="V31" i="7"/>
  <c r="F36" i="7"/>
  <c r="R18" i="8"/>
  <c r="V22" i="8"/>
  <c r="R20" i="10"/>
  <c r="X21" i="11"/>
  <c r="V27" i="11"/>
  <c r="L15" i="13"/>
  <c r="V22" i="14"/>
  <c r="R18" i="17"/>
  <c r="R25" i="17"/>
  <c r="R16" i="20"/>
  <c r="R20" i="20"/>
  <c r="Z12" i="22"/>
  <c r="X15" i="22"/>
  <c r="F20" i="22"/>
  <c r="R15" i="23"/>
  <c r="L20" i="32"/>
  <c r="N20" i="32"/>
  <c r="X21" i="22"/>
  <c r="X24" i="22"/>
  <c r="L15" i="23"/>
  <c r="D18" i="23"/>
  <c r="D27" i="23" s="1"/>
  <c r="V22" i="23"/>
  <c r="L29" i="23"/>
  <c r="F33" i="23"/>
  <c r="Z12" i="25"/>
  <c r="F15" i="25"/>
  <c r="P18" i="25"/>
  <c r="P27" i="25" s="1"/>
  <c r="F25" i="25"/>
  <c r="X33" i="25"/>
  <c r="Z16" i="26"/>
  <c r="V20" i="26"/>
  <c r="L25" i="26"/>
  <c r="L33" i="26"/>
  <c r="T18" i="28"/>
  <c r="T27" i="28" s="1"/>
  <c r="V27" i="28"/>
  <c r="X33" i="28"/>
  <c r="X13" i="29"/>
  <c r="F18" i="29"/>
  <c r="P18" i="31"/>
  <c r="P27" i="31" s="1"/>
  <c r="P31" i="31" s="1"/>
  <c r="L21" i="31"/>
  <c r="X15" i="32"/>
  <c r="X16" i="32"/>
  <c r="X24" i="32"/>
  <c r="J15" i="34"/>
  <c r="F18" i="34"/>
  <c r="X20" i="34"/>
  <c r="X24" i="34"/>
  <c r="F29" i="34"/>
  <c r="F16" i="35"/>
  <c r="F18" i="35"/>
  <c r="X20" i="35"/>
  <c r="X34" i="35"/>
  <c r="L16" i="37"/>
  <c r="V18" i="37"/>
  <c r="L21" i="37"/>
  <c r="V24" i="37"/>
  <c r="F27" i="37"/>
  <c r="L13" i="38"/>
  <c r="J24" i="38"/>
  <c r="J25" i="38"/>
  <c r="X34" i="38"/>
  <c r="Z15" i="40"/>
  <c r="X15" i="40"/>
  <c r="L21" i="40"/>
  <c r="N25" i="41"/>
  <c r="L25" i="41"/>
  <c r="J21" i="44"/>
  <c r="J24" i="44"/>
  <c r="J22" i="44"/>
  <c r="J34" i="44"/>
  <c r="J31" i="44"/>
  <c r="J27" i="44"/>
  <c r="N12" i="44"/>
  <c r="X20" i="44"/>
  <c r="L22" i="46"/>
  <c r="V29" i="100"/>
  <c r="V24" i="100"/>
  <c r="V15" i="100"/>
  <c r="V20" i="100"/>
  <c r="T18" i="100"/>
  <c r="Z12" i="100"/>
  <c r="L25" i="23"/>
  <c r="T18" i="25"/>
  <c r="T27" i="25" s="1"/>
  <c r="T31" i="25" s="1"/>
  <c r="X29" i="25"/>
  <c r="R18" i="26"/>
  <c r="V18" i="28"/>
  <c r="L21" i="28"/>
  <c r="L24" i="28"/>
  <c r="J25" i="28"/>
  <c r="L29" i="28"/>
  <c r="V34" i="28"/>
  <c r="F16" i="29"/>
  <c r="R18" i="29"/>
  <c r="F24" i="29"/>
  <c r="F25" i="29"/>
  <c r="F29" i="29"/>
  <c r="F33" i="29"/>
  <c r="H18" i="34"/>
  <c r="L18" i="34" s="1"/>
  <c r="V21" i="34"/>
  <c r="J31" i="34"/>
  <c r="V33" i="34"/>
  <c r="X21" i="35"/>
  <c r="R34" i="35"/>
  <c r="L20" i="37"/>
  <c r="X13" i="38"/>
  <c r="L25" i="40"/>
  <c r="N25" i="40"/>
  <c r="R34" i="44"/>
  <c r="R16" i="44"/>
  <c r="R15" i="44"/>
  <c r="R18" i="44"/>
  <c r="R24" i="44"/>
  <c r="P18" i="44"/>
  <c r="P27" i="44" s="1"/>
  <c r="P31" i="44" s="1"/>
  <c r="R33" i="44"/>
  <c r="R20" i="44"/>
  <c r="R34" i="46"/>
  <c r="R36" i="46"/>
  <c r="R33" i="46"/>
  <c r="R29" i="46"/>
  <c r="R25" i="46"/>
  <c r="R20" i="46"/>
  <c r="R24" i="46"/>
  <c r="R22" i="46"/>
  <c r="R16" i="46"/>
  <c r="R15" i="46"/>
  <c r="X33" i="50"/>
  <c r="V33" i="25"/>
  <c r="F36" i="25"/>
  <c r="J31" i="28"/>
  <c r="V33" i="28"/>
  <c r="F22" i="29"/>
  <c r="L15" i="31"/>
  <c r="L33" i="31"/>
  <c r="L29" i="32"/>
  <c r="L16" i="34"/>
  <c r="J18" i="34"/>
  <c r="X22" i="34"/>
  <c r="V24" i="34"/>
  <c r="J29" i="34"/>
  <c r="F36" i="34"/>
  <c r="R24" i="35"/>
  <c r="L12" i="38"/>
  <c r="J31" i="38"/>
  <c r="X33" i="38"/>
  <c r="R18" i="40"/>
  <c r="P18" i="40"/>
  <c r="P27" i="40" s="1"/>
  <c r="P31" i="40" s="1"/>
  <c r="P36" i="40" s="1"/>
  <c r="R29" i="40"/>
  <c r="R36" i="40"/>
  <c r="R21" i="40"/>
  <c r="R20" i="40"/>
  <c r="R25" i="40"/>
  <c r="R24" i="40"/>
  <c r="X12" i="40"/>
  <c r="R33" i="40"/>
  <c r="F34" i="41"/>
  <c r="F25" i="41"/>
  <c r="F29" i="41"/>
  <c r="F36" i="41"/>
  <c r="F24" i="41"/>
  <c r="F22" i="41"/>
  <c r="F18" i="41"/>
  <c r="F15" i="41"/>
  <c r="F33" i="41"/>
  <c r="F21" i="41"/>
  <c r="D18" i="41"/>
  <c r="D27" i="41" s="1"/>
  <c r="F16" i="41"/>
  <c r="L12" i="41"/>
  <c r="F20" i="43"/>
  <c r="F31" i="43"/>
  <c r="F27" i="43"/>
  <c r="F34" i="43"/>
  <c r="F21" i="43"/>
  <c r="F22" i="43"/>
  <c r="R25" i="44"/>
  <c r="X13" i="49"/>
  <c r="Z13" i="49"/>
  <c r="V34" i="50"/>
  <c r="V18" i="50"/>
  <c r="Z12" i="50"/>
  <c r="V16" i="50"/>
  <c r="L12" i="53"/>
  <c r="J33" i="53"/>
  <c r="J29" i="53"/>
  <c r="N12" i="53"/>
  <c r="J36" i="53"/>
  <c r="J25" i="53"/>
  <c r="J24" i="53"/>
  <c r="L22" i="23"/>
  <c r="V29" i="25"/>
  <c r="V36" i="25"/>
  <c r="N24" i="26"/>
  <c r="L20" i="28"/>
  <c r="J21" i="28"/>
  <c r="J24" i="28"/>
  <c r="J29" i="28"/>
  <c r="V31" i="28"/>
  <c r="J36" i="28"/>
  <c r="F15" i="29"/>
  <c r="L16" i="29"/>
  <c r="F20" i="29"/>
  <c r="X24" i="29"/>
  <c r="L25" i="29"/>
  <c r="L29" i="29"/>
  <c r="L33" i="29"/>
  <c r="F36" i="29"/>
  <c r="V21" i="32"/>
  <c r="X22" i="32"/>
  <c r="L12" i="34"/>
  <c r="T18" i="34"/>
  <c r="F33" i="34"/>
  <c r="J36" i="34"/>
  <c r="X25" i="35"/>
  <c r="X29" i="35"/>
  <c r="X33" i="35"/>
  <c r="J21" i="37"/>
  <c r="L29" i="37"/>
  <c r="N12" i="38"/>
  <c r="V15" i="38"/>
  <c r="V24" i="38"/>
  <c r="J29" i="38"/>
  <c r="J36" i="38"/>
  <c r="V36" i="40"/>
  <c r="V25" i="40"/>
  <c r="V31" i="40"/>
  <c r="V34" i="40"/>
  <c r="R36" i="44"/>
  <c r="X12" i="46"/>
  <c r="L13" i="52"/>
  <c r="N13" i="52"/>
  <c r="L25" i="52"/>
  <c r="L21" i="99"/>
  <c r="L22" i="22"/>
  <c r="L29" i="22"/>
  <c r="X34" i="22"/>
  <c r="L13" i="23"/>
  <c r="X15" i="23"/>
  <c r="F22" i="23"/>
  <c r="N24" i="23"/>
  <c r="X29" i="23"/>
  <c r="L12" i="25"/>
  <c r="R15" i="25"/>
  <c r="V25" i="25"/>
  <c r="L33" i="25"/>
  <c r="L34" i="25"/>
  <c r="Z12" i="26"/>
  <c r="X22" i="26"/>
  <c r="X24" i="26"/>
  <c r="L29" i="26"/>
  <c r="N12" i="28"/>
  <c r="X16" i="28"/>
  <c r="N20" i="28"/>
  <c r="J22" i="28"/>
  <c r="X24" i="28"/>
  <c r="L33" i="28"/>
  <c r="L34" i="28"/>
  <c r="V36" i="28"/>
  <c r="X21" i="29"/>
  <c r="X22" i="29"/>
  <c r="R24" i="29"/>
  <c r="X33" i="29"/>
  <c r="X15" i="31"/>
  <c r="R16" i="31"/>
  <c r="R20" i="31"/>
  <c r="X33" i="31"/>
  <c r="Z12" i="32"/>
  <c r="H18" i="32"/>
  <c r="H27" i="32" s="1"/>
  <c r="N27" i="32" s="1"/>
  <c r="Z22" i="32"/>
  <c r="N12" i="34"/>
  <c r="V15" i="34"/>
  <c r="X16" i="34"/>
  <c r="L21" i="34"/>
  <c r="L24" i="34"/>
  <c r="L34" i="34"/>
  <c r="V36" i="34"/>
  <c r="X16" i="35"/>
  <c r="F20" i="35"/>
  <c r="R27" i="35"/>
  <c r="F36" i="35"/>
  <c r="X20" i="37"/>
  <c r="J22" i="37"/>
  <c r="D18" i="38"/>
  <c r="V25" i="38"/>
  <c r="F33" i="38"/>
  <c r="L34" i="38"/>
  <c r="N24" i="40"/>
  <c r="L24" i="40"/>
  <c r="R34" i="43"/>
  <c r="R27" i="43"/>
  <c r="L21" i="43"/>
  <c r="R18" i="46"/>
  <c r="L29" i="53"/>
  <c r="L29" i="25"/>
  <c r="F33" i="25"/>
  <c r="X15" i="26"/>
  <c r="R22" i="26"/>
  <c r="V15" i="28"/>
  <c r="V25" i="28"/>
  <c r="R21" i="29"/>
  <c r="R22" i="29"/>
  <c r="F21" i="34"/>
  <c r="F24" i="34"/>
  <c r="F25" i="34"/>
  <c r="J27" i="34"/>
  <c r="J33" i="34"/>
  <c r="L21" i="35"/>
  <c r="H18" i="38"/>
  <c r="H27" i="38" s="1"/>
  <c r="L24" i="38"/>
  <c r="V27" i="40"/>
  <c r="L34" i="43"/>
  <c r="X34" i="50"/>
  <c r="J22" i="53"/>
  <c r="V15" i="25"/>
  <c r="F29" i="25"/>
  <c r="L13" i="26"/>
  <c r="R15" i="26"/>
  <c r="X20" i="26"/>
  <c r="X21" i="26"/>
  <c r="X29" i="26"/>
  <c r="X13" i="28"/>
  <c r="V16" i="28"/>
  <c r="X21" i="28"/>
  <c r="J33" i="28"/>
  <c r="J34" i="28"/>
  <c r="L13" i="29"/>
  <c r="R16" i="29"/>
  <c r="X16" i="31"/>
  <c r="X20" i="31"/>
  <c r="L24" i="31"/>
  <c r="X25" i="31"/>
  <c r="L13" i="32"/>
  <c r="L34" i="32"/>
  <c r="F15" i="34"/>
  <c r="J22" i="34"/>
  <c r="J34" i="34"/>
  <c r="F21" i="35"/>
  <c r="F22" i="35"/>
  <c r="L24" i="35"/>
  <c r="F25" i="35"/>
  <c r="F29" i="35"/>
  <c r="F33" i="35"/>
  <c r="N12" i="37"/>
  <c r="X15" i="37"/>
  <c r="X29" i="37"/>
  <c r="J18" i="38"/>
  <c r="J33" i="38"/>
  <c r="J34" i="38"/>
  <c r="R22" i="44"/>
  <c r="J20" i="52"/>
  <c r="J15" i="52"/>
  <c r="J31" i="52"/>
  <c r="J27" i="52"/>
  <c r="J36" i="52"/>
  <c r="J18" i="52"/>
  <c r="N12" i="52"/>
  <c r="J33" i="52"/>
  <c r="J29" i="52"/>
  <c r="J25" i="52"/>
  <c r="J24" i="52"/>
  <c r="J15" i="53"/>
  <c r="X34" i="40"/>
  <c r="X24" i="41"/>
  <c r="X29" i="41"/>
  <c r="L34" i="41"/>
  <c r="L20" i="43"/>
  <c r="L33" i="43"/>
  <c r="J36" i="43"/>
  <c r="J16" i="46"/>
  <c r="V18" i="46"/>
  <c r="L21" i="46"/>
  <c r="F22" i="46"/>
  <c r="V27" i="46"/>
  <c r="V31" i="46"/>
  <c r="F34" i="46"/>
  <c r="L13" i="47"/>
  <c r="L21" i="47"/>
  <c r="L22" i="47"/>
  <c r="J29" i="47"/>
  <c r="J36" i="47"/>
  <c r="V22" i="49"/>
  <c r="X29" i="49"/>
  <c r="R33" i="50"/>
  <c r="X15" i="52"/>
  <c r="F16" i="53"/>
  <c r="F18" i="53"/>
  <c r="X20" i="53"/>
  <c r="X21" i="53"/>
  <c r="F29" i="53"/>
  <c r="V31" i="53"/>
  <c r="F34" i="98"/>
  <c r="F15" i="99"/>
  <c r="F16" i="99"/>
  <c r="H18" i="99"/>
  <c r="N18" i="99" s="1"/>
  <c r="X20" i="99"/>
  <c r="X29" i="99"/>
  <c r="J33" i="99"/>
  <c r="F15" i="100"/>
  <c r="F21" i="100"/>
  <c r="F24" i="100"/>
  <c r="V34" i="99"/>
  <c r="F16" i="100"/>
  <c r="D18" i="100"/>
  <c r="D27" i="100" s="1"/>
  <c r="F33" i="100"/>
  <c r="J22" i="40"/>
  <c r="V24" i="41"/>
  <c r="J20" i="43"/>
  <c r="X25" i="43"/>
  <c r="J33" i="43"/>
  <c r="L16" i="44"/>
  <c r="P18" i="46"/>
  <c r="P27" i="46" s="1"/>
  <c r="R16" i="47"/>
  <c r="R25" i="47"/>
  <c r="J33" i="47"/>
  <c r="X16" i="49"/>
  <c r="V31" i="49"/>
  <c r="L16" i="50"/>
  <c r="J18" i="50"/>
  <c r="R21" i="50"/>
  <c r="R22" i="50"/>
  <c r="R24" i="50"/>
  <c r="R25" i="50"/>
  <c r="R36" i="50"/>
  <c r="X24" i="52"/>
  <c r="X25" i="52"/>
  <c r="X29" i="52"/>
  <c r="X33" i="52"/>
  <c r="X15" i="53"/>
  <c r="V18" i="53"/>
  <c r="V20" i="53"/>
  <c r="V21" i="53"/>
  <c r="X24" i="53"/>
  <c r="F33" i="53"/>
  <c r="F34" i="53"/>
  <c r="R20" i="98"/>
  <c r="X22" i="98"/>
  <c r="R24" i="98"/>
  <c r="F27" i="98"/>
  <c r="V31" i="98"/>
  <c r="J15" i="99"/>
  <c r="V18" i="99"/>
  <c r="V20" i="99"/>
  <c r="Z24" i="99"/>
  <c r="V29" i="99"/>
  <c r="L13" i="100"/>
  <c r="J18" i="100"/>
  <c r="R20" i="100"/>
  <c r="N22" i="100"/>
  <c r="J24" i="100"/>
  <c r="F25" i="100"/>
  <c r="F29" i="100"/>
  <c r="J15" i="43"/>
  <c r="J16" i="43"/>
  <c r="X20" i="43"/>
  <c r="X21" i="43"/>
  <c r="V25" i="43"/>
  <c r="R15" i="47"/>
  <c r="R20" i="47"/>
  <c r="R21" i="47"/>
  <c r="X29" i="47"/>
  <c r="J34" i="47"/>
  <c r="J15" i="49"/>
  <c r="V22" i="53"/>
  <c r="V25" i="53"/>
  <c r="F18" i="98"/>
  <c r="V27" i="98"/>
  <c r="L33" i="98"/>
  <c r="X34" i="98"/>
  <c r="X16" i="99"/>
  <c r="L20" i="99"/>
  <c r="V21" i="99"/>
  <c r="V22" i="99"/>
  <c r="F27" i="99"/>
  <c r="F31" i="99"/>
  <c r="V33" i="99"/>
  <c r="F36" i="99"/>
  <c r="X15" i="100"/>
  <c r="J15" i="40"/>
  <c r="D18" i="40"/>
  <c r="X22" i="40"/>
  <c r="L34" i="40"/>
  <c r="X22" i="43"/>
  <c r="V29" i="43"/>
  <c r="V18" i="44"/>
  <c r="L22" i="44"/>
  <c r="R29" i="47"/>
  <c r="V16" i="49"/>
  <c r="V20" i="49"/>
  <c r="V27" i="49"/>
  <c r="J31" i="50"/>
  <c r="V15" i="53"/>
  <c r="X16" i="53"/>
  <c r="F20" i="53"/>
  <c r="R18" i="98"/>
  <c r="V22" i="98"/>
  <c r="T18" i="99"/>
  <c r="T27" i="99" s="1"/>
  <c r="F20" i="99"/>
  <c r="L25" i="99"/>
  <c r="V27" i="99"/>
  <c r="V31" i="99"/>
  <c r="J36" i="99"/>
  <c r="X13" i="100"/>
  <c r="X16" i="100"/>
  <c r="R21" i="100"/>
  <c r="R22" i="100"/>
  <c r="X33" i="100"/>
  <c r="F36" i="100"/>
  <c r="J18" i="40"/>
  <c r="J18" i="41"/>
  <c r="X20" i="41"/>
  <c r="L33" i="41"/>
  <c r="V21" i="43"/>
  <c r="X33" i="43"/>
  <c r="X13" i="46"/>
  <c r="Z16" i="46"/>
  <c r="V34" i="46"/>
  <c r="H18" i="47"/>
  <c r="H27" i="47" s="1"/>
  <c r="N27" i="47" s="1"/>
  <c r="J27" i="47"/>
  <c r="X33" i="47"/>
  <c r="X20" i="49"/>
  <c r="X15" i="50"/>
  <c r="L22" i="50"/>
  <c r="J27" i="50"/>
  <c r="J34" i="50"/>
  <c r="X20" i="52"/>
  <c r="L24" i="52"/>
  <c r="L34" i="52"/>
  <c r="Z12" i="53"/>
  <c r="Z15" i="53"/>
  <c r="L21" i="53"/>
  <c r="F22" i="53"/>
  <c r="L25" i="53"/>
  <c r="F27" i="53"/>
  <c r="V29" i="53"/>
  <c r="V18" i="98"/>
  <c r="L21" i="98"/>
  <c r="F22" i="98"/>
  <c r="V34" i="98"/>
  <c r="V15" i="99"/>
  <c r="V16" i="99"/>
  <c r="L24" i="99"/>
  <c r="F25" i="99"/>
  <c r="L29" i="99"/>
  <c r="L33" i="99"/>
  <c r="F34" i="99"/>
  <c r="V36" i="99"/>
  <c r="L12" i="100"/>
  <c r="X25" i="100"/>
  <c r="X29" i="100"/>
  <c r="Z21" i="40"/>
  <c r="N33" i="40"/>
  <c r="J34" i="40"/>
  <c r="R18" i="41"/>
  <c r="R20" i="41"/>
  <c r="J24" i="41"/>
  <c r="X33" i="41"/>
  <c r="V22" i="43"/>
  <c r="V27" i="43"/>
  <c r="V33" i="43"/>
  <c r="V34" i="43"/>
  <c r="X34" i="44"/>
  <c r="L16" i="46"/>
  <c r="F18" i="46"/>
  <c r="V22" i="46"/>
  <c r="J18" i="47"/>
  <c r="J25" i="47"/>
  <c r="R33" i="47"/>
  <c r="V18" i="49"/>
  <c r="X22" i="49"/>
  <c r="X33" i="49"/>
  <c r="V34" i="49"/>
  <c r="R15" i="50"/>
  <c r="R16" i="50"/>
  <c r="J21" i="50"/>
  <c r="R20" i="52"/>
  <c r="F24" i="52"/>
  <c r="D18" i="53"/>
  <c r="V16" i="53"/>
  <c r="F21" i="53"/>
  <c r="L24" i="53"/>
  <c r="F25" i="53"/>
  <c r="V27" i="53"/>
  <c r="V34" i="53"/>
  <c r="L20" i="98"/>
  <c r="L25" i="98"/>
  <c r="X12" i="100"/>
  <c r="Z164" i="3"/>
  <c r="N204" i="3"/>
  <c r="R276" i="3"/>
  <c r="R271" i="3"/>
  <c r="R260" i="3"/>
  <c r="R256" i="3"/>
  <c r="R248" i="3"/>
  <c r="R240" i="3"/>
  <c r="R236" i="3"/>
  <c r="R232" i="3"/>
  <c r="R216" i="3"/>
  <c r="R212" i="3"/>
  <c r="R200" i="3"/>
  <c r="R196" i="3"/>
  <c r="R189" i="3"/>
  <c r="R180" i="3"/>
  <c r="R168" i="3"/>
  <c r="R160" i="3"/>
  <c r="R152" i="3"/>
  <c r="R144" i="3"/>
  <c r="R136" i="3"/>
  <c r="R128" i="3"/>
  <c r="R120" i="3"/>
  <c r="R112" i="3"/>
  <c r="R104" i="3"/>
  <c r="R288" i="3"/>
  <c r="R273" i="3"/>
  <c r="R267" i="3"/>
  <c r="R263" i="3"/>
  <c r="R255" i="3"/>
  <c r="R244" i="3"/>
  <c r="R239" i="3"/>
  <c r="R235" i="3"/>
  <c r="R231" i="3"/>
  <c r="R227" i="3"/>
  <c r="R224" i="3"/>
  <c r="R208" i="3"/>
  <c r="R203" i="3"/>
  <c r="R199" i="3"/>
  <c r="R195" i="3"/>
  <c r="R192" i="3"/>
  <c r="R179" i="3"/>
  <c r="R175" i="3"/>
  <c r="R167" i="3"/>
  <c r="R164" i="3"/>
  <c r="R159" i="3"/>
  <c r="R151" i="3"/>
  <c r="R143" i="3"/>
  <c r="R135" i="3"/>
  <c r="R127" i="3"/>
  <c r="R119" i="3"/>
  <c r="R111" i="3"/>
  <c r="X12" i="3"/>
  <c r="R278" i="3"/>
  <c r="R266" i="3"/>
  <c r="R259" i="3"/>
  <c r="R254" i="3"/>
  <c r="R247" i="3"/>
  <c r="R234" i="3"/>
  <c r="R230" i="3"/>
  <c r="R218" i="3"/>
  <c r="R215" i="3"/>
  <c r="R211" i="3"/>
  <c r="R202" i="3"/>
  <c r="R186" i="3"/>
  <c r="R178" i="3"/>
  <c r="R174" i="3"/>
  <c r="R166" i="3"/>
  <c r="R158" i="3"/>
  <c r="R150" i="3"/>
  <c r="R142" i="3"/>
  <c r="R134" i="3"/>
  <c r="R126" i="3"/>
  <c r="R118" i="3"/>
  <c r="R110" i="3"/>
  <c r="R103" i="3"/>
  <c r="R283" i="3"/>
  <c r="R275" i="3"/>
  <c r="R269" i="3"/>
  <c r="R265" i="3"/>
  <c r="R262" i="3"/>
  <c r="R253" i="3"/>
  <c r="R238" i="3"/>
  <c r="R229" i="3"/>
  <c r="R226" i="3"/>
  <c r="R221" i="3"/>
  <c r="R205" i="3"/>
  <c r="R198" i="3"/>
  <c r="R194" i="3"/>
  <c r="R185" i="3"/>
  <c r="R177" i="3"/>
  <c r="R173" i="3"/>
  <c r="R157" i="3"/>
  <c r="R149" i="3"/>
  <c r="R141" i="3"/>
  <c r="R133" i="3"/>
  <c r="R125" i="3"/>
  <c r="R117" i="3"/>
  <c r="R109" i="3"/>
  <c r="R287" i="3"/>
  <c r="R272" i="3"/>
  <c r="R252" i="3"/>
  <c r="R233" i="3"/>
  <c r="R220" i="3"/>
  <c r="R217" i="3"/>
  <c r="R201" i="3"/>
  <c r="R188" i="3"/>
  <c r="R184" i="3"/>
  <c r="R172" i="3"/>
  <c r="R165" i="3"/>
  <c r="R156" i="3"/>
  <c r="R148" i="3"/>
  <c r="R140" i="3"/>
  <c r="R132" i="3"/>
  <c r="R124" i="3"/>
  <c r="R116" i="3"/>
  <c r="R108" i="3"/>
  <c r="R277" i="3"/>
  <c r="R268" i="3"/>
  <c r="R264" i="3"/>
  <c r="R251" i="3"/>
  <c r="R243" i="3"/>
  <c r="R228" i="3"/>
  <c r="R223" i="3"/>
  <c r="R207" i="3"/>
  <c r="R204" i="3"/>
  <c r="R191" i="3"/>
  <c r="R183" i="3"/>
  <c r="R176" i="3"/>
  <c r="R171" i="3"/>
  <c r="R155" i="3"/>
  <c r="R147" i="3"/>
  <c r="R139" i="3"/>
  <c r="R131" i="3"/>
  <c r="R123" i="3"/>
  <c r="R115" i="3"/>
  <c r="R107" i="3"/>
  <c r="R274" i="3"/>
  <c r="R258" i="3"/>
  <c r="R250" i="3"/>
  <c r="R246" i="3"/>
  <c r="R242" i="3"/>
  <c r="R219" i="3"/>
  <c r="R214" i="3"/>
  <c r="R210" i="3"/>
  <c r="R190" i="3"/>
  <c r="R187" i="3"/>
  <c r="R182" i="3"/>
  <c r="R170" i="3"/>
  <c r="P162" i="3"/>
  <c r="R162" i="3" s="1"/>
  <c r="R154" i="3"/>
  <c r="R146" i="3"/>
  <c r="R138" i="3"/>
  <c r="R130" i="3"/>
  <c r="R122" i="3"/>
  <c r="R114" i="3"/>
  <c r="R106" i="3"/>
  <c r="R279" i="3"/>
  <c r="R261" i="3"/>
  <c r="R257" i="3"/>
  <c r="R249" i="3"/>
  <c r="R245" i="3"/>
  <c r="R241" i="3"/>
  <c r="R237" i="3"/>
  <c r="R225" i="3"/>
  <c r="R222" i="3"/>
  <c r="R213" i="3"/>
  <c r="R209" i="3"/>
  <c r="R206" i="3"/>
  <c r="R197" i="3"/>
  <c r="R193" i="3"/>
  <c r="R181" i="3"/>
  <c r="R169" i="3"/>
  <c r="R153" i="3"/>
  <c r="R145" i="3"/>
  <c r="R137" i="3"/>
  <c r="R129" i="3"/>
  <c r="R121" i="3"/>
  <c r="R113" i="3"/>
  <c r="R105" i="3"/>
  <c r="N176" i="3"/>
  <c r="Z194" i="3"/>
  <c r="Z226" i="3"/>
  <c r="N228" i="3"/>
  <c r="Z233" i="3"/>
  <c r="Z198" i="3"/>
  <c r="N238" i="3"/>
  <c r="N164" i="3"/>
  <c r="Z247" i="3"/>
  <c r="V104" i="3"/>
  <c r="J108" i="3"/>
  <c r="F109" i="3"/>
  <c r="V112" i="3"/>
  <c r="J116" i="3"/>
  <c r="F117" i="3"/>
  <c r="V120" i="3"/>
  <c r="J124" i="3"/>
  <c r="F125" i="3"/>
  <c r="V128" i="3"/>
  <c r="J132" i="3"/>
  <c r="F133" i="3"/>
  <c r="V136" i="3"/>
  <c r="J140" i="3"/>
  <c r="F141" i="3"/>
  <c r="V144" i="3"/>
  <c r="J148" i="3"/>
  <c r="F149" i="3"/>
  <c r="V152" i="3"/>
  <c r="J156" i="3"/>
  <c r="F157" i="3"/>
  <c r="V160" i="3"/>
  <c r="F164" i="3"/>
  <c r="V164" i="3"/>
  <c r="V168" i="3"/>
  <c r="J172" i="3"/>
  <c r="F173" i="3"/>
  <c r="F177" i="3"/>
  <c r="V180" i="3"/>
  <c r="J184" i="3"/>
  <c r="F185" i="3"/>
  <c r="J188" i="3"/>
  <c r="F192" i="3"/>
  <c r="V192" i="3"/>
  <c r="J194" i="3"/>
  <c r="V196" i="3"/>
  <c r="J198" i="3"/>
  <c r="V200" i="3"/>
  <c r="F205" i="3"/>
  <c r="F208" i="3"/>
  <c r="V208" i="3"/>
  <c r="X211" i="3"/>
  <c r="Z211" i="3" s="1"/>
  <c r="V212" i="3"/>
  <c r="V216" i="3"/>
  <c r="J220" i="3"/>
  <c r="F221" i="3"/>
  <c r="F224" i="3"/>
  <c r="V224" i="3"/>
  <c r="J226" i="3"/>
  <c r="F229" i="3"/>
  <c r="V232" i="3"/>
  <c r="V236" i="3"/>
  <c r="J238" i="3"/>
  <c r="V240" i="3"/>
  <c r="F244" i="3"/>
  <c r="V244" i="3"/>
  <c r="V248" i="3"/>
  <c r="J252" i="3"/>
  <c r="F253" i="3"/>
  <c r="V256" i="3"/>
  <c r="V260" i="3"/>
  <c r="J262" i="3"/>
  <c r="F265" i="3"/>
  <c r="F269" i="3"/>
  <c r="D271" i="3"/>
  <c r="L271" i="3" s="1"/>
  <c r="N271" i="3" s="1"/>
  <c r="X273" i="3"/>
  <c r="J275" i="3"/>
  <c r="V276" i="3"/>
  <c r="F278" i="3"/>
  <c r="F283" i="3"/>
  <c r="V288" i="3"/>
  <c r="J16" i="4"/>
  <c r="F18" i="4"/>
  <c r="F20" i="4"/>
  <c r="X29" i="4"/>
  <c r="N20" i="5"/>
  <c r="L20" i="5"/>
  <c r="T108" i="9"/>
  <c r="Z32" i="9"/>
  <c r="N83" i="9"/>
  <c r="N159" i="12"/>
  <c r="Z166" i="12"/>
  <c r="N172" i="12"/>
  <c r="Z202" i="12"/>
  <c r="N216" i="12"/>
  <c r="J103" i="3"/>
  <c r="V105" i="3"/>
  <c r="J109" i="3"/>
  <c r="F110" i="3"/>
  <c r="V113" i="3"/>
  <c r="J117" i="3"/>
  <c r="F118" i="3"/>
  <c r="V121" i="3"/>
  <c r="J125" i="3"/>
  <c r="F126" i="3"/>
  <c r="V129" i="3"/>
  <c r="J133" i="3"/>
  <c r="F134" i="3"/>
  <c r="V137" i="3"/>
  <c r="J141" i="3"/>
  <c r="F142" i="3"/>
  <c r="V145" i="3"/>
  <c r="J149" i="3"/>
  <c r="F150" i="3"/>
  <c r="V153" i="3"/>
  <c r="J157" i="3"/>
  <c r="F158" i="3"/>
  <c r="F166" i="3"/>
  <c r="V169" i="3"/>
  <c r="J173" i="3"/>
  <c r="F174" i="3"/>
  <c r="J177" i="3"/>
  <c r="F178" i="3"/>
  <c r="V181" i="3"/>
  <c r="J185" i="3"/>
  <c r="F186" i="3"/>
  <c r="F189" i="3"/>
  <c r="V189" i="3"/>
  <c r="V193" i="3"/>
  <c r="V197" i="3"/>
  <c r="F202" i="3"/>
  <c r="J205" i="3"/>
  <c r="V209" i="3"/>
  <c r="J211" i="3"/>
  <c r="V213" i="3"/>
  <c r="J215" i="3"/>
  <c r="F218" i="3"/>
  <c r="J221" i="3"/>
  <c r="V225" i="3"/>
  <c r="J229" i="3"/>
  <c r="F230" i="3"/>
  <c r="F234" i="3"/>
  <c r="V237" i="3"/>
  <c r="V241" i="3"/>
  <c r="V245" i="3"/>
  <c r="J247" i="3"/>
  <c r="V249" i="3"/>
  <c r="J253" i="3"/>
  <c r="F254" i="3"/>
  <c r="V257" i="3"/>
  <c r="J259" i="3"/>
  <c r="V261" i="3"/>
  <c r="J265" i="3"/>
  <c r="F266" i="3"/>
  <c r="J269" i="3"/>
  <c r="V271" i="3"/>
  <c r="F273" i="3"/>
  <c r="J278" i="3"/>
  <c r="V279" i="3"/>
  <c r="J283" i="3"/>
  <c r="F288" i="3"/>
  <c r="V34" i="4"/>
  <c r="V31" i="4"/>
  <c r="V27" i="4"/>
  <c r="V21" i="4"/>
  <c r="V36" i="4"/>
  <c r="V33" i="4"/>
  <c r="V29" i="4"/>
  <c r="V25" i="4"/>
  <c r="T18" i="4"/>
  <c r="V15" i="4"/>
  <c r="J18" i="4"/>
  <c r="Z33" i="4"/>
  <c r="X33" i="4"/>
  <c r="N29" i="6"/>
  <c r="L13" i="7"/>
  <c r="X15" i="3"/>
  <c r="V106" i="3"/>
  <c r="J110" i="3"/>
  <c r="F111" i="3"/>
  <c r="V114" i="3"/>
  <c r="J118" i="3"/>
  <c r="F119" i="3"/>
  <c r="V122" i="3"/>
  <c r="J126" i="3"/>
  <c r="F127" i="3"/>
  <c r="V130" i="3"/>
  <c r="J134" i="3"/>
  <c r="F135" i="3"/>
  <c r="V138" i="3"/>
  <c r="J142" i="3"/>
  <c r="F143" i="3"/>
  <c r="V146" i="3"/>
  <c r="J150" i="3"/>
  <c r="F151" i="3"/>
  <c r="V154" i="3"/>
  <c r="J158" i="3"/>
  <c r="F159" i="3"/>
  <c r="J164" i="3"/>
  <c r="J166" i="3"/>
  <c r="F167" i="3"/>
  <c r="V170" i="3"/>
  <c r="J174" i="3"/>
  <c r="F175" i="3"/>
  <c r="J178" i="3"/>
  <c r="F179" i="3"/>
  <c r="V182" i="3"/>
  <c r="J186" i="3"/>
  <c r="V190" i="3"/>
  <c r="J192" i="3"/>
  <c r="F195" i="3"/>
  <c r="F199" i="3"/>
  <c r="J202" i="3"/>
  <c r="F203" i="3"/>
  <c r="F206" i="3"/>
  <c r="V206" i="3"/>
  <c r="J208" i="3"/>
  <c r="V210" i="3"/>
  <c r="V214" i="3"/>
  <c r="J218" i="3"/>
  <c r="F222" i="3"/>
  <c r="V222" i="3"/>
  <c r="J224" i="3"/>
  <c r="F227" i="3"/>
  <c r="J230" i="3"/>
  <c r="F231" i="3"/>
  <c r="J234" i="3"/>
  <c r="F235" i="3"/>
  <c r="F239" i="3"/>
  <c r="V242" i="3"/>
  <c r="J244" i="3"/>
  <c r="V246" i="3"/>
  <c r="V250" i="3"/>
  <c r="J254" i="3"/>
  <c r="F255" i="3"/>
  <c r="V258" i="3"/>
  <c r="F263" i="3"/>
  <c r="J266" i="3"/>
  <c r="F267" i="3"/>
  <c r="J273" i="3"/>
  <c r="V274" i="3"/>
  <c r="F276" i="3"/>
  <c r="X12" i="4"/>
  <c r="Z22" i="5"/>
  <c r="X22" i="5"/>
  <c r="N22" i="7"/>
  <c r="L22" i="7"/>
  <c r="Z83" i="9"/>
  <c r="Z172" i="12"/>
  <c r="Z186" i="12"/>
  <c r="Z197" i="12"/>
  <c r="L12" i="3"/>
  <c r="N12" i="3" s="1"/>
  <c r="F104" i="3"/>
  <c r="V107" i="3"/>
  <c r="J111" i="3"/>
  <c r="F112" i="3"/>
  <c r="V115" i="3"/>
  <c r="J119" i="3"/>
  <c r="F120" i="3"/>
  <c r="V123" i="3"/>
  <c r="J127" i="3"/>
  <c r="F128" i="3"/>
  <c r="V131" i="3"/>
  <c r="J135" i="3"/>
  <c r="F136" i="3"/>
  <c r="V139" i="3"/>
  <c r="J143" i="3"/>
  <c r="F144" i="3"/>
  <c r="V147" i="3"/>
  <c r="J151" i="3"/>
  <c r="F152" i="3"/>
  <c r="V155" i="3"/>
  <c r="J159" i="3"/>
  <c r="F160" i="3"/>
  <c r="D162" i="3"/>
  <c r="T162" i="3"/>
  <c r="J167" i="3"/>
  <c r="F168" i="3"/>
  <c r="V171" i="3"/>
  <c r="J175" i="3"/>
  <c r="J179" i="3"/>
  <c r="F180" i="3"/>
  <c r="V183" i="3"/>
  <c r="F187" i="3"/>
  <c r="V187" i="3"/>
  <c r="J189" i="3"/>
  <c r="V191" i="3"/>
  <c r="J195" i="3"/>
  <c r="F196" i="3"/>
  <c r="J199" i="3"/>
  <c r="F200" i="3"/>
  <c r="J203" i="3"/>
  <c r="V207" i="3"/>
  <c r="F212" i="3"/>
  <c r="F216" i="3"/>
  <c r="F219" i="3"/>
  <c r="V219" i="3"/>
  <c r="X222" i="3"/>
  <c r="Z222" i="3" s="1"/>
  <c r="V223" i="3"/>
  <c r="J227" i="3"/>
  <c r="J231" i="3"/>
  <c r="F232" i="3"/>
  <c r="J235" i="3"/>
  <c r="F236" i="3"/>
  <c r="J239" i="3"/>
  <c r="F240" i="3"/>
  <c r="V243" i="3"/>
  <c r="F248" i="3"/>
  <c r="V251" i="3"/>
  <c r="J255" i="3"/>
  <c r="F256" i="3"/>
  <c r="F260" i="3"/>
  <c r="J263" i="3"/>
  <c r="J267" i="3"/>
  <c r="J271" i="3"/>
  <c r="J276" i="3"/>
  <c r="V277" i="3"/>
  <c r="F279" i="3"/>
  <c r="J288" i="3"/>
  <c r="Z12" i="4"/>
  <c r="V22" i="4"/>
  <c r="Z137" i="12"/>
  <c r="N190" i="12"/>
  <c r="J104" i="3"/>
  <c r="F105" i="3"/>
  <c r="V108" i="3"/>
  <c r="J112" i="3"/>
  <c r="F113" i="3"/>
  <c r="V116" i="3"/>
  <c r="J120" i="3"/>
  <c r="F121" i="3"/>
  <c r="V124" i="3"/>
  <c r="J128" i="3"/>
  <c r="F129" i="3"/>
  <c r="V132" i="3"/>
  <c r="J136" i="3"/>
  <c r="F137" i="3"/>
  <c r="V140" i="3"/>
  <c r="J144" i="3"/>
  <c r="F145" i="3"/>
  <c r="V148" i="3"/>
  <c r="J152" i="3"/>
  <c r="F153" i="3"/>
  <c r="V156" i="3"/>
  <c r="J160" i="3"/>
  <c r="F162" i="3"/>
  <c r="V162" i="3"/>
  <c r="J168" i="3"/>
  <c r="F169" i="3"/>
  <c r="V172" i="3"/>
  <c r="F176" i="3"/>
  <c r="V176" i="3"/>
  <c r="J180" i="3"/>
  <c r="F181" i="3"/>
  <c r="V184" i="3"/>
  <c r="V188" i="3"/>
  <c r="F193" i="3"/>
  <c r="J196" i="3"/>
  <c r="F197" i="3"/>
  <c r="J200" i="3"/>
  <c r="F204" i="3"/>
  <c r="V204" i="3"/>
  <c r="J206" i="3"/>
  <c r="F209" i="3"/>
  <c r="J212" i="3"/>
  <c r="F213" i="3"/>
  <c r="J216" i="3"/>
  <c r="V220" i="3"/>
  <c r="J222" i="3"/>
  <c r="F225" i="3"/>
  <c r="F228" i="3"/>
  <c r="V228" i="3"/>
  <c r="J232" i="3"/>
  <c r="J236" i="3"/>
  <c r="F237" i="3"/>
  <c r="J240" i="3"/>
  <c r="F241" i="3"/>
  <c r="F245" i="3"/>
  <c r="J248" i="3"/>
  <c r="F249" i="3"/>
  <c r="V252" i="3"/>
  <c r="J256" i="3"/>
  <c r="F257" i="3"/>
  <c r="J260" i="3"/>
  <c r="F261" i="3"/>
  <c r="F264" i="3"/>
  <c r="V264" i="3"/>
  <c r="F268" i="3"/>
  <c r="V268" i="3"/>
  <c r="V272" i="3"/>
  <c r="F274" i="3"/>
  <c r="J279" i="3"/>
  <c r="H31" i="5"/>
  <c r="H22" i="6"/>
  <c r="N16" i="6"/>
  <c r="Z18" i="6"/>
  <c r="X18" i="6"/>
  <c r="F97" i="9"/>
  <c r="F85" i="9"/>
  <c r="F81" i="9"/>
  <c r="F73" i="9"/>
  <c r="F69" i="9"/>
  <c r="F65" i="9"/>
  <c r="F53" i="9"/>
  <c r="F41" i="9"/>
  <c r="F33" i="9"/>
  <c r="F29" i="9"/>
  <c r="F21" i="9"/>
  <c r="F96" i="9"/>
  <c r="F84" i="9"/>
  <c r="F68" i="9"/>
  <c r="F59" i="9"/>
  <c r="F56" i="9"/>
  <c r="F47" i="9"/>
  <c r="F44" i="9"/>
  <c r="F40" i="9"/>
  <c r="F28" i="9"/>
  <c r="F19" i="9"/>
  <c r="F15" i="9"/>
  <c r="F111" i="9"/>
  <c r="F104" i="9"/>
  <c r="F100" i="9"/>
  <c r="F90" i="9"/>
  <c r="F62" i="9"/>
  <c r="F39" i="9"/>
  <c r="F27" i="9"/>
  <c r="F93" i="9"/>
  <c r="F77" i="9"/>
  <c r="F58" i="9"/>
  <c r="F49" i="9"/>
  <c r="F46" i="9"/>
  <c r="F38" i="9"/>
  <c r="F26" i="9"/>
  <c r="F102" i="9"/>
  <c r="F89" i="9"/>
  <c r="F80" i="9"/>
  <c r="F72" i="9"/>
  <c r="F64" i="9"/>
  <c r="F61" i="9"/>
  <c r="F52" i="9"/>
  <c r="F37" i="9"/>
  <c r="F32" i="9"/>
  <c r="F25" i="9"/>
  <c r="F20" i="9"/>
  <c r="F95" i="9"/>
  <c r="F92" i="9"/>
  <c r="F88" i="9"/>
  <c r="F83" i="9"/>
  <c r="F76" i="9"/>
  <c r="F67" i="9"/>
  <c r="F60" i="9"/>
  <c r="F55" i="9"/>
  <c r="F48" i="9"/>
  <c r="F43" i="9"/>
  <c r="F36" i="9"/>
  <c r="F24" i="9"/>
  <c r="F17" i="9"/>
  <c r="F108" i="9"/>
  <c r="F91" i="9"/>
  <c r="F87" i="9"/>
  <c r="F79" i="9"/>
  <c r="F75" i="9"/>
  <c r="F71" i="9"/>
  <c r="F63" i="9"/>
  <c r="F51" i="9"/>
  <c r="F35" i="9"/>
  <c r="F31" i="9"/>
  <c r="F23" i="9"/>
  <c r="D17" i="9"/>
  <c r="F106" i="9"/>
  <c r="F101" i="9"/>
  <c r="F99" i="9"/>
  <c r="F94" i="9"/>
  <c r="F86" i="9"/>
  <c r="F82" i="9"/>
  <c r="F78" i="9"/>
  <c r="F74" i="9"/>
  <c r="F70" i="9"/>
  <c r="F66" i="9"/>
  <c r="F57" i="9"/>
  <c r="F54" i="9"/>
  <c r="F50" i="9"/>
  <c r="F45" i="9"/>
  <c r="F42" i="9"/>
  <c r="F34" i="9"/>
  <c r="F30" i="9"/>
  <c r="F22" i="9"/>
  <c r="L12" i="9"/>
  <c r="N43" i="9"/>
  <c r="N57" i="9"/>
  <c r="N67" i="9"/>
  <c r="Z80" i="9"/>
  <c r="F239" i="12"/>
  <c r="F229" i="12"/>
  <c r="F218" i="12"/>
  <c r="F214" i="12"/>
  <c r="F210" i="12"/>
  <c r="F206" i="12"/>
  <c r="F197" i="12"/>
  <c r="F194" i="12"/>
  <c r="F178" i="12"/>
  <c r="F169" i="12"/>
  <c r="F162" i="12"/>
  <c r="F154" i="12"/>
  <c r="F142" i="12"/>
  <c r="F137" i="12"/>
  <c r="F126" i="12"/>
  <c r="F118" i="12"/>
  <c r="F110" i="12"/>
  <c r="F102" i="12"/>
  <c r="F94" i="12"/>
  <c r="F86" i="12"/>
  <c r="F225" i="12"/>
  <c r="F217" i="12"/>
  <c r="F209" i="12"/>
  <c r="F205" i="12"/>
  <c r="F201" i="12"/>
  <c r="F188" i="12"/>
  <c r="F185" i="12"/>
  <c r="F181" i="12"/>
  <c r="F172" i="12"/>
  <c r="F165" i="12"/>
  <c r="F153" i="12"/>
  <c r="F148" i="12"/>
  <c r="F141" i="12"/>
  <c r="F125" i="12"/>
  <c r="F117" i="12"/>
  <c r="F109" i="12"/>
  <c r="F101" i="12"/>
  <c r="F93" i="12"/>
  <c r="F85" i="12"/>
  <c r="F241" i="12"/>
  <c r="F235" i="12"/>
  <c r="F231" i="12"/>
  <c r="F228" i="12"/>
  <c r="F224" i="12"/>
  <c r="F208" i="12"/>
  <c r="F204" i="12"/>
  <c r="F200" i="12"/>
  <c r="F196" i="12"/>
  <c r="F184" i="12"/>
  <c r="F180" i="12"/>
  <c r="F175" i="12"/>
  <c r="F168" i="12"/>
  <c r="F159" i="12"/>
  <c r="F152" i="12"/>
  <c r="F140" i="12"/>
  <c r="D134" i="12"/>
  <c r="F134" i="12" s="1"/>
  <c r="F132" i="12"/>
  <c r="F124" i="12"/>
  <c r="F116" i="12"/>
  <c r="F108" i="12"/>
  <c r="F100" i="12"/>
  <c r="F92" i="12"/>
  <c r="F84" i="12"/>
  <c r="L12" i="12"/>
  <c r="N12" i="12" s="1"/>
  <c r="F227" i="12"/>
  <c r="F223" i="12"/>
  <c r="F203" i="12"/>
  <c r="F199" i="12"/>
  <c r="F190" i="12"/>
  <c r="F187" i="12"/>
  <c r="F183" i="12"/>
  <c r="F171" i="12"/>
  <c r="F167" i="12"/>
  <c r="F151" i="12"/>
  <c r="F147" i="12"/>
  <c r="F139" i="12"/>
  <c r="F131" i="12"/>
  <c r="F123" i="12"/>
  <c r="F115" i="12"/>
  <c r="F107" i="12"/>
  <c r="F99" i="12"/>
  <c r="F91" i="12"/>
  <c r="F83" i="12"/>
  <c r="F243" i="12"/>
  <c r="F234" i="12"/>
  <c r="F230" i="12"/>
  <c r="F222" i="12"/>
  <c r="F213" i="12"/>
  <c r="F198" i="12"/>
  <c r="F193" i="12"/>
  <c r="F177" i="12"/>
  <c r="F174" i="12"/>
  <c r="F170" i="12"/>
  <c r="F161" i="12"/>
  <c r="F158" i="12"/>
  <c r="F150" i="12"/>
  <c r="F146" i="12"/>
  <c r="F138" i="12"/>
  <c r="F130" i="12"/>
  <c r="F122" i="12"/>
  <c r="F114" i="12"/>
  <c r="F106" i="12"/>
  <c r="F98" i="12"/>
  <c r="F90" i="12"/>
  <c r="F240" i="12"/>
  <c r="F238" i="12"/>
  <c r="F233" i="12"/>
  <c r="F221" i="12"/>
  <c r="F216" i="12"/>
  <c r="F189" i="12"/>
  <c r="F173" i="12"/>
  <c r="F164" i="12"/>
  <c r="F157" i="12"/>
  <c r="F149" i="12"/>
  <c r="F145" i="12"/>
  <c r="F136" i="12"/>
  <c r="F129" i="12"/>
  <c r="F121" i="12"/>
  <c r="F113" i="12"/>
  <c r="F105" i="12"/>
  <c r="F97" i="12"/>
  <c r="F89" i="12"/>
  <c r="F236" i="12"/>
  <c r="F232" i="12"/>
  <c r="F220" i="12"/>
  <c r="F212" i="12"/>
  <c r="F207" i="12"/>
  <c r="F195" i="12"/>
  <c r="F192" i="12"/>
  <c r="F179" i="12"/>
  <c r="F176" i="12"/>
  <c r="F160" i="12"/>
  <c r="F156" i="12"/>
  <c r="F144" i="12"/>
  <c r="F128" i="12"/>
  <c r="F120" i="12"/>
  <c r="F112" i="12"/>
  <c r="F104" i="12"/>
  <c r="F96" i="12"/>
  <c r="F88" i="12"/>
  <c r="F247" i="12"/>
  <c r="F242" i="12"/>
  <c r="F226" i="12"/>
  <c r="F219" i="12"/>
  <c r="F215" i="12"/>
  <c r="F211" i="12"/>
  <c r="F202" i="12"/>
  <c r="F191" i="12"/>
  <c r="F186" i="12"/>
  <c r="F182" i="12"/>
  <c r="F166" i="12"/>
  <c r="F163" i="12"/>
  <c r="F155" i="12"/>
  <c r="F143" i="12"/>
  <c r="F127" i="12"/>
  <c r="F119" i="12"/>
  <c r="F111" i="12"/>
  <c r="F103" i="12"/>
  <c r="F95" i="12"/>
  <c r="F87" i="12"/>
  <c r="F82" i="12"/>
  <c r="N136" i="12"/>
  <c r="J105" i="3"/>
  <c r="F106" i="3"/>
  <c r="V109" i="3"/>
  <c r="J113" i="3"/>
  <c r="F114" i="3"/>
  <c r="V117" i="3"/>
  <c r="J121" i="3"/>
  <c r="F122" i="3"/>
  <c r="V125" i="3"/>
  <c r="J129" i="3"/>
  <c r="F130" i="3"/>
  <c r="V133" i="3"/>
  <c r="J137" i="3"/>
  <c r="F138" i="3"/>
  <c r="V141" i="3"/>
  <c r="J145" i="3"/>
  <c r="F146" i="3"/>
  <c r="V149" i="3"/>
  <c r="J153" i="3"/>
  <c r="F154" i="3"/>
  <c r="V157" i="3"/>
  <c r="H162" i="3"/>
  <c r="F165" i="3"/>
  <c r="V165" i="3"/>
  <c r="J169" i="3"/>
  <c r="F170" i="3"/>
  <c r="V173" i="3"/>
  <c r="X176" i="3"/>
  <c r="Z176" i="3" s="1"/>
  <c r="V177" i="3"/>
  <c r="J181" i="3"/>
  <c r="F182" i="3"/>
  <c r="V185" i="3"/>
  <c r="J187" i="3"/>
  <c r="F190" i="3"/>
  <c r="J193" i="3"/>
  <c r="J197" i="3"/>
  <c r="F201" i="3"/>
  <c r="V201" i="3"/>
  <c r="X204" i="3"/>
  <c r="Z204" i="3" s="1"/>
  <c r="V205" i="3"/>
  <c r="L206" i="3"/>
  <c r="N206" i="3" s="1"/>
  <c r="J209" i="3"/>
  <c r="F210" i="3"/>
  <c r="J213" i="3"/>
  <c r="F214" i="3"/>
  <c r="F217" i="3"/>
  <c r="V217" i="3"/>
  <c r="J219" i="3"/>
  <c r="V221" i="3"/>
  <c r="J225" i="3"/>
  <c r="V229" i="3"/>
  <c r="F233" i="3"/>
  <c r="V233" i="3"/>
  <c r="J237" i="3"/>
  <c r="J241" i="3"/>
  <c r="F242" i="3"/>
  <c r="J245" i="3"/>
  <c r="F246" i="3"/>
  <c r="J249" i="3"/>
  <c r="F250" i="3"/>
  <c r="V253" i="3"/>
  <c r="J257" i="3"/>
  <c r="F258" i="3"/>
  <c r="J261" i="3"/>
  <c r="V265" i="3"/>
  <c r="V269" i="3"/>
  <c r="J274" i="3"/>
  <c r="V275" i="3"/>
  <c r="F277" i="3"/>
  <c r="V283" i="3"/>
  <c r="F287" i="3"/>
  <c r="V287" i="3"/>
  <c r="F34" i="4"/>
  <c r="F31" i="4"/>
  <c r="F27" i="4"/>
  <c r="F21" i="4"/>
  <c r="F36" i="4"/>
  <c r="F33" i="4"/>
  <c r="F29" i="4"/>
  <c r="F25" i="4"/>
  <c r="D18" i="4"/>
  <c r="F15" i="4"/>
  <c r="L12" i="4"/>
  <c r="F29" i="6"/>
  <c r="F26" i="6"/>
  <c r="F20" i="6"/>
  <c r="F16" i="6"/>
  <c r="F24" i="6"/>
  <c r="D16" i="6"/>
  <c r="L12" i="6"/>
  <c r="F31" i="6"/>
  <c r="F28" i="6"/>
  <c r="F22" i="6"/>
  <c r="F18" i="6"/>
  <c r="F14" i="6"/>
  <c r="Z20" i="9"/>
  <c r="Z12" i="3"/>
  <c r="J106" i="3"/>
  <c r="F107" i="3"/>
  <c r="V110" i="3"/>
  <c r="J114" i="3"/>
  <c r="F115" i="3"/>
  <c r="V118" i="3"/>
  <c r="J122" i="3"/>
  <c r="F123" i="3"/>
  <c r="V126" i="3"/>
  <c r="J130" i="3"/>
  <c r="F131" i="3"/>
  <c r="V134" i="3"/>
  <c r="J138" i="3"/>
  <c r="F139" i="3"/>
  <c r="V142" i="3"/>
  <c r="J146" i="3"/>
  <c r="F147" i="3"/>
  <c r="V150" i="3"/>
  <c r="J154" i="3"/>
  <c r="F155" i="3"/>
  <c r="V158" i="3"/>
  <c r="J162" i="3"/>
  <c r="V166" i="3"/>
  <c r="J170" i="3"/>
  <c r="F171" i="3"/>
  <c r="V174" i="3"/>
  <c r="J176" i="3"/>
  <c r="V178" i="3"/>
  <c r="J182" i="3"/>
  <c r="F183" i="3"/>
  <c r="V186" i="3"/>
  <c r="J190" i="3"/>
  <c r="F191" i="3"/>
  <c r="F194" i="3"/>
  <c r="V194" i="3"/>
  <c r="F198" i="3"/>
  <c r="V198" i="3"/>
  <c r="V202" i="3"/>
  <c r="J204" i="3"/>
  <c r="F207" i="3"/>
  <c r="J210" i="3"/>
  <c r="J214" i="3"/>
  <c r="V218" i="3"/>
  <c r="F223" i="3"/>
  <c r="F226" i="3"/>
  <c r="V226" i="3"/>
  <c r="J228" i="3"/>
  <c r="V230" i="3"/>
  <c r="V234" i="3"/>
  <c r="F238" i="3"/>
  <c r="V238" i="3"/>
  <c r="J242" i="3"/>
  <c r="F243" i="3"/>
  <c r="J246" i="3"/>
  <c r="J250" i="3"/>
  <c r="F251" i="3"/>
  <c r="V254" i="3"/>
  <c r="J258" i="3"/>
  <c r="F262" i="3"/>
  <c r="V262" i="3"/>
  <c r="J264" i="3"/>
  <c r="V266" i="3"/>
  <c r="J268" i="3"/>
  <c r="F272" i="3"/>
  <c r="J277" i="3"/>
  <c r="V278" i="3"/>
  <c r="J34" i="4"/>
  <c r="J31" i="4"/>
  <c r="J27" i="4"/>
  <c r="J24" i="4"/>
  <c r="J21" i="4"/>
  <c r="J36" i="4"/>
  <c r="J33" i="4"/>
  <c r="J29" i="4"/>
  <c r="J25" i="4"/>
  <c r="H18" i="4"/>
  <c r="J15" i="4"/>
  <c r="L15" i="4"/>
  <c r="F16" i="4"/>
  <c r="J22" i="4"/>
  <c r="F24" i="4"/>
  <c r="X25" i="4"/>
  <c r="F20" i="5"/>
  <c r="F16" i="5"/>
  <c r="F34" i="5"/>
  <c r="F31" i="5"/>
  <c r="F27" i="5"/>
  <c r="F24" i="5"/>
  <c r="F21" i="5"/>
  <c r="F18" i="5"/>
  <c r="F36" i="5"/>
  <c r="F33" i="5"/>
  <c r="F29" i="5"/>
  <c r="F25" i="5"/>
  <c r="D18" i="5"/>
  <c r="F15" i="5"/>
  <c r="L12" i="5"/>
  <c r="F22" i="5"/>
  <c r="T16" i="6"/>
  <c r="Z14" i="6"/>
  <c r="X14" i="6"/>
  <c r="Z18" i="7"/>
  <c r="N59" i="9"/>
  <c r="Z67" i="9"/>
  <c r="Z72" i="9"/>
  <c r="Z136" i="12"/>
  <c r="N175" i="12"/>
  <c r="Z182" i="12"/>
  <c r="N202" i="12"/>
  <c r="N238" i="12"/>
  <c r="F103" i="3"/>
  <c r="V103" i="3"/>
  <c r="J107" i="3"/>
  <c r="F108" i="3"/>
  <c r="V111" i="3"/>
  <c r="J115" i="3"/>
  <c r="F116" i="3"/>
  <c r="V119" i="3"/>
  <c r="J123" i="3"/>
  <c r="F124" i="3"/>
  <c r="V127" i="3"/>
  <c r="J131" i="3"/>
  <c r="F132" i="3"/>
  <c r="V135" i="3"/>
  <c r="J139" i="3"/>
  <c r="F140" i="3"/>
  <c r="V143" i="3"/>
  <c r="J147" i="3"/>
  <c r="F148" i="3"/>
  <c r="V151" i="3"/>
  <c r="J155" i="3"/>
  <c r="F156" i="3"/>
  <c r="V159" i="3"/>
  <c r="J165" i="3"/>
  <c r="V167" i="3"/>
  <c r="J171" i="3"/>
  <c r="F172" i="3"/>
  <c r="V175" i="3"/>
  <c r="V179" i="3"/>
  <c r="J183" i="3"/>
  <c r="F184" i="3"/>
  <c r="F188" i="3"/>
  <c r="J191" i="3"/>
  <c r="V195" i="3"/>
  <c r="V199" i="3"/>
  <c r="J201" i="3"/>
  <c r="V203" i="3"/>
  <c r="J207" i="3"/>
  <c r="F211" i="3"/>
  <c r="V211" i="3"/>
  <c r="F215" i="3"/>
  <c r="V215" i="3"/>
  <c r="J217" i="3"/>
  <c r="F220" i="3"/>
  <c r="J223" i="3"/>
  <c r="V227" i="3"/>
  <c r="V231" i="3"/>
  <c r="J233" i="3"/>
  <c r="V235" i="3"/>
  <c r="V239" i="3"/>
  <c r="J243" i="3"/>
  <c r="F247" i="3"/>
  <c r="V247" i="3"/>
  <c r="J251" i="3"/>
  <c r="F252" i="3"/>
  <c r="V255" i="3"/>
  <c r="F259" i="3"/>
  <c r="V259" i="3"/>
  <c r="V263" i="3"/>
  <c r="V267" i="3"/>
  <c r="J272" i="3"/>
  <c r="N12" i="4"/>
  <c r="L20" i="4"/>
  <c r="V20" i="4"/>
  <c r="N16" i="5"/>
  <c r="L16" i="5"/>
  <c r="X28" i="6"/>
  <c r="Z28" i="6" s="1"/>
  <c r="R21" i="4"/>
  <c r="J16" i="5"/>
  <c r="R18" i="5"/>
  <c r="J20" i="5"/>
  <c r="V22" i="5"/>
  <c r="V14" i="6"/>
  <c r="V18" i="6"/>
  <c r="V22" i="6"/>
  <c r="V24" i="6"/>
  <c r="V28" i="6"/>
  <c r="V31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36" i="8"/>
  <c r="V36" i="8"/>
  <c r="L13" i="9"/>
  <c r="J15" i="9"/>
  <c r="J19" i="9"/>
  <c r="J21" i="9"/>
  <c r="V25" i="9"/>
  <c r="R26" i="9"/>
  <c r="J29" i="9"/>
  <c r="J33" i="9"/>
  <c r="V37" i="9"/>
  <c r="R38" i="9"/>
  <c r="J41" i="9"/>
  <c r="R43" i="9"/>
  <c r="V45" i="9"/>
  <c r="R46" i="9"/>
  <c r="J47" i="9"/>
  <c r="J53" i="9"/>
  <c r="R55" i="9"/>
  <c r="V57" i="9"/>
  <c r="R58" i="9"/>
  <c r="J59" i="9"/>
  <c r="V61" i="9"/>
  <c r="J65" i="9"/>
  <c r="R67" i="9"/>
  <c r="J69" i="9"/>
  <c r="J73" i="9"/>
  <c r="J81" i="9"/>
  <c r="R83" i="9"/>
  <c r="J85" i="9"/>
  <c r="V89" i="9"/>
  <c r="R95" i="9"/>
  <c r="J97" i="9"/>
  <c r="V99" i="9"/>
  <c r="R102" i="9"/>
  <c r="X12" i="10"/>
  <c r="J21" i="10"/>
  <c r="F27" i="10"/>
  <c r="V27" i="10"/>
  <c r="F31" i="10"/>
  <c r="V31" i="10"/>
  <c r="F34" i="10"/>
  <c r="V34" i="10"/>
  <c r="R16" i="11"/>
  <c r="J18" i="11"/>
  <c r="R20" i="11"/>
  <c r="F24" i="11"/>
  <c r="V24" i="11"/>
  <c r="V82" i="12"/>
  <c r="R83" i="12"/>
  <c r="J86" i="12"/>
  <c r="V90" i="12"/>
  <c r="R91" i="12"/>
  <c r="J94" i="12"/>
  <c r="V98" i="12"/>
  <c r="R99" i="12"/>
  <c r="J102" i="12"/>
  <c r="V106" i="12"/>
  <c r="R107" i="12"/>
  <c r="J110" i="12"/>
  <c r="V114" i="12"/>
  <c r="R115" i="12"/>
  <c r="J118" i="12"/>
  <c r="V122" i="12"/>
  <c r="R123" i="12"/>
  <c r="J126" i="12"/>
  <c r="V130" i="12"/>
  <c r="R131" i="12"/>
  <c r="R136" i="12"/>
  <c r="V138" i="12"/>
  <c r="R139" i="12"/>
  <c r="J142" i="12"/>
  <c r="V146" i="12"/>
  <c r="R147" i="12"/>
  <c r="J148" i="12"/>
  <c r="V150" i="12"/>
  <c r="R151" i="12"/>
  <c r="J154" i="12"/>
  <c r="V158" i="12"/>
  <c r="J162" i="12"/>
  <c r="R164" i="12"/>
  <c r="V166" i="12"/>
  <c r="R167" i="12"/>
  <c r="V170" i="12"/>
  <c r="R171" i="12"/>
  <c r="J172" i="12"/>
  <c r="V174" i="12"/>
  <c r="J178" i="12"/>
  <c r="V182" i="12"/>
  <c r="R183" i="12"/>
  <c r="V186" i="12"/>
  <c r="R187" i="12"/>
  <c r="J188" i="12"/>
  <c r="J194" i="12"/>
  <c r="V198" i="12"/>
  <c r="R199" i="12"/>
  <c r="V202" i="12"/>
  <c r="R203" i="12"/>
  <c r="J206" i="12"/>
  <c r="J210" i="12"/>
  <c r="J214" i="12"/>
  <c r="R216" i="12"/>
  <c r="J218" i="12"/>
  <c r="V222" i="12"/>
  <c r="R223" i="12"/>
  <c r="V226" i="12"/>
  <c r="R227" i="12"/>
  <c r="V230" i="12"/>
  <c r="V234" i="12"/>
  <c r="R238" i="12"/>
  <c r="J239" i="12"/>
  <c r="V240" i="12"/>
  <c r="R243" i="12"/>
  <c r="X12" i="13"/>
  <c r="R21" i="13"/>
  <c r="F24" i="13"/>
  <c r="V25" i="13"/>
  <c r="R33" i="13"/>
  <c r="N157" i="15"/>
  <c r="N189" i="15"/>
  <c r="N196" i="15"/>
  <c r="N209" i="15"/>
  <c r="N190" i="18"/>
  <c r="R21" i="5"/>
  <c r="V29" i="5"/>
  <c r="V33" i="5"/>
  <c r="V36" i="5"/>
  <c r="P16" i="6"/>
  <c r="R27" i="7"/>
  <c r="J29" i="7"/>
  <c r="R31" i="7"/>
  <c r="J33" i="7"/>
  <c r="R34" i="7"/>
  <c r="J36" i="7"/>
  <c r="N12" i="8"/>
  <c r="X15" i="8"/>
  <c r="V18" i="8"/>
  <c r="J22" i="8"/>
  <c r="X25" i="8"/>
  <c r="X29" i="8"/>
  <c r="X33" i="8"/>
  <c r="N12" i="9"/>
  <c r="L15" i="9"/>
  <c r="L19" i="9"/>
  <c r="N19" i="9" s="1"/>
  <c r="J22" i="9"/>
  <c r="V26" i="9"/>
  <c r="J30" i="9"/>
  <c r="J34" i="9"/>
  <c r="V38" i="9"/>
  <c r="J42" i="9"/>
  <c r="X45" i="9"/>
  <c r="Z45" i="9" s="1"/>
  <c r="V46" i="9"/>
  <c r="L47" i="9"/>
  <c r="N47" i="9" s="1"/>
  <c r="J50" i="9"/>
  <c r="R52" i="9"/>
  <c r="J54" i="9"/>
  <c r="X57" i="9"/>
  <c r="Z57" i="9" s="1"/>
  <c r="V58" i="9"/>
  <c r="L59" i="9"/>
  <c r="R64" i="9"/>
  <c r="J66" i="9"/>
  <c r="J70" i="9"/>
  <c r="R72" i="9"/>
  <c r="J74" i="9"/>
  <c r="J78" i="9"/>
  <c r="R80" i="9"/>
  <c r="J82" i="9"/>
  <c r="J86" i="9"/>
  <c r="J94" i="9"/>
  <c r="J101" i="9"/>
  <c r="V102" i="9"/>
  <c r="J106" i="9"/>
  <c r="V108" i="9"/>
  <c r="Z12" i="10"/>
  <c r="V16" i="10"/>
  <c r="V20" i="10"/>
  <c r="J24" i="10"/>
  <c r="X12" i="11"/>
  <c r="X24" i="11"/>
  <c r="F27" i="11"/>
  <c r="F31" i="11"/>
  <c r="F34" i="11"/>
  <c r="X12" i="12"/>
  <c r="V83" i="12"/>
  <c r="R84" i="12"/>
  <c r="J87" i="12"/>
  <c r="V91" i="12"/>
  <c r="R92" i="12"/>
  <c r="J95" i="12"/>
  <c r="V99" i="12"/>
  <c r="R100" i="12"/>
  <c r="J103" i="12"/>
  <c r="V107" i="12"/>
  <c r="R108" i="12"/>
  <c r="J111" i="12"/>
  <c r="V115" i="12"/>
  <c r="R116" i="12"/>
  <c r="J119" i="12"/>
  <c r="V123" i="12"/>
  <c r="R124" i="12"/>
  <c r="J127" i="12"/>
  <c r="V131" i="12"/>
  <c r="R132" i="12"/>
  <c r="J137" i="12"/>
  <c r="V139" i="12"/>
  <c r="R140" i="12"/>
  <c r="J143" i="12"/>
  <c r="V147" i="12"/>
  <c r="V151" i="12"/>
  <c r="R152" i="12"/>
  <c r="J155" i="12"/>
  <c r="R161" i="12"/>
  <c r="J163" i="12"/>
  <c r="V167" i="12"/>
  <c r="R168" i="12"/>
  <c r="J169" i="12"/>
  <c r="V171" i="12"/>
  <c r="R177" i="12"/>
  <c r="V179" i="12"/>
  <c r="R180" i="12"/>
  <c r="V183" i="12"/>
  <c r="R184" i="12"/>
  <c r="V187" i="12"/>
  <c r="L188" i="12"/>
  <c r="N188" i="12" s="1"/>
  <c r="J191" i="12"/>
  <c r="R193" i="12"/>
  <c r="V195" i="12"/>
  <c r="R196" i="12"/>
  <c r="J197" i="12"/>
  <c r="V199" i="12"/>
  <c r="R200" i="12"/>
  <c r="X202" i="12"/>
  <c r="V203" i="12"/>
  <c r="R204" i="12"/>
  <c r="V207" i="12"/>
  <c r="R208" i="12"/>
  <c r="J211" i="12"/>
  <c r="R213" i="12"/>
  <c r="J215" i="12"/>
  <c r="J219" i="12"/>
  <c r="V223" i="12"/>
  <c r="R224" i="12"/>
  <c r="V227" i="12"/>
  <c r="R228" i="12"/>
  <c r="J229" i="12"/>
  <c r="J242" i="12"/>
  <c r="V243" i="12"/>
  <c r="J247" i="12"/>
  <c r="Z12" i="13"/>
  <c r="V16" i="13"/>
  <c r="P18" i="13"/>
  <c r="J20" i="13"/>
  <c r="R27" i="4"/>
  <c r="R31" i="4"/>
  <c r="R34" i="4"/>
  <c r="N12" i="5"/>
  <c r="V18" i="5"/>
  <c r="J22" i="5"/>
  <c r="R24" i="5"/>
  <c r="J14" i="6"/>
  <c r="R16" i="6"/>
  <c r="J18" i="6"/>
  <c r="R20" i="6"/>
  <c r="J22" i="6"/>
  <c r="R26" i="6"/>
  <c r="J28" i="6"/>
  <c r="R29" i="6"/>
  <c r="J31" i="6"/>
  <c r="R16" i="7"/>
  <c r="J18" i="7"/>
  <c r="R20" i="7"/>
  <c r="F24" i="7"/>
  <c r="V24" i="7"/>
  <c r="J15" i="8"/>
  <c r="H18" i="8"/>
  <c r="F21" i="8"/>
  <c r="V21" i="8"/>
  <c r="J25" i="8"/>
  <c r="R27" i="8"/>
  <c r="J29" i="8"/>
  <c r="R31" i="8"/>
  <c r="J33" i="8"/>
  <c r="R34" i="8"/>
  <c r="J36" i="8"/>
  <c r="V17" i="9"/>
  <c r="J23" i="9"/>
  <c r="V27" i="9"/>
  <c r="R28" i="9"/>
  <c r="J31" i="9"/>
  <c r="J35" i="9"/>
  <c r="V39" i="9"/>
  <c r="R40" i="9"/>
  <c r="V43" i="9"/>
  <c r="R44" i="9"/>
  <c r="J45" i="9"/>
  <c r="R49" i="9"/>
  <c r="J51" i="9"/>
  <c r="V55" i="9"/>
  <c r="R56" i="9"/>
  <c r="J57" i="9"/>
  <c r="J63" i="9"/>
  <c r="V67" i="9"/>
  <c r="R68" i="9"/>
  <c r="J71" i="9"/>
  <c r="J75" i="9"/>
  <c r="R77" i="9"/>
  <c r="J79" i="9"/>
  <c r="V83" i="9"/>
  <c r="R84" i="9"/>
  <c r="J87" i="9"/>
  <c r="J91" i="9"/>
  <c r="R93" i="9"/>
  <c r="V95" i="9"/>
  <c r="R96" i="9"/>
  <c r="J99" i="9"/>
  <c r="R100" i="9"/>
  <c r="P104" i="9"/>
  <c r="R15" i="10"/>
  <c r="P18" i="10"/>
  <c r="R25" i="10"/>
  <c r="J27" i="10"/>
  <c r="R29" i="10"/>
  <c r="J31" i="10"/>
  <c r="R33" i="10"/>
  <c r="J34" i="10"/>
  <c r="R36" i="10"/>
  <c r="Z12" i="11"/>
  <c r="F16" i="11"/>
  <c r="V16" i="11"/>
  <c r="F20" i="11"/>
  <c r="V20" i="11"/>
  <c r="R22" i="11"/>
  <c r="J24" i="11"/>
  <c r="Z12" i="12"/>
  <c r="L16" i="12"/>
  <c r="J82" i="12"/>
  <c r="V84" i="12"/>
  <c r="R85" i="12"/>
  <c r="J88" i="12"/>
  <c r="V92" i="12"/>
  <c r="R93" i="12"/>
  <c r="J96" i="12"/>
  <c r="V100" i="12"/>
  <c r="R101" i="12"/>
  <c r="J104" i="12"/>
  <c r="V108" i="12"/>
  <c r="R109" i="12"/>
  <c r="J112" i="12"/>
  <c r="V116" i="12"/>
  <c r="R117" i="12"/>
  <c r="J120" i="12"/>
  <c r="V124" i="12"/>
  <c r="R125" i="12"/>
  <c r="J128" i="12"/>
  <c r="V132" i="12"/>
  <c r="V136" i="12"/>
  <c r="V140" i="12"/>
  <c r="R141" i="12"/>
  <c r="J144" i="12"/>
  <c r="V152" i="12"/>
  <c r="R153" i="12"/>
  <c r="J156" i="12"/>
  <c r="J160" i="12"/>
  <c r="V164" i="12"/>
  <c r="R165" i="12"/>
  <c r="J166" i="12"/>
  <c r="V168" i="12"/>
  <c r="J176" i="12"/>
  <c r="V180" i="12"/>
  <c r="R181" i="12"/>
  <c r="J182" i="12"/>
  <c r="V184" i="12"/>
  <c r="R185" i="12"/>
  <c r="J186" i="12"/>
  <c r="R190" i="12"/>
  <c r="J192" i="12"/>
  <c r="V196" i="12"/>
  <c r="V200" i="12"/>
  <c r="R201" i="12"/>
  <c r="J202" i="12"/>
  <c r="V204" i="12"/>
  <c r="R205" i="12"/>
  <c r="V208" i="12"/>
  <c r="R209" i="12"/>
  <c r="J212" i="12"/>
  <c r="V216" i="12"/>
  <c r="R217" i="12"/>
  <c r="J220" i="12"/>
  <c r="V224" i="12"/>
  <c r="R225" i="12"/>
  <c r="J226" i="12"/>
  <c r="V228" i="12"/>
  <c r="J232" i="12"/>
  <c r="J236" i="12"/>
  <c r="V238" i="12"/>
  <c r="R241" i="12"/>
  <c r="F34" i="13"/>
  <c r="F31" i="13"/>
  <c r="F27" i="13"/>
  <c r="F21" i="13"/>
  <c r="R15" i="13"/>
  <c r="R18" i="13"/>
  <c r="R22" i="13"/>
  <c r="J24" i="13"/>
  <c r="X29" i="13"/>
  <c r="V33" i="13"/>
  <c r="Z16" i="14"/>
  <c r="X16" i="14"/>
  <c r="N34" i="14"/>
  <c r="L34" i="14"/>
  <c r="N80" i="15"/>
  <c r="Z162" i="15"/>
  <c r="R27" i="5"/>
  <c r="R31" i="5"/>
  <c r="R34" i="5"/>
  <c r="J36" i="5"/>
  <c r="X12" i="7"/>
  <c r="F27" i="7"/>
  <c r="F31" i="7"/>
  <c r="F34" i="7"/>
  <c r="V34" i="7"/>
  <c r="J18" i="8"/>
  <c r="V24" i="8"/>
  <c r="H17" i="9"/>
  <c r="V20" i="9"/>
  <c r="J24" i="9"/>
  <c r="V28" i="9"/>
  <c r="V32" i="9"/>
  <c r="R33" i="9"/>
  <c r="J36" i="9"/>
  <c r="V40" i="9"/>
  <c r="R41" i="9"/>
  <c r="V44" i="9"/>
  <c r="J48" i="9"/>
  <c r="V52" i="9"/>
  <c r="R53" i="9"/>
  <c r="V56" i="9"/>
  <c r="J60" i="9"/>
  <c r="R62" i="9"/>
  <c r="V64" i="9"/>
  <c r="R65" i="9"/>
  <c r="V68" i="9"/>
  <c r="R69" i="9"/>
  <c r="V72" i="9"/>
  <c r="R73" i="9"/>
  <c r="J76" i="9"/>
  <c r="V80" i="9"/>
  <c r="R81" i="9"/>
  <c r="V84" i="9"/>
  <c r="R85" i="9"/>
  <c r="J88" i="9"/>
  <c r="R90" i="9"/>
  <c r="J92" i="9"/>
  <c r="V96" i="9"/>
  <c r="R97" i="9"/>
  <c r="V100" i="9"/>
  <c r="R104" i="9"/>
  <c r="J108" i="9"/>
  <c r="R111" i="9"/>
  <c r="J16" i="10"/>
  <c r="J20" i="10"/>
  <c r="V22" i="10"/>
  <c r="R15" i="11"/>
  <c r="P18" i="11"/>
  <c r="R25" i="11"/>
  <c r="R29" i="11"/>
  <c r="R33" i="11"/>
  <c r="J34" i="11"/>
  <c r="R36" i="11"/>
  <c r="V85" i="12"/>
  <c r="R86" i="12"/>
  <c r="J89" i="12"/>
  <c r="V93" i="12"/>
  <c r="R94" i="12"/>
  <c r="J97" i="12"/>
  <c r="V101" i="12"/>
  <c r="R102" i="12"/>
  <c r="J105" i="12"/>
  <c r="V109" i="12"/>
  <c r="R110" i="12"/>
  <c r="J113" i="12"/>
  <c r="V117" i="12"/>
  <c r="R118" i="12"/>
  <c r="J121" i="12"/>
  <c r="V125" i="12"/>
  <c r="R126" i="12"/>
  <c r="J129" i="12"/>
  <c r="P134" i="12"/>
  <c r="V141" i="12"/>
  <c r="R142" i="12"/>
  <c r="J145" i="12"/>
  <c r="J149" i="12"/>
  <c r="V153" i="12"/>
  <c r="R154" i="12"/>
  <c r="J157" i="12"/>
  <c r="R159" i="12"/>
  <c r="V161" i="12"/>
  <c r="R162" i="12"/>
  <c r="V165" i="12"/>
  <c r="J173" i="12"/>
  <c r="R175" i="12"/>
  <c r="V177" i="12"/>
  <c r="R178" i="12"/>
  <c r="J179" i="12"/>
  <c r="V181" i="12"/>
  <c r="V185" i="12"/>
  <c r="J189" i="12"/>
  <c r="V193" i="12"/>
  <c r="R194" i="12"/>
  <c r="J195" i="12"/>
  <c r="V201" i="12"/>
  <c r="V205" i="12"/>
  <c r="R206" i="12"/>
  <c r="J207" i="12"/>
  <c r="V209" i="12"/>
  <c r="R210" i="12"/>
  <c r="V213" i="12"/>
  <c r="R214" i="12"/>
  <c r="X216" i="12"/>
  <c r="Z216" i="12" s="1"/>
  <c r="V217" i="12"/>
  <c r="R218" i="12"/>
  <c r="J221" i="12"/>
  <c r="V225" i="12"/>
  <c r="R231" i="12"/>
  <c r="J233" i="12"/>
  <c r="R235" i="12"/>
  <c r="J240" i="12"/>
  <c r="V241" i="12"/>
  <c r="J21" i="13"/>
  <c r="J36" i="13"/>
  <c r="J33" i="13"/>
  <c r="J29" i="13"/>
  <c r="J25" i="13"/>
  <c r="H18" i="13"/>
  <c r="J16" i="13"/>
  <c r="T18" i="13"/>
  <c r="F25" i="13"/>
  <c r="R29" i="13"/>
  <c r="F36" i="13"/>
  <c r="Z20" i="14"/>
  <c r="X20" i="14"/>
  <c r="Z222" i="15"/>
  <c r="R16" i="5"/>
  <c r="J18" i="5"/>
  <c r="R20" i="5"/>
  <c r="V24" i="5"/>
  <c r="N14" i="6"/>
  <c r="V16" i="6"/>
  <c r="V20" i="6"/>
  <c r="V26" i="6"/>
  <c r="X13" i="7"/>
  <c r="F16" i="7"/>
  <c r="V16" i="7"/>
  <c r="F20" i="7"/>
  <c r="V20" i="7"/>
  <c r="R22" i="7"/>
  <c r="J24" i="7"/>
  <c r="X12" i="8"/>
  <c r="J21" i="8"/>
  <c r="F27" i="8"/>
  <c r="V27" i="8"/>
  <c r="F31" i="8"/>
  <c r="V31" i="8"/>
  <c r="V34" i="8"/>
  <c r="X12" i="9"/>
  <c r="R15" i="9"/>
  <c r="J17" i="9"/>
  <c r="Z17" i="9"/>
  <c r="R19" i="9"/>
  <c r="V21" i="9"/>
  <c r="R22" i="9"/>
  <c r="J25" i="9"/>
  <c r="V29" i="9"/>
  <c r="R30" i="9"/>
  <c r="V33" i="9"/>
  <c r="R34" i="9"/>
  <c r="J37" i="9"/>
  <c r="V41" i="9"/>
  <c r="R42" i="9"/>
  <c r="J43" i="9"/>
  <c r="R47" i="9"/>
  <c r="V49" i="9"/>
  <c r="R50" i="9"/>
  <c r="V53" i="9"/>
  <c r="R54" i="9"/>
  <c r="J55" i="9"/>
  <c r="R59" i="9"/>
  <c r="J61" i="9"/>
  <c r="V65" i="9"/>
  <c r="R66" i="9"/>
  <c r="J67" i="9"/>
  <c r="V69" i="9"/>
  <c r="R70" i="9"/>
  <c r="V73" i="9"/>
  <c r="R74" i="9"/>
  <c r="V77" i="9"/>
  <c r="R78" i="9"/>
  <c r="V81" i="9"/>
  <c r="R82" i="9"/>
  <c r="J83" i="9"/>
  <c r="V85" i="9"/>
  <c r="R86" i="9"/>
  <c r="J89" i="9"/>
  <c r="V93" i="9"/>
  <c r="R94" i="9"/>
  <c r="J95" i="9"/>
  <c r="V97" i="9"/>
  <c r="X100" i="9"/>
  <c r="J102" i="9"/>
  <c r="R106" i="9"/>
  <c r="L12" i="10"/>
  <c r="F15" i="10"/>
  <c r="V15" i="10"/>
  <c r="D18" i="10"/>
  <c r="T18" i="10"/>
  <c r="R21" i="10"/>
  <c r="F25" i="10"/>
  <c r="V25" i="10"/>
  <c r="F29" i="10"/>
  <c r="V29" i="10"/>
  <c r="F33" i="10"/>
  <c r="V33" i="10"/>
  <c r="F36" i="10"/>
  <c r="V36" i="10"/>
  <c r="J16" i="11"/>
  <c r="R18" i="11"/>
  <c r="J20" i="11"/>
  <c r="F22" i="11"/>
  <c r="V22" i="11"/>
  <c r="V86" i="12"/>
  <c r="R87" i="12"/>
  <c r="J90" i="12"/>
  <c r="V94" i="12"/>
  <c r="R95" i="12"/>
  <c r="J98" i="12"/>
  <c r="V102" i="12"/>
  <c r="R103" i="12"/>
  <c r="J106" i="12"/>
  <c r="V110" i="12"/>
  <c r="R111" i="12"/>
  <c r="J114" i="12"/>
  <c r="V118" i="12"/>
  <c r="R119" i="12"/>
  <c r="J122" i="12"/>
  <c r="V126" i="12"/>
  <c r="R127" i="12"/>
  <c r="J130" i="12"/>
  <c r="R134" i="12"/>
  <c r="J136" i="12"/>
  <c r="J138" i="12"/>
  <c r="V142" i="12"/>
  <c r="R143" i="12"/>
  <c r="J146" i="12"/>
  <c r="R148" i="12"/>
  <c r="J150" i="12"/>
  <c r="V154" i="12"/>
  <c r="R155" i="12"/>
  <c r="J158" i="12"/>
  <c r="V162" i="12"/>
  <c r="R163" i="12"/>
  <c r="J164" i="12"/>
  <c r="J170" i="12"/>
  <c r="R172" i="12"/>
  <c r="J174" i="12"/>
  <c r="V178" i="12"/>
  <c r="R188" i="12"/>
  <c r="V190" i="12"/>
  <c r="R191" i="12"/>
  <c r="V194" i="12"/>
  <c r="J198" i="12"/>
  <c r="V206" i="12"/>
  <c r="V210" i="12"/>
  <c r="R211" i="12"/>
  <c r="V214" i="12"/>
  <c r="R215" i="12"/>
  <c r="J216" i="12"/>
  <c r="V218" i="12"/>
  <c r="R219" i="12"/>
  <c r="J222" i="12"/>
  <c r="J230" i="12"/>
  <c r="J234" i="12"/>
  <c r="J238" i="12"/>
  <c r="R239" i="12"/>
  <c r="J243" i="12"/>
  <c r="R247" i="12"/>
  <c r="V15" i="13"/>
  <c r="V18" i="13"/>
  <c r="V22" i="13"/>
  <c r="Z80" i="15"/>
  <c r="N173" i="15"/>
  <c r="Z191" i="15"/>
  <c r="N201" i="15"/>
  <c r="N154" i="18"/>
  <c r="Z155" i="18"/>
  <c r="Z187" i="18"/>
  <c r="Z200" i="18"/>
  <c r="X12" i="5"/>
  <c r="J21" i="5"/>
  <c r="V27" i="5"/>
  <c r="V31" i="5"/>
  <c r="X12" i="6"/>
  <c r="R15" i="7"/>
  <c r="P18" i="7"/>
  <c r="R25" i="7"/>
  <c r="J27" i="7"/>
  <c r="R29" i="7"/>
  <c r="J31" i="7"/>
  <c r="R33" i="7"/>
  <c r="J34" i="7"/>
  <c r="R36" i="7"/>
  <c r="Z12" i="8"/>
  <c r="V16" i="8"/>
  <c r="J24" i="8"/>
  <c r="Z12" i="9"/>
  <c r="J20" i="9"/>
  <c r="V22" i="9"/>
  <c r="R23" i="9"/>
  <c r="J26" i="9"/>
  <c r="V30" i="9"/>
  <c r="R31" i="9"/>
  <c r="J32" i="9"/>
  <c r="V34" i="9"/>
  <c r="R35" i="9"/>
  <c r="J38" i="9"/>
  <c r="V42" i="9"/>
  <c r="J46" i="9"/>
  <c r="V50" i="9"/>
  <c r="R51" i="9"/>
  <c r="J52" i="9"/>
  <c r="V54" i="9"/>
  <c r="J58" i="9"/>
  <c r="V62" i="9"/>
  <c r="R63" i="9"/>
  <c r="J64" i="9"/>
  <c r="V66" i="9"/>
  <c r="V70" i="9"/>
  <c r="R71" i="9"/>
  <c r="J72" i="9"/>
  <c r="V74" i="9"/>
  <c r="R75" i="9"/>
  <c r="V78" i="9"/>
  <c r="R79" i="9"/>
  <c r="J80" i="9"/>
  <c r="V82" i="9"/>
  <c r="V86" i="9"/>
  <c r="R87" i="9"/>
  <c r="V90" i="9"/>
  <c r="R91" i="9"/>
  <c r="V94" i="9"/>
  <c r="R101" i="9"/>
  <c r="V104" i="9"/>
  <c r="V106" i="9"/>
  <c r="V111" i="9"/>
  <c r="N12" i="10"/>
  <c r="F18" i="10"/>
  <c r="V18" i="10"/>
  <c r="J22" i="10"/>
  <c r="R24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J83" i="12"/>
  <c r="V87" i="12"/>
  <c r="R88" i="12"/>
  <c r="J91" i="12"/>
  <c r="V95" i="12"/>
  <c r="R96" i="12"/>
  <c r="J99" i="12"/>
  <c r="V103" i="12"/>
  <c r="R104" i="12"/>
  <c r="J107" i="12"/>
  <c r="V111" i="12"/>
  <c r="R112" i="12"/>
  <c r="J115" i="12"/>
  <c r="V119" i="12"/>
  <c r="R120" i="12"/>
  <c r="J123" i="12"/>
  <c r="V127" i="12"/>
  <c r="R128" i="12"/>
  <c r="J131" i="12"/>
  <c r="T134" i="12"/>
  <c r="R137" i="12"/>
  <c r="J139" i="12"/>
  <c r="V143" i="12"/>
  <c r="R144" i="12"/>
  <c r="J147" i="12"/>
  <c r="J151" i="12"/>
  <c r="V155" i="12"/>
  <c r="R156" i="12"/>
  <c r="V159" i="12"/>
  <c r="R160" i="12"/>
  <c r="J161" i="12"/>
  <c r="V163" i="12"/>
  <c r="L164" i="12"/>
  <c r="N164" i="12" s="1"/>
  <c r="J167" i="12"/>
  <c r="R169" i="12"/>
  <c r="J171" i="12"/>
  <c r="V175" i="12"/>
  <c r="R176" i="12"/>
  <c r="J177" i="12"/>
  <c r="J183" i="12"/>
  <c r="J187" i="12"/>
  <c r="V191" i="12"/>
  <c r="R192" i="12"/>
  <c r="J193" i="12"/>
  <c r="R197" i="12"/>
  <c r="J199" i="12"/>
  <c r="J203" i="12"/>
  <c r="V211" i="12"/>
  <c r="R212" i="12"/>
  <c r="J213" i="12"/>
  <c r="V215" i="12"/>
  <c r="V219" i="12"/>
  <c r="R220" i="12"/>
  <c r="J223" i="12"/>
  <c r="J227" i="12"/>
  <c r="R229" i="12"/>
  <c r="V231" i="12"/>
  <c r="R232" i="12"/>
  <c r="V235" i="12"/>
  <c r="R236" i="12"/>
  <c r="V239" i="12"/>
  <c r="R242" i="12"/>
  <c r="V247" i="12"/>
  <c r="N12" i="13"/>
  <c r="R20" i="13"/>
  <c r="F22" i="13"/>
  <c r="X25" i="13"/>
  <c r="V29" i="13"/>
  <c r="F33" i="13"/>
  <c r="J34" i="13"/>
  <c r="N132" i="15"/>
  <c r="N168" i="15"/>
  <c r="Z171" i="15"/>
  <c r="N228" i="15"/>
  <c r="R25" i="4"/>
  <c r="R29" i="4"/>
  <c r="R33" i="4"/>
  <c r="R14" i="6"/>
  <c r="R18" i="6"/>
  <c r="R22" i="6"/>
  <c r="R28" i="6"/>
  <c r="J16" i="7"/>
  <c r="P18" i="8"/>
  <c r="R25" i="8"/>
  <c r="J27" i="8"/>
  <c r="R29" i="8"/>
  <c r="J31" i="8"/>
  <c r="R33" i="8"/>
  <c r="J34" i="8"/>
  <c r="V15" i="9"/>
  <c r="V19" i="9"/>
  <c r="V23" i="9"/>
  <c r="R24" i="9"/>
  <c r="J27" i="9"/>
  <c r="V31" i="9"/>
  <c r="V35" i="9"/>
  <c r="R36" i="9"/>
  <c r="J39" i="9"/>
  <c r="R45" i="9"/>
  <c r="V47" i="9"/>
  <c r="R48" i="9"/>
  <c r="J49" i="9"/>
  <c r="V51" i="9"/>
  <c r="R57" i="9"/>
  <c r="V59" i="9"/>
  <c r="R60" i="9"/>
  <c r="V63" i="9"/>
  <c r="V71" i="9"/>
  <c r="V75" i="9"/>
  <c r="R76" i="9"/>
  <c r="J77" i="9"/>
  <c r="V79" i="9"/>
  <c r="V87" i="9"/>
  <c r="R88" i="9"/>
  <c r="V91" i="9"/>
  <c r="R92" i="9"/>
  <c r="J93" i="9"/>
  <c r="R99" i="9"/>
  <c r="J100" i="9"/>
  <c r="V101" i="9"/>
  <c r="J15" i="10"/>
  <c r="H18" i="10"/>
  <c r="V21" i="10"/>
  <c r="J25" i="10"/>
  <c r="R27" i="10"/>
  <c r="J29" i="10"/>
  <c r="R31" i="10"/>
  <c r="J33" i="10"/>
  <c r="J36" i="10"/>
  <c r="F18" i="11"/>
  <c r="R24" i="11"/>
  <c r="R82" i="12"/>
  <c r="J84" i="12"/>
  <c r="V88" i="12"/>
  <c r="R89" i="12"/>
  <c r="J92" i="12"/>
  <c r="V96" i="12"/>
  <c r="R97" i="12"/>
  <c r="J100" i="12"/>
  <c r="V104" i="12"/>
  <c r="R105" i="12"/>
  <c r="J108" i="12"/>
  <c r="V112" i="12"/>
  <c r="R113" i="12"/>
  <c r="J116" i="12"/>
  <c r="V120" i="12"/>
  <c r="R121" i="12"/>
  <c r="J124" i="12"/>
  <c r="V128" i="12"/>
  <c r="R129" i="12"/>
  <c r="J132" i="12"/>
  <c r="V134" i="12"/>
  <c r="J140" i="12"/>
  <c r="V144" i="12"/>
  <c r="R145" i="12"/>
  <c r="V148" i="12"/>
  <c r="R149" i="12"/>
  <c r="J152" i="12"/>
  <c r="V156" i="12"/>
  <c r="R157" i="12"/>
  <c r="V160" i="12"/>
  <c r="R166" i="12"/>
  <c r="J168" i="12"/>
  <c r="V172" i="12"/>
  <c r="R173" i="12"/>
  <c r="V176" i="12"/>
  <c r="J180" i="12"/>
  <c r="R182" i="12"/>
  <c r="J184" i="12"/>
  <c r="R186" i="12"/>
  <c r="V188" i="12"/>
  <c r="R189" i="12"/>
  <c r="J190" i="12"/>
  <c r="V192" i="12"/>
  <c r="J196" i="12"/>
  <c r="J200" i="12"/>
  <c r="R202" i="12"/>
  <c r="J204" i="12"/>
  <c r="J208" i="12"/>
  <c r="V212" i="12"/>
  <c r="V220" i="12"/>
  <c r="R221" i="12"/>
  <c r="J224" i="12"/>
  <c r="R226" i="12"/>
  <c r="J228" i="12"/>
  <c r="V232" i="12"/>
  <c r="R233" i="12"/>
  <c r="V236" i="12"/>
  <c r="J241" i="12"/>
  <c r="V242" i="12"/>
  <c r="R34" i="13"/>
  <c r="R31" i="13"/>
  <c r="R27" i="13"/>
  <c r="J15" i="13"/>
  <c r="J18" i="13"/>
  <c r="R24" i="13"/>
  <c r="R25" i="13"/>
  <c r="Z178" i="15"/>
  <c r="J16" i="8"/>
  <c r="J28" i="9"/>
  <c r="J40" i="9"/>
  <c r="J44" i="9"/>
  <c r="J56" i="9"/>
  <c r="J62" i="9"/>
  <c r="J68" i="9"/>
  <c r="V76" i="9"/>
  <c r="J84" i="9"/>
  <c r="V88" i="9"/>
  <c r="R89" i="9"/>
  <c r="J90" i="9"/>
  <c r="J96" i="9"/>
  <c r="J104" i="9"/>
  <c r="R27" i="11"/>
  <c r="R31" i="11"/>
  <c r="J85" i="12"/>
  <c r="V89" i="12"/>
  <c r="R90" i="12"/>
  <c r="J93" i="12"/>
  <c r="V97" i="12"/>
  <c r="R98" i="12"/>
  <c r="J101" i="12"/>
  <c r="V105" i="12"/>
  <c r="R106" i="12"/>
  <c r="J109" i="12"/>
  <c r="V113" i="12"/>
  <c r="R114" i="12"/>
  <c r="J117" i="12"/>
  <c r="V121" i="12"/>
  <c r="R122" i="12"/>
  <c r="J125" i="12"/>
  <c r="V129" i="12"/>
  <c r="R130" i="12"/>
  <c r="H134" i="12"/>
  <c r="V137" i="12"/>
  <c r="R138" i="12"/>
  <c r="J141" i="12"/>
  <c r="V145" i="12"/>
  <c r="R146" i="12"/>
  <c r="V149" i="12"/>
  <c r="R150" i="12"/>
  <c r="J153" i="12"/>
  <c r="V157" i="12"/>
  <c r="R158" i="12"/>
  <c r="J159" i="12"/>
  <c r="J165" i="12"/>
  <c r="V169" i="12"/>
  <c r="R170" i="12"/>
  <c r="V173" i="12"/>
  <c r="R174" i="12"/>
  <c r="J175" i="12"/>
  <c r="R179" i="12"/>
  <c r="J181" i="12"/>
  <c r="J185" i="12"/>
  <c r="V189" i="12"/>
  <c r="R195" i="12"/>
  <c r="V197" i="12"/>
  <c r="R198" i="12"/>
  <c r="J201" i="12"/>
  <c r="J205" i="12"/>
  <c r="R207" i="12"/>
  <c r="J209" i="12"/>
  <c r="J217" i="12"/>
  <c r="V221" i="12"/>
  <c r="R222" i="12"/>
  <c r="J225" i="12"/>
  <c r="V229" i="12"/>
  <c r="R230" i="12"/>
  <c r="J231" i="12"/>
  <c r="R234" i="12"/>
  <c r="J235" i="12"/>
  <c r="R240" i="12"/>
  <c r="V34" i="13"/>
  <c r="V31" i="13"/>
  <c r="V27" i="13"/>
  <c r="V24" i="13"/>
  <c r="V21" i="13"/>
  <c r="V20" i="13"/>
  <c r="J22" i="13"/>
  <c r="J31" i="13"/>
  <c r="N193" i="18"/>
  <c r="N12" i="14"/>
  <c r="F18" i="14"/>
  <c r="V18" i="14"/>
  <c r="J22" i="14"/>
  <c r="R24" i="14"/>
  <c r="V84" i="15"/>
  <c r="J88" i="15"/>
  <c r="V92" i="15"/>
  <c r="J96" i="15"/>
  <c r="V100" i="15"/>
  <c r="J104" i="15"/>
  <c r="V108" i="15"/>
  <c r="J112" i="15"/>
  <c r="V116" i="15"/>
  <c r="J120" i="15"/>
  <c r="V124" i="15"/>
  <c r="J128" i="15"/>
  <c r="J136" i="15"/>
  <c r="V140" i="15"/>
  <c r="V144" i="15"/>
  <c r="J148" i="15"/>
  <c r="V152" i="15"/>
  <c r="X155" i="15"/>
  <c r="Z155" i="15" s="1"/>
  <c r="V156" i="15"/>
  <c r="J164" i="15"/>
  <c r="V168" i="15"/>
  <c r="V172" i="15"/>
  <c r="J176" i="15"/>
  <c r="J180" i="15"/>
  <c r="V184" i="15"/>
  <c r="V188" i="15"/>
  <c r="J192" i="15"/>
  <c r="V200" i="15"/>
  <c r="V204" i="15"/>
  <c r="J206" i="15"/>
  <c r="V208" i="15"/>
  <c r="V212" i="15"/>
  <c r="J216" i="15"/>
  <c r="J220" i="15"/>
  <c r="V224" i="15"/>
  <c r="V228" i="15"/>
  <c r="V232" i="15"/>
  <c r="V240" i="15"/>
  <c r="N12" i="16"/>
  <c r="F18" i="16"/>
  <c r="V18" i="16"/>
  <c r="J22" i="16"/>
  <c r="R24" i="16"/>
  <c r="L12" i="17"/>
  <c r="F15" i="17"/>
  <c r="V15" i="17"/>
  <c r="D18" i="17"/>
  <c r="T18" i="17"/>
  <c r="X18" i="17" s="1"/>
  <c r="R21" i="17"/>
  <c r="F25" i="17"/>
  <c r="V25" i="17"/>
  <c r="F29" i="17"/>
  <c r="V29" i="17"/>
  <c r="F33" i="17"/>
  <c r="V33" i="17"/>
  <c r="F36" i="17"/>
  <c r="V36" i="17"/>
  <c r="L12" i="18"/>
  <c r="N12" i="18" s="1"/>
  <c r="J95" i="18"/>
  <c r="V97" i="18"/>
  <c r="J101" i="18"/>
  <c r="F102" i="18"/>
  <c r="V105" i="18"/>
  <c r="J109" i="18"/>
  <c r="F110" i="18"/>
  <c r="V113" i="18"/>
  <c r="J117" i="18"/>
  <c r="F118" i="18"/>
  <c r="V121" i="18"/>
  <c r="J125" i="18"/>
  <c r="F126" i="18"/>
  <c r="V129" i="18"/>
  <c r="J133" i="18"/>
  <c r="F134" i="18"/>
  <c r="V137" i="18"/>
  <c r="J141" i="18"/>
  <c r="F142" i="18"/>
  <c r="V145" i="18"/>
  <c r="J149" i="18"/>
  <c r="F150" i="18"/>
  <c r="D152" i="18"/>
  <c r="T152" i="18"/>
  <c r="V152" i="18" s="1"/>
  <c r="J157" i="18"/>
  <c r="F158" i="18"/>
  <c r="V161" i="18"/>
  <c r="J165" i="18"/>
  <c r="J169" i="18"/>
  <c r="F170" i="18"/>
  <c r="V173" i="18"/>
  <c r="F177" i="18"/>
  <c r="V177" i="18"/>
  <c r="J179" i="18"/>
  <c r="V181" i="18"/>
  <c r="J185" i="18"/>
  <c r="F186" i="18"/>
  <c r="J189" i="18"/>
  <c r="F193" i="18"/>
  <c r="V193" i="18"/>
  <c r="J195" i="18"/>
  <c r="F198" i="18"/>
  <c r="J201" i="18"/>
  <c r="F202" i="18"/>
  <c r="J205" i="18"/>
  <c r="F209" i="18"/>
  <c r="V209" i="18"/>
  <c r="J211" i="18"/>
  <c r="F214" i="18"/>
  <c r="V217" i="18"/>
  <c r="V221" i="18"/>
  <c r="J223" i="18"/>
  <c r="V225" i="18"/>
  <c r="V229" i="18"/>
  <c r="J231" i="18"/>
  <c r="V233" i="18"/>
  <c r="J237" i="18"/>
  <c r="F238" i="18"/>
  <c r="F242" i="18"/>
  <c r="F243" i="18"/>
  <c r="J248" i="18"/>
  <c r="N51" i="21"/>
  <c r="Z52" i="24"/>
  <c r="Z103" i="24"/>
  <c r="D27" i="29"/>
  <c r="J15" i="14"/>
  <c r="H18" i="14"/>
  <c r="F21" i="14"/>
  <c r="V21" i="14"/>
  <c r="J25" i="14"/>
  <c r="R27" i="14"/>
  <c r="J29" i="14"/>
  <c r="R31" i="14"/>
  <c r="J33" i="14"/>
  <c r="R34" i="14"/>
  <c r="J36" i="14"/>
  <c r="P12" i="15"/>
  <c r="J81" i="15"/>
  <c r="V85" i="15"/>
  <c r="J89" i="15"/>
  <c r="V93" i="15"/>
  <c r="J97" i="15"/>
  <c r="V101" i="15"/>
  <c r="J105" i="15"/>
  <c r="V109" i="15"/>
  <c r="J113" i="15"/>
  <c r="V117" i="15"/>
  <c r="J121" i="15"/>
  <c r="V125" i="15"/>
  <c r="H130" i="15"/>
  <c r="V133" i="15"/>
  <c r="J137" i="15"/>
  <c r="V141" i="15"/>
  <c r="X144" i="15"/>
  <c r="Z144" i="15" s="1"/>
  <c r="V145" i="15"/>
  <c r="J149" i="15"/>
  <c r="V153" i="15"/>
  <c r="J155" i="15"/>
  <c r="J161" i="15"/>
  <c r="V165" i="15"/>
  <c r="V169" i="15"/>
  <c r="J171" i="15"/>
  <c r="J177" i="15"/>
  <c r="J181" i="15"/>
  <c r="V185" i="15"/>
  <c r="J187" i="15"/>
  <c r="J193" i="15"/>
  <c r="J197" i="15"/>
  <c r="V205" i="15"/>
  <c r="V213" i="15"/>
  <c r="J217" i="15"/>
  <c r="J221" i="15"/>
  <c r="V225" i="15"/>
  <c r="V229" i="15"/>
  <c r="X232" i="15"/>
  <c r="J234" i="15"/>
  <c r="V235" i="15"/>
  <c r="J15" i="16"/>
  <c r="H18" i="16"/>
  <c r="J25" i="16"/>
  <c r="R27" i="16"/>
  <c r="J29" i="16"/>
  <c r="R31" i="16"/>
  <c r="J33" i="16"/>
  <c r="R34" i="16"/>
  <c r="J36" i="16"/>
  <c r="F18" i="17"/>
  <c r="J22" i="17"/>
  <c r="P27" i="17"/>
  <c r="V98" i="18"/>
  <c r="J102" i="18"/>
  <c r="F103" i="18"/>
  <c r="V106" i="18"/>
  <c r="J110" i="18"/>
  <c r="F111" i="18"/>
  <c r="V114" i="18"/>
  <c r="J118" i="18"/>
  <c r="F119" i="18"/>
  <c r="V122" i="18"/>
  <c r="J126" i="18"/>
  <c r="F127" i="18"/>
  <c r="V130" i="18"/>
  <c r="J134" i="18"/>
  <c r="F135" i="18"/>
  <c r="V138" i="18"/>
  <c r="J142" i="18"/>
  <c r="F143" i="18"/>
  <c r="V146" i="18"/>
  <c r="J150" i="18"/>
  <c r="F152" i="18"/>
  <c r="J158" i="18"/>
  <c r="F159" i="18"/>
  <c r="V162" i="18"/>
  <c r="F166" i="18"/>
  <c r="V166" i="18"/>
  <c r="J170" i="18"/>
  <c r="F171" i="18"/>
  <c r="V174" i="18"/>
  <c r="V178" i="18"/>
  <c r="F183" i="18"/>
  <c r="J186" i="18"/>
  <c r="F190" i="18"/>
  <c r="V190" i="18"/>
  <c r="V194" i="18"/>
  <c r="J198" i="18"/>
  <c r="F199" i="18"/>
  <c r="J202" i="18"/>
  <c r="F203" i="18"/>
  <c r="F206" i="18"/>
  <c r="V206" i="18"/>
  <c r="V210" i="18"/>
  <c r="J214" i="18"/>
  <c r="F215" i="18"/>
  <c r="F219" i="18"/>
  <c r="V222" i="18"/>
  <c r="V226" i="18"/>
  <c r="J228" i="18"/>
  <c r="V230" i="18"/>
  <c r="V234" i="18"/>
  <c r="J238" i="18"/>
  <c r="F239" i="18"/>
  <c r="J242" i="18"/>
  <c r="J243" i="18"/>
  <c r="F246" i="18"/>
  <c r="F21" i="19"/>
  <c r="F18" i="19"/>
  <c r="F36" i="19"/>
  <c r="F33" i="19"/>
  <c r="F29" i="19"/>
  <c r="F25" i="19"/>
  <c r="D18" i="19"/>
  <c r="F15" i="19"/>
  <c r="L12" i="19"/>
  <c r="F22" i="19"/>
  <c r="F20" i="19"/>
  <c r="F16" i="19"/>
  <c r="F34" i="19"/>
  <c r="F31" i="19"/>
  <c r="F27" i="19"/>
  <c r="F24" i="19"/>
  <c r="R16" i="14"/>
  <c r="J18" i="14"/>
  <c r="R20" i="14"/>
  <c r="F24" i="14"/>
  <c r="V24" i="14"/>
  <c r="J82" i="15"/>
  <c r="V86" i="15"/>
  <c r="J90" i="15"/>
  <c r="V94" i="15"/>
  <c r="J98" i="15"/>
  <c r="V102" i="15"/>
  <c r="J106" i="15"/>
  <c r="V110" i="15"/>
  <c r="J114" i="15"/>
  <c r="V118" i="15"/>
  <c r="J122" i="15"/>
  <c r="V126" i="15"/>
  <c r="J130" i="15"/>
  <c r="V134" i="15"/>
  <c r="J138" i="15"/>
  <c r="V142" i="15"/>
  <c r="J144" i="15"/>
  <c r="V146" i="15"/>
  <c r="J150" i="15"/>
  <c r="V154" i="15"/>
  <c r="J158" i="15"/>
  <c r="V162" i="15"/>
  <c r="V166" i="15"/>
  <c r="J168" i="15"/>
  <c r="V170" i="15"/>
  <c r="J174" i="15"/>
  <c r="V178" i="15"/>
  <c r="V182" i="15"/>
  <c r="J184" i="15"/>
  <c r="V186" i="15"/>
  <c r="J190" i="15"/>
  <c r="J194" i="15"/>
  <c r="J198" i="15"/>
  <c r="J202" i="15"/>
  <c r="J210" i="15"/>
  <c r="V214" i="15"/>
  <c r="J218" i="15"/>
  <c r="V222" i="15"/>
  <c r="J224" i="15"/>
  <c r="V226" i="15"/>
  <c r="J228" i="15"/>
  <c r="R16" i="16"/>
  <c r="J18" i="16"/>
  <c r="R20" i="16"/>
  <c r="F24" i="16"/>
  <c r="V24" i="16"/>
  <c r="J15" i="17"/>
  <c r="H18" i="17"/>
  <c r="F21" i="17"/>
  <c r="V21" i="17"/>
  <c r="J25" i="17"/>
  <c r="R27" i="17"/>
  <c r="J29" i="17"/>
  <c r="R31" i="17"/>
  <c r="J33" i="17"/>
  <c r="R34" i="17"/>
  <c r="J36" i="17"/>
  <c r="P12" i="18"/>
  <c r="F96" i="18"/>
  <c r="V99" i="18"/>
  <c r="J103" i="18"/>
  <c r="F104" i="18"/>
  <c r="V107" i="18"/>
  <c r="J111" i="18"/>
  <c r="F112" i="18"/>
  <c r="V115" i="18"/>
  <c r="J119" i="18"/>
  <c r="F120" i="18"/>
  <c r="V123" i="18"/>
  <c r="J127" i="18"/>
  <c r="F128" i="18"/>
  <c r="V131" i="18"/>
  <c r="J135" i="18"/>
  <c r="F136" i="18"/>
  <c r="V139" i="18"/>
  <c r="J143" i="18"/>
  <c r="F144" i="18"/>
  <c r="V147" i="18"/>
  <c r="H152" i="18"/>
  <c r="J152" i="18" s="1"/>
  <c r="F155" i="18"/>
  <c r="V155" i="18"/>
  <c r="J159" i="18"/>
  <c r="F160" i="18"/>
  <c r="V163" i="18"/>
  <c r="V167" i="18"/>
  <c r="J171" i="18"/>
  <c r="F172" i="18"/>
  <c r="V175" i="18"/>
  <c r="J177" i="18"/>
  <c r="F180" i="18"/>
  <c r="J183" i="18"/>
  <c r="F187" i="18"/>
  <c r="V187" i="18"/>
  <c r="V191" i="18"/>
  <c r="J193" i="18"/>
  <c r="F196" i="18"/>
  <c r="J199" i="18"/>
  <c r="J203" i="18"/>
  <c r="V207" i="18"/>
  <c r="J209" i="18"/>
  <c r="F212" i="18"/>
  <c r="J215" i="18"/>
  <c r="F216" i="18"/>
  <c r="J219" i="18"/>
  <c r="F220" i="18"/>
  <c r="F224" i="18"/>
  <c r="V227" i="18"/>
  <c r="F232" i="18"/>
  <c r="V235" i="18"/>
  <c r="J239" i="18"/>
  <c r="F240" i="18"/>
  <c r="L246" i="18"/>
  <c r="N246" i="18" s="1"/>
  <c r="V250" i="18"/>
  <c r="Z66" i="21"/>
  <c r="N68" i="21"/>
  <c r="Z102" i="21"/>
  <c r="N104" i="21"/>
  <c r="Z63" i="24"/>
  <c r="N74" i="24"/>
  <c r="J21" i="14"/>
  <c r="F27" i="14"/>
  <c r="F31" i="14"/>
  <c r="F34" i="14"/>
  <c r="J83" i="15"/>
  <c r="V87" i="15"/>
  <c r="J91" i="15"/>
  <c r="V95" i="15"/>
  <c r="J99" i="15"/>
  <c r="V103" i="15"/>
  <c r="J107" i="15"/>
  <c r="V111" i="15"/>
  <c r="J115" i="15"/>
  <c r="V119" i="15"/>
  <c r="J123" i="15"/>
  <c r="V127" i="15"/>
  <c r="J133" i="15"/>
  <c r="V135" i="15"/>
  <c r="J139" i="15"/>
  <c r="V143" i="15"/>
  <c r="V147" i="15"/>
  <c r="J151" i="15"/>
  <c r="J159" i="15"/>
  <c r="V163" i="15"/>
  <c r="J165" i="15"/>
  <c r="V167" i="15"/>
  <c r="V175" i="15"/>
  <c r="V179" i="15"/>
  <c r="X182" i="15"/>
  <c r="Z182" i="15" s="1"/>
  <c r="V183" i="15"/>
  <c r="L184" i="15"/>
  <c r="N184" i="15" s="1"/>
  <c r="V191" i="15"/>
  <c r="J195" i="15"/>
  <c r="J199" i="15"/>
  <c r="J203" i="15"/>
  <c r="J207" i="15"/>
  <c r="J211" i="15"/>
  <c r="V215" i="15"/>
  <c r="V219" i="15"/>
  <c r="X222" i="15"/>
  <c r="V223" i="15"/>
  <c r="L224" i="15"/>
  <c r="N224" i="15" s="1"/>
  <c r="V227" i="15"/>
  <c r="L228" i="15"/>
  <c r="J232" i="15"/>
  <c r="V233" i="15"/>
  <c r="X12" i="16"/>
  <c r="J21" i="16"/>
  <c r="F27" i="16"/>
  <c r="V27" i="16"/>
  <c r="F31" i="16"/>
  <c r="V31" i="16"/>
  <c r="F34" i="16"/>
  <c r="V34" i="16"/>
  <c r="R16" i="17"/>
  <c r="J18" i="17"/>
  <c r="R20" i="17"/>
  <c r="F24" i="17"/>
  <c r="V24" i="17"/>
  <c r="V258" i="18"/>
  <c r="V263" i="18"/>
  <c r="V255" i="18"/>
  <c r="V249" i="18"/>
  <c r="V245" i="18"/>
  <c r="V248" i="18"/>
  <c r="V244" i="18"/>
  <c r="V259" i="18"/>
  <c r="V256" i="18"/>
  <c r="V253" i="18"/>
  <c r="J96" i="18"/>
  <c r="F97" i="18"/>
  <c r="V100" i="18"/>
  <c r="J104" i="18"/>
  <c r="F105" i="18"/>
  <c r="V108" i="18"/>
  <c r="J112" i="18"/>
  <c r="F113" i="18"/>
  <c r="V116" i="18"/>
  <c r="J120" i="18"/>
  <c r="F121" i="18"/>
  <c r="V124" i="18"/>
  <c r="J128" i="18"/>
  <c r="F129" i="18"/>
  <c r="V132" i="18"/>
  <c r="J136" i="18"/>
  <c r="F137" i="18"/>
  <c r="V140" i="18"/>
  <c r="J144" i="18"/>
  <c r="F145" i="18"/>
  <c r="V148" i="18"/>
  <c r="V156" i="18"/>
  <c r="J160" i="18"/>
  <c r="F161" i="18"/>
  <c r="V164" i="18"/>
  <c r="J166" i="18"/>
  <c r="V168" i="18"/>
  <c r="J172" i="18"/>
  <c r="F173" i="18"/>
  <c r="V176" i="18"/>
  <c r="J180" i="18"/>
  <c r="F181" i="18"/>
  <c r="F184" i="18"/>
  <c r="V184" i="18"/>
  <c r="V188" i="18"/>
  <c r="J190" i="18"/>
  <c r="V192" i="18"/>
  <c r="J196" i="18"/>
  <c r="F200" i="18"/>
  <c r="V200" i="18"/>
  <c r="F204" i="18"/>
  <c r="V204" i="18"/>
  <c r="J206" i="18"/>
  <c r="V208" i="18"/>
  <c r="L209" i="18"/>
  <c r="J212" i="18"/>
  <c r="J216" i="18"/>
  <c r="F217" i="18"/>
  <c r="J220" i="18"/>
  <c r="F221" i="18"/>
  <c r="J224" i="18"/>
  <c r="F225" i="18"/>
  <c r="F229" i="18"/>
  <c r="J232" i="18"/>
  <c r="F233" i="18"/>
  <c r="V236" i="18"/>
  <c r="J240" i="18"/>
  <c r="J244" i="18"/>
  <c r="F245" i="18"/>
  <c r="P27" i="22"/>
  <c r="F78" i="24"/>
  <c r="F75" i="24"/>
  <c r="F71" i="24"/>
  <c r="F59" i="24"/>
  <c r="F43" i="24"/>
  <c r="F35" i="24"/>
  <c r="F89" i="24"/>
  <c r="F86" i="24"/>
  <c r="F70" i="24"/>
  <c r="F58" i="24"/>
  <c r="F53" i="24"/>
  <c r="F42" i="24"/>
  <c r="F34" i="24"/>
  <c r="F115" i="24"/>
  <c r="F108" i="24"/>
  <c r="F100" i="24"/>
  <c r="F92" i="24"/>
  <c r="F80" i="24"/>
  <c r="F77" i="24"/>
  <c r="F69" i="24"/>
  <c r="F57" i="24"/>
  <c r="F50" i="24"/>
  <c r="F41" i="24"/>
  <c r="F33" i="24"/>
  <c r="F28" i="24"/>
  <c r="F103" i="24"/>
  <c r="F95" i="24"/>
  <c r="F88" i="24"/>
  <c r="F83" i="24"/>
  <c r="F68" i="24"/>
  <c r="F63" i="24"/>
  <c r="F56" i="24"/>
  <c r="D50" i="24"/>
  <c r="F48" i="24"/>
  <c r="F40" i="24"/>
  <c r="F32" i="24"/>
  <c r="L12" i="24"/>
  <c r="F99" i="24"/>
  <c r="F91" i="24"/>
  <c r="F79" i="24"/>
  <c r="F74" i="24"/>
  <c r="F67" i="24"/>
  <c r="F55" i="24"/>
  <c r="F47" i="24"/>
  <c r="F39" i="24"/>
  <c r="F31" i="24"/>
  <c r="F102" i="24"/>
  <c r="F98" i="24"/>
  <c r="F94" i="24"/>
  <c r="F90" i="24"/>
  <c r="F85" i="24"/>
  <c r="F82" i="24"/>
  <c r="F66" i="24"/>
  <c r="F62" i="24"/>
  <c r="F54" i="24"/>
  <c r="F46" i="24"/>
  <c r="F38" i="24"/>
  <c r="F30" i="24"/>
  <c r="F112" i="24"/>
  <c r="F106" i="24"/>
  <c r="F101" i="24"/>
  <c r="F97" i="24"/>
  <c r="F93" i="24"/>
  <c r="F81" i="24"/>
  <c r="F76" i="24"/>
  <c r="F73" i="24"/>
  <c r="F65" i="24"/>
  <c r="F61" i="24"/>
  <c r="F52" i="24"/>
  <c r="F45" i="24"/>
  <c r="F37" i="24"/>
  <c r="F29" i="24"/>
  <c r="F110" i="24"/>
  <c r="F104" i="24"/>
  <c r="F96" i="24"/>
  <c r="F87" i="24"/>
  <c r="F84" i="24"/>
  <c r="F72" i="24"/>
  <c r="F64" i="24"/>
  <c r="F60" i="24"/>
  <c r="F44" i="24"/>
  <c r="F36" i="24"/>
  <c r="R106" i="24"/>
  <c r="R99" i="24"/>
  <c r="R91" i="24"/>
  <c r="R79" i="24"/>
  <c r="R76" i="24"/>
  <c r="R67" i="24"/>
  <c r="R55" i="24"/>
  <c r="R52" i="24"/>
  <c r="R47" i="24"/>
  <c r="R39" i="24"/>
  <c r="R31" i="24"/>
  <c r="R102" i="24"/>
  <c r="R98" i="24"/>
  <c r="R94" i="24"/>
  <c r="R90" i="24"/>
  <c r="R87" i="24"/>
  <c r="R82" i="24"/>
  <c r="R66" i="24"/>
  <c r="R62" i="24"/>
  <c r="R54" i="24"/>
  <c r="R46" i="24"/>
  <c r="R38" i="24"/>
  <c r="R30" i="24"/>
  <c r="R101" i="24"/>
  <c r="R97" i="24"/>
  <c r="R93" i="24"/>
  <c r="R81" i="24"/>
  <c r="R78" i="24"/>
  <c r="R73" i="24"/>
  <c r="R65" i="24"/>
  <c r="R61" i="24"/>
  <c r="R45" i="24"/>
  <c r="R37" i="24"/>
  <c r="R29" i="24"/>
  <c r="R110" i="24"/>
  <c r="R104" i="24"/>
  <c r="R96" i="24"/>
  <c r="R89" i="24"/>
  <c r="R84" i="24"/>
  <c r="R72" i="24"/>
  <c r="R64" i="24"/>
  <c r="R60" i="24"/>
  <c r="R53" i="24"/>
  <c r="R44" i="24"/>
  <c r="R36" i="24"/>
  <c r="R100" i="24"/>
  <c r="R92" i="24"/>
  <c r="R80" i="24"/>
  <c r="R75" i="24"/>
  <c r="R71" i="24"/>
  <c r="R59" i="24"/>
  <c r="R50" i="24"/>
  <c r="R43" i="24"/>
  <c r="R35" i="24"/>
  <c r="R28" i="24"/>
  <c r="R103" i="24"/>
  <c r="R95" i="24"/>
  <c r="R86" i="24"/>
  <c r="R83" i="24"/>
  <c r="R70" i="24"/>
  <c r="R63" i="24"/>
  <c r="R58" i="24"/>
  <c r="P50" i="24"/>
  <c r="R42" i="24"/>
  <c r="R34" i="24"/>
  <c r="R77" i="24"/>
  <c r="R74" i="24"/>
  <c r="R69" i="24"/>
  <c r="R57" i="24"/>
  <c r="R41" i="24"/>
  <c r="R33" i="24"/>
  <c r="R88" i="24"/>
  <c r="R85" i="24"/>
  <c r="R68" i="24"/>
  <c r="R56" i="24"/>
  <c r="R48" i="24"/>
  <c r="R40" i="24"/>
  <c r="R32" i="24"/>
  <c r="X12" i="24"/>
  <c r="Z12" i="24" s="1"/>
  <c r="V80" i="15"/>
  <c r="J84" i="15"/>
  <c r="V88" i="15"/>
  <c r="J92" i="15"/>
  <c r="V96" i="15"/>
  <c r="J100" i="15"/>
  <c r="V104" i="15"/>
  <c r="J108" i="15"/>
  <c r="V112" i="15"/>
  <c r="J116" i="15"/>
  <c r="V120" i="15"/>
  <c r="J124" i="15"/>
  <c r="V128" i="15"/>
  <c r="V132" i="15"/>
  <c r="V136" i="15"/>
  <c r="J140" i="15"/>
  <c r="V148" i="15"/>
  <c r="J152" i="15"/>
  <c r="J156" i="15"/>
  <c r="V160" i="15"/>
  <c r="J162" i="15"/>
  <c r="V164" i="15"/>
  <c r="J172" i="15"/>
  <c r="V176" i="15"/>
  <c r="J178" i="15"/>
  <c r="V180" i="15"/>
  <c r="J182" i="15"/>
  <c r="J188" i="15"/>
  <c r="X191" i="15"/>
  <c r="V192" i="15"/>
  <c r="V196" i="15"/>
  <c r="J200" i="15"/>
  <c r="J204" i="15"/>
  <c r="J208" i="15"/>
  <c r="J212" i="15"/>
  <c r="V216" i="15"/>
  <c r="V220" i="15"/>
  <c r="J222" i="15"/>
  <c r="D231" i="15"/>
  <c r="L231" i="15" s="1"/>
  <c r="N231" i="15" s="1"/>
  <c r="J235" i="15"/>
  <c r="V236" i="15"/>
  <c r="J240" i="15"/>
  <c r="X13" i="16"/>
  <c r="F16" i="16"/>
  <c r="V16" i="16"/>
  <c r="F20" i="16"/>
  <c r="V20" i="16"/>
  <c r="R22" i="16"/>
  <c r="J24" i="16"/>
  <c r="X12" i="17"/>
  <c r="J21" i="17"/>
  <c r="F27" i="17"/>
  <c r="V27" i="17"/>
  <c r="F31" i="17"/>
  <c r="V31" i="17"/>
  <c r="F34" i="17"/>
  <c r="V34" i="17"/>
  <c r="J97" i="18"/>
  <c r="F98" i="18"/>
  <c r="V101" i="18"/>
  <c r="J105" i="18"/>
  <c r="F106" i="18"/>
  <c r="V109" i="18"/>
  <c r="J113" i="18"/>
  <c r="F114" i="18"/>
  <c r="V117" i="18"/>
  <c r="J121" i="18"/>
  <c r="F122" i="18"/>
  <c r="V125" i="18"/>
  <c r="J129" i="18"/>
  <c r="F130" i="18"/>
  <c r="V133" i="18"/>
  <c r="J137" i="18"/>
  <c r="F138" i="18"/>
  <c r="V141" i="18"/>
  <c r="J145" i="18"/>
  <c r="F146" i="18"/>
  <c r="V149" i="18"/>
  <c r="J155" i="18"/>
  <c r="V157" i="18"/>
  <c r="J161" i="18"/>
  <c r="F162" i="18"/>
  <c r="V165" i="18"/>
  <c r="V169" i="18"/>
  <c r="J173" i="18"/>
  <c r="F174" i="18"/>
  <c r="F178" i="18"/>
  <c r="J181" i="18"/>
  <c r="V185" i="18"/>
  <c r="J187" i="18"/>
  <c r="V189" i="18"/>
  <c r="F194" i="18"/>
  <c r="F197" i="18"/>
  <c r="V197" i="18"/>
  <c r="V201" i="18"/>
  <c r="V205" i="18"/>
  <c r="F210" i="18"/>
  <c r="F213" i="18"/>
  <c r="V213" i="18"/>
  <c r="J217" i="18"/>
  <c r="J221" i="18"/>
  <c r="F222" i="18"/>
  <c r="J225" i="18"/>
  <c r="F226" i="18"/>
  <c r="J229" i="18"/>
  <c r="F230" i="18"/>
  <c r="J233" i="18"/>
  <c r="F234" i="18"/>
  <c r="V237" i="18"/>
  <c r="F241" i="18"/>
  <c r="V241" i="18"/>
  <c r="V242" i="18"/>
  <c r="V247" i="18"/>
  <c r="F256" i="18"/>
  <c r="V257" i="18"/>
  <c r="Z83" i="24"/>
  <c r="N57" i="27"/>
  <c r="Z97" i="27"/>
  <c r="P18" i="14"/>
  <c r="L24" i="14"/>
  <c r="R25" i="14"/>
  <c r="J27" i="14"/>
  <c r="R29" i="14"/>
  <c r="J31" i="14"/>
  <c r="R33" i="14"/>
  <c r="J34" i="14"/>
  <c r="R36" i="14"/>
  <c r="D12" i="15"/>
  <c r="V81" i="15"/>
  <c r="J85" i="15"/>
  <c r="V89" i="15"/>
  <c r="J93" i="15"/>
  <c r="V97" i="15"/>
  <c r="J101" i="15"/>
  <c r="V105" i="15"/>
  <c r="J109" i="15"/>
  <c r="V113" i="15"/>
  <c r="J117" i="15"/>
  <c r="V121" i="15"/>
  <c r="J125" i="15"/>
  <c r="V137" i="15"/>
  <c r="J141" i="15"/>
  <c r="J145" i="15"/>
  <c r="V149" i="15"/>
  <c r="J153" i="15"/>
  <c r="V157" i="15"/>
  <c r="V161" i="15"/>
  <c r="J169" i="15"/>
  <c r="V173" i="15"/>
  <c r="J175" i="15"/>
  <c r="V177" i="15"/>
  <c r="V181" i="15"/>
  <c r="J185" i="15"/>
  <c r="V189" i="15"/>
  <c r="J191" i="15"/>
  <c r="V193" i="15"/>
  <c r="V197" i="15"/>
  <c r="V201" i="15"/>
  <c r="J205" i="15"/>
  <c r="V209" i="15"/>
  <c r="J213" i="15"/>
  <c r="V217" i="15"/>
  <c r="J219" i="15"/>
  <c r="V221" i="15"/>
  <c r="J225" i="15"/>
  <c r="J229" i="15"/>
  <c r="V231" i="15"/>
  <c r="R15" i="16"/>
  <c r="P18" i="16"/>
  <c r="R25" i="16"/>
  <c r="J27" i="16"/>
  <c r="R29" i="16"/>
  <c r="J31" i="16"/>
  <c r="R33" i="16"/>
  <c r="J34" i="16"/>
  <c r="R36" i="16"/>
  <c r="Z12" i="17"/>
  <c r="F16" i="17"/>
  <c r="V16" i="17"/>
  <c r="F20" i="17"/>
  <c r="V20" i="17"/>
  <c r="J24" i="17"/>
  <c r="J98" i="18"/>
  <c r="F99" i="18"/>
  <c r="V102" i="18"/>
  <c r="J106" i="18"/>
  <c r="F107" i="18"/>
  <c r="V110" i="18"/>
  <c r="J114" i="18"/>
  <c r="F115" i="18"/>
  <c r="V118" i="18"/>
  <c r="J122" i="18"/>
  <c r="F123" i="18"/>
  <c r="V126" i="18"/>
  <c r="J130" i="18"/>
  <c r="F131" i="18"/>
  <c r="V134" i="18"/>
  <c r="J138" i="18"/>
  <c r="F139" i="18"/>
  <c r="V142" i="18"/>
  <c r="J146" i="18"/>
  <c r="F147" i="18"/>
  <c r="V150" i="18"/>
  <c r="F154" i="18"/>
  <c r="V154" i="18"/>
  <c r="V158" i="18"/>
  <c r="J162" i="18"/>
  <c r="F163" i="18"/>
  <c r="F167" i="18"/>
  <c r="V170" i="18"/>
  <c r="J174" i="18"/>
  <c r="F175" i="18"/>
  <c r="J178" i="18"/>
  <c r="F182" i="18"/>
  <c r="V182" i="18"/>
  <c r="J184" i="18"/>
  <c r="V186" i="18"/>
  <c r="F191" i="18"/>
  <c r="J194" i="18"/>
  <c r="V198" i="18"/>
  <c r="J200" i="18"/>
  <c r="V202" i="18"/>
  <c r="J204" i="18"/>
  <c r="F207" i="18"/>
  <c r="J210" i="18"/>
  <c r="V214" i="18"/>
  <c r="F218" i="18"/>
  <c r="V218" i="18"/>
  <c r="J222" i="18"/>
  <c r="J226" i="18"/>
  <c r="F227" i="18"/>
  <c r="J230" i="18"/>
  <c r="J234" i="18"/>
  <c r="F235" i="18"/>
  <c r="V238" i="18"/>
  <c r="V243" i="18"/>
  <c r="Z246" i="18"/>
  <c r="Z253" i="18"/>
  <c r="J256" i="18"/>
  <c r="N40" i="21"/>
  <c r="D31" i="25"/>
  <c r="J16" i="14"/>
  <c r="F22" i="14"/>
  <c r="J80" i="15"/>
  <c r="V82" i="15"/>
  <c r="J86" i="15"/>
  <c r="V90" i="15"/>
  <c r="J94" i="15"/>
  <c r="V98" i="15"/>
  <c r="J102" i="15"/>
  <c r="V106" i="15"/>
  <c r="J110" i="15"/>
  <c r="V114" i="15"/>
  <c r="J118" i="15"/>
  <c r="V122" i="15"/>
  <c r="J126" i="15"/>
  <c r="J132" i="15"/>
  <c r="J134" i="15"/>
  <c r="V138" i="15"/>
  <c r="J142" i="15"/>
  <c r="J146" i="15"/>
  <c r="V150" i="15"/>
  <c r="J154" i="15"/>
  <c r="V158" i="15"/>
  <c r="J160" i="15"/>
  <c r="J166" i="15"/>
  <c r="J170" i="15"/>
  <c r="V174" i="15"/>
  <c r="J186" i="15"/>
  <c r="V190" i="15"/>
  <c r="V194" i="15"/>
  <c r="J196" i="15"/>
  <c r="V198" i="15"/>
  <c r="V202" i="15"/>
  <c r="V206" i="15"/>
  <c r="V210" i="15"/>
  <c r="J214" i="15"/>
  <c r="V218" i="15"/>
  <c r="J226" i="15"/>
  <c r="J233" i="15"/>
  <c r="V234" i="15"/>
  <c r="J16" i="16"/>
  <c r="J20" i="16"/>
  <c r="J27" i="17"/>
  <c r="J31" i="17"/>
  <c r="J34" i="17"/>
  <c r="F251" i="18"/>
  <c r="F247" i="18"/>
  <c r="F257" i="18"/>
  <c r="F254" i="18"/>
  <c r="F244" i="18"/>
  <c r="F259" i="18"/>
  <c r="F263" i="18"/>
  <c r="F258" i="18"/>
  <c r="F255" i="18"/>
  <c r="F248" i="18"/>
  <c r="F95" i="18"/>
  <c r="V95" i="18"/>
  <c r="J99" i="18"/>
  <c r="F100" i="18"/>
  <c r="V103" i="18"/>
  <c r="J107" i="18"/>
  <c r="F108" i="18"/>
  <c r="V111" i="18"/>
  <c r="J115" i="18"/>
  <c r="F116" i="18"/>
  <c r="V119" i="18"/>
  <c r="J123" i="18"/>
  <c r="F124" i="18"/>
  <c r="V127" i="18"/>
  <c r="J131" i="18"/>
  <c r="F132" i="18"/>
  <c r="V135" i="18"/>
  <c r="J139" i="18"/>
  <c r="F140" i="18"/>
  <c r="V143" i="18"/>
  <c r="J147" i="18"/>
  <c r="F148" i="18"/>
  <c r="F156" i="18"/>
  <c r="V159" i="18"/>
  <c r="J163" i="18"/>
  <c r="F164" i="18"/>
  <c r="J167" i="18"/>
  <c r="F168" i="18"/>
  <c r="V171" i="18"/>
  <c r="J175" i="18"/>
  <c r="F176" i="18"/>
  <c r="F179" i="18"/>
  <c r="V179" i="18"/>
  <c r="V183" i="18"/>
  <c r="F188" i="18"/>
  <c r="J191" i="18"/>
  <c r="F192" i="18"/>
  <c r="F195" i="18"/>
  <c r="V195" i="18"/>
  <c r="J197" i="18"/>
  <c r="V199" i="18"/>
  <c r="V203" i="18"/>
  <c r="J207" i="18"/>
  <c r="F208" i="18"/>
  <c r="F211" i="18"/>
  <c r="V211" i="18"/>
  <c r="J213" i="18"/>
  <c r="V215" i="18"/>
  <c r="V219" i="18"/>
  <c r="F223" i="18"/>
  <c r="V223" i="18"/>
  <c r="J227" i="18"/>
  <c r="F231" i="18"/>
  <c r="V231" i="18"/>
  <c r="J235" i="18"/>
  <c r="F236" i="18"/>
  <c r="V239" i="18"/>
  <c r="V246" i="18"/>
  <c r="L250" i="18"/>
  <c r="N250" i="18" s="1"/>
  <c r="D31" i="23"/>
  <c r="L12" i="14"/>
  <c r="F15" i="14"/>
  <c r="V15" i="14"/>
  <c r="D18" i="14"/>
  <c r="T18" i="14"/>
  <c r="F25" i="14"/>
  <c r="V25" i="14"/>
  <c r="F29" i="14"/>
  <c r="V29" i="14"/>
  <c r="F33" i="14"/>
  <c r="V33" i="14"/>
  <c r="V83" i="15"/>
  <c r="J87" i="15"/>
  <c r="V91" i="15"/>
  <c r="J95" i="15"/>
  <c r="V99" i="15"/>
  <c r="J103" i="15"/>
  <c r="V107" i="15"/>
  <c r="J111" i="15"/>
  <c r="V115" i="15"/>
  <c r="J119" i="15"/>
  <c r="V123" i="15"/>
  <c r="J127" i="15"/>
  <c r="T130" i="15"/>
  <c r="J135" i="15"/>
  <c r="V139" i="15"/>
  <c r="J143" i="15"/>
  <c r="J147" i="15"/>
  <c r="V151" i="15"/>
  <c r="V155" i="15"/>
  <c r="J157" i="15"/>
  <c r="V159" i="15"/>
  <c r="J163" i="15"/>
  <c r="J167" i="15"/>
  <c r="V171" i="15"/>
  <c r="J173" i="15"/>
  <c r="J179" i="15"/>
  <c r="J183" i="15"/>
  <c r="V187" i="15"/>
  <c r="J189" i="15"/>
  <c r="V195" i="15"/>
  <c r="V199" i="15"/>
  <c r="J201" i="15"/>
  <c r="V203" i="15"/>
  <c r="V207" i="15"/>
  <c r="J209" i="15"/>
  <c r="J215" i="15"/>
  <c r="J223" i="15"/>
  <c r="J227" i="15"/>
  <c r="J231" i="15"/>
  <c r="F15" i="16"/>
  <c r="D18" i="16"/>
  <c r="T18" i="16"/>
  <c r="F25" i="16"/>
  <c r="V25" i="16"/>
  <c r="F29" i="16"/>
  <c r="V29" i="16"/>
  <c r="F33" i="16"/>
  <c r="V33" i="16"/>
  <c r="J16" i="17"/>
  <c r="J257" i="18"/>
  <c r="J254" i="18"/>
  <c r="J259" i="18"/>
  <c r="J250" i="18"/>
  <c r="J246" i="18"/>
  <c r="J263" i="18"/>
  <c r="J258" i="18"/>
  <c r="J253" i="18"/>
  <c r="J249" i="18"/>
  <c r="J245" i="18"/>
  <c r="J255" i="18"/>
  <c r="J251" i="18"/>
  <c r="J247" i="18"/>
  <c r="V96" i="18"/>
  <c r="J100" i="18"/>
  <c r="F101" i="18"/>
  <c r="V104" i="18"/>
  <c r="J108" i="18"/>
  <c r="F109" i="18"/>
  <c r="V112" i="18"/>
  <c r="J116" i="18"/>
  <c r="F117" i="18"/>
  <c r="V120" i="18"/>
  <c r="J124" i="18"/>
  <c r="F125" i="18"/>
  <c r="V128" i="18"/>
  <c r="J132" i="18"/>
  <c r="F133" i="18"/>
  <c r="V136" i="18"/>
  <c r="J140" i="18"/>
  <c r="F141" i="18"/>
  <c r="V144" i="18"/>
  <c r="J148" i="18"/>
  <c r="F149" i="18"/>
  <c r="J154" i="18"/>
  <c r="J156" i="18"/>
  <c r="F157" i="18"/>
  <c r="V160" i="18"/>
  <c r="J164" i="18"/>
  <c r="F165" i="18"/>
  <c r="J168" i="18"/>
  <c r="F169" i="18"/>
  <c r="V172" i="18"/>
  <c r="J176" i="18"/>
  <c r="V180" i="18"/>
  <c r="J182" i="18"/>
  <c r="F185" i="18"/>
  <c r="J188" i="18"/>
  <c r="F189" i="18"/>
  <c r="J192" i="18"/>
  <c r="V196" i="18"/>
  <c r="F201" i="18"/>
  <c r="F205" i="18"/>
  <c r="J208" i="18"/>
  <c r="V212" i="18"/>
  <c r="V216" i="18"/>
  <c r="J218" i="18"/>
  <c r="V220" i="18"/>
  <c r="V224" i="18"/>
  <c r="F228" i="18"/>
  <c r="V228" i="18"/>
  <c r="V232" i="18"/>
  <c r="J236" i="18"/>
  <c r="F237" i="18"/>
  <c r="V240" i="18"/>
  <c r="F249" i="18"/>
  <c r="V251" i="18"/>
  <c r="L254" i="18"/>
  <c r="D253" i="18"/>
  <c r="L253" i="18" s="1"/>
  <c r="N253" i="18" s="1"/>
  <c r="Z82" i="21"/>
  <c r="Z89" i="21"/>
  <c r="Z85" i="27"/>
  <c r="N87" i="27"/>
  <c r="R16" i="19"/>
  <c r="J18" i="19"/>
  <c r="R20" i="19"/>
  <c r="V24" i="19"/>
  <c r="J15" i="20"/>
  <c r="H18" i="20"/>
  <c r="F21" i="20"/>
  <c r="V21" i="20"/>
  <c r="J25" i="20"/>
  <c r="R27" i="20"/>
  <c r="J29" i="20"/>
  <c r="R31" i="20"/>
  <c r="J33" i="20"/>
  <c r="R34" i="20"/>
  <c r="J36" i="20"/>
  <c r="P12" i="21"/>
  <c r="V25" i="21"/>
  <c r="V29" i="21"/>
  <c r="V33" i="21"/>
  <c r="J37" i="21"/>
  <c r="J41" i="21"/>
  <c r="V45" i="21"/>
  <c r="J49" i="21"/>
  <c r="V53" i="21"/>
  <c r="J55" i="21"/>
  <c r="J61" i="21"/>
  <c r="V65" i="21"/>
  <c r="J69" i="21"/>
  <c r="V73" i="21"/>
  <c r="V77" i="21"/>
  <c r="J79" i="21"/>
  <c r="V81" i="21"/>
  <c r="V85" i="21"/>
  <c r="J87" i="21"/>
  <c r="V93" i="21"/>
  <c r="V97" i="21"/>
  <c r="V101" i="21"/>
  <c r="J105" i="21"/>
  <c r="V107" i="21"/>
  <c r="J111" i="21"/>
  <c r="J24" i="22"/>
  <c r="J21" i="23"/>
  <c r="F27" i="23"/>
  <c r="V27" i="23"/>
  <c r="F31" i="23"/>
  <c r="V31" i="23"/>
  <c r="F34" i="23"/>
  <c r="V34" i="23"/>
  <c r="V31" i="24"/>
  <c r="J35" i="24"/>
  <c r="V39" i="24"/>
  <c r="J43" i="24"/>
  <c r="V47" i="24"/>
  <c r="J53" i="24"/>
  <c r="V55" i="24"/>
  <c r="J59" i="24"/>
  <c r="V67" i="24"/>
  <c r="J71" i="24"/>
  <c r="J75" i="24"/>
  <c r="V79" i="24"/>
  <c r="V87" i="24"/>
  <c r="J89" i="24"/>
  <c r="V91" i="24"/>
  <c r="V99" i="24"/>
  <c r="J21" i="25"/>
  <c r="F27" i="25"/>
  <c r="V27" i="25"/>
  <c r="F31" i="25"/>
  <c r="V31" i="25"/>
  <c r="F34" i="25"/>
  <c r="V34" i="25"/>
  <c r="R16" i="26"/>
  <c r="J18" i="26"/>
  <c r="R20" i="26"/>
  <c r="F24" i="26"/>
  <c r="V24" i="26"/>
  <c r="V40" i="27"/>
  <c r="J44" i="27"/>
  <c r="V48" i="27"/>
  <c r="J52" i="27"/>
  <c r="T55" i="27"/>
  <c r="V55" i="27" s="1"/>
  <c r="J60" i="27"/>
  <c r="V64" i="27"/>
  <c r="J68" i="27"/>
  <c r="J72" i="27"/>
  <c r="V76" i="27"/>
  <c r="V80" i="27"/>
  <c r="J82" i="27"/>
  <c r="V84" i="27"/>
  <c r="J88" i="27"/>
  <c r="V92" i="27"/>
  <c r="V96" i="27"/>
  <c r="V100" i="27"/>
  <c r="N104" i="27"/>
  <c r="N108" i="27"/>
  <c r="J112" i="27"/>
  <c r="J116" i="27"/>
  <c r="P18" i="28"/>
  <c r="R24" i="28"/>
  <c r="F27" i="28"/>
  <c r="H82" i="30"/>
  <c r="Z146" i="30"/>
  <c r="H130" i="39"/>
  <c r="J32" i="39"/>
  <c r="J21" i="19"/>
  <c r="V27" i="19"/>
  <c r="V31" i="19"/>
  <c r="V34" i="19"/>
  <c r="L15" i="20"/>
  <c r="J18" i="20"/>
  <c r="X21" i="20"/>
  <c r="F24" i="20"/>
  <c r="V24" i="20"/>
  <c r="L25" i="20"/>
  <c r="L29" i="20"/>
  <c r="L33" i="20"/>
  <c r="V34" i="21"/>
  <c r="J38" i="21"/>
  <c r="J42" i="21"/>
  <c r="V46" i="21"/>
  <c r="J50" i="21"/>
  <c r="V54" i="21"/>
  <c r="J58" i="21"/>
  <c r="V62" i="21"/>
  <c r="J64" i="21"/>
  <c r="V70" i="21"/>
  <c r="J72" i="21"/>
  <c r="V78" i="21"/>
  <c r="V86" i="21"/>
  <c r="J90" i="21"/>
  <c r="V94" i="21"/>
  <c r="V98" i="21"/>
  <c r="J100" i="21"/>
  <c r="R25" i="22"/>
  <c r="J27" i="22"/>
  <c r="R29" i="22"/>
  <c r="J31" i="22"/>
  <c r="R33" i="22"/>
  <c r="J34" i="22"/>
  <c r="R36" i="22"/>
  <c r="X13" i="23"/>
  <c r="F16" i="23"/>
  <c r="F20" i="23"/>
  <c r="V20" i="23"/>
  <c r="R22" i="23"/>
  <c r="J24" i="23"/>
  <c r="V32" i="24"/>
  <c r="J36" i="24"/>
  <c r="V40" i="24"/>
  <c r="J44" i="24"/>
  <c r="V48" i="24"/>
  <c r="V52" i="24"/>
  <c r="V56" i="24"/>
  <c r="J60" i="24"/>
  <c r="J64" i="24"/>
  <c r="V68" i="24"/>
  <c r="J72" i="24"/>
  <c r="V76" i="24"/>
  <c r="J78" i="24"/>
  <c r="J84" i="24"/>
  <c r="V88" i="24"/>
  <c r="J96" i="24"/>
  <c r="J104" i="24"/>
  <c r="V106" i="24"/>
  <c r="J110" i="24"/>
  <c r="F16" i="25"/>
  <c r="V16" i="25"/>
  <c r="F20" i="25"/>
  <c r="V20" i="25"/>
  <c r="R22" i="25"/>
  <c r="J24" i="25"/>
  <c r="X12" i="26"/>
  <c r="J21" i="26"/>
  <c r="F27" i="26"/>
  <c r="V27" i="26"/>
  <c r="F31" i="26"/>
  <c r="V31" i="26"/>
  <c r="F34" i="26"/>
  <c r="V34" i="26"/>
  <c r="V41" i="27"/>
  <c r="J45" i="27"/>
  <c r="V49" i="27"/>
  <c r="J53" i="27"/>
  <c r="J61" i="27"/>
  <c r="V65" i="27"/>
  <c r="V69" i="27"/>
  <c r="J73" i="27"/>
  <c r="V77" i="27"/>
  <c r="V81" i="27"/>
  <c r="V89" i="27"/>
  <c r="V93" i="27"/>
  <c r="J95" i="27"/>
  <c r="J105" i="27"/>
  <c r="J109" i="27"/>
  <c r="V113" i="27"/>
  <c r="V117" i="27"/>
  <c r="R18" i="28"/>
  <c r="R20" i="28"/>
  <c r="R16" i="28"/>
  <c r="R31" i="28"/>
  <c r="F34" i="28"/>
  <c r="J34" i="29"/>
  <c r="J31" i="29"/>
  <c r="J27" i="29"/>
  <c r="J36" i="29"/>
  <c r="J33" i="29"/>
  <c r="J29" i="29"/>
  <c r="J25" i="29"/>
  <c r="H18" i="29"/>
  <c r="L18" i="29" s="1"/>
  <c r="J15" i="29"/>
  <c r="J24" i="29"/>
  <c r="V25" i="29"/>
  <c r="J56" i="30"/>
  <c r="J57" i="30"/>
  <c r="J60" i="30"/>
  <c r="J61" i="30"/>
  <c r="J64" i="30"/>
  <c r="J65" i="30"/>
  <c r="J68" i="30"/>
  <c r="J69" i="30"/>
  <c r="J72" i="30"/>
  <c r="J73" i="30"/>
  <c r="J76" i="30"/>
  <c r="J77" i="30"/>
  <c r="N169" i="30"/>
  <c r="V16" i="19"/>
  <c r="V20" i="19"/>
  <c r="R22" i="19"/>
  <c r="J24" i="19"/>
  <c r="X12" i="20"/>
  <c r="J21" i="20"/>
  <c r="F27" i="20"/>
  <c r="V27" i="20"/>
  <c r="F31" i="20"/>
  <c r="V31" i="20"/>
  <c r="F34" i="20"/>
  <c r="V34" i="20"/>
  <c r="J23" i="21"/>
  <c r="J29" i="21"/>
  <c r="J31" i="21"/>
  <c r="V35" i="21"/>
  <c r="J39" i="21"/>
  <c r="J43" i="21"/>
  <c r="V47" i="21"/>
  <c r="V51" i="21"/>
  <c r="J53" i="21"/>
  <c r="J59" i="21"/>
  <c r="V63" i="21"/>
  <c r="J67" i="21"/>
  <c r="V71" i="21"/>
  <c r="J75" i="21"/>
  <c r="J83" i="21"/>
  <c r="J91" i="21"/>
  <c r="V95" i="21"/>
  <c r="J97" i="21"/>
  <c r="V99" i="21"/>
  <c r="J103" i="21"/>
  <c r="J107" i="21"/>
  <c r="J16" i="22"/>
  <c r="J20" i="22"/>
  <c r="F22" i="22"/>
  <c r="V22" i="22"/>
  <c r="P18" i="23"/>
  <c r="R25" i="23"/>
  <c r="J27" i="23"/>
  <c r="R29" i="23"/>
  <c r="J31" i="23"/>
  <c r="R33" i="23"/>
  <c r="J34" i="23"/>
  <c r="R36" i="23"/>
  <c r="J29" i="24"/>
  <c r="V33" i="24"/>
  <c r="J37" i="24"/>
  <c r="V41" i="24"/>
  <c r="J45" i="24"/>
  <c r="V57" i="24"/>
  <c r="J61" i="24"/>
  <c r="J65" i="24"/>
  <c r="V69" i="24"/>
  <c r="J73" i="24"/>
  <c r="V77" i="24"/>
  <c r="J81" i="24"/>
  <c r="V85" i="24"/>
  <c r="J87" i="24"/>
  <c r="J93" i="24"/>
  <c r="J97" i="24"/>
  <c r="J101" i="24"/>
  <c r="R25" i="25"/>
  <c r="J27" i="25"/>
  <c r="R29" i="25"/>
  <c r="J31" i="25"/>
  <c r="R33" i="25"/>
  <c r="J34" i="25"/>
  <c r="R36" i="25"/>
  <c r="J24" i="26"/>
  <c r="J38" i="27"/>
  <c r="V42" i="27"/>
  <c r="J46" i="27"/>
  <c r="V50" i="27"/>
  <c r="H55" i="27"/>
  <c r="J55" i="27" s="1"/>
  <c r="V58" i="27"/>
  <c r="J62" i="27"/>
  <c r="V66" i="27"/>
  <c r="V70" i="27"/>
  <c r="J74" i="27"/>
  <c r="V78" i="27"/>
  <c r="J80" i="27"/>
  <c r="J86" i="27"/>
  <c r="X89" i="27"/>
  <c r="Z89" i="27" s="1"/>
  <c r="V90" i="27"/>
  <c r="J92" i="27"/>
  <c r="V94" i="27"/>
  <c r="J98" i="27"/>
  <c r="J102" i="27"/>
  <c r="J106" i="27"/>
  <c r="J110" i="27"/>
  <c r="V114" i="27"/>
  <c r="J119" i="27"/>
  <c r="N15" i="28"/>
  <c r="F29" i="28"/>
  <c r="L12" i="29"/>
  <c r="L15" i="29"/>
  <c r="V16" i="29"/>
  <c r="T18" i="29"/>
  <c r="V27" i="29"/>
  <c r="L53" i="30"/>
  <c r="N53" i="30" s="1"/>
  <c r="J54" i="30"/>
  <c r="J58" i="30"/>
  <c r="J62" i="30"/>
  <c r="J66" i="30"/>
  <c r="J70" i="30"/>
  <c r="J27" i="19"/>
  <c r="J31" i="19"/>
  <c r="J34" i="19"/>
  <c r="R36" i="19"/>
  <c r="V36" i="21"/>
  <c r="V40" i="21"/>
  <c r="J44" i="21"/>
  <c r="V48" i="21"/>
  <c r="V52" i="21"/>
  <c r="J56" i="21"/>
  <c r="V60" i="21"/>
  <c r="J62" i="21"/>
  <c r="V68" i="21"/>
  <c r="J70" i="21"/>
  <c r="J76" i="21"/>
  <c r="J80" i="21"/>
  <c r="J84" i="21"/>
  <c r="J88" i="21"/>
  <c r="J92" i="21"/>
  <c r="V96" i="21"/>
  <c r="V104" i="21"/>
  <c r="T109" i="21"/>
  <c r="V109" i="21" s="1"/>
  <c r="F33" i="22"/>
  <c r="F36" i="22"/>
  <c r="J16" i="23"/>
  <c r="J20" i="23"/>
  <c r="J30" i="24"/>
  <c r="J38" i="24"/>
  <c r="J46" i="24"/>
  <c r="J52" i="24"/>
  <c r="J54" i="24"/>
  <c r="V58" i="24"/>
  <c r="J62" i="24"/>
  <c r="J66" i="24"/>
  <c r="V70" i="24"/>
  <c r="V74" i="24"/>
  <c r="J76" i="24"/>
  <c r="J82" i="24"/>
  <c r="V86" i="24"/>
  <c r="J90" i="24"/>
  <c r="J94" i="24"/>
  <c r="J98" i="24"/>
  <c r="J102" i="24"/>
  <c r="J106" i="24"/>
  <c r="J16" i="25"/>
  <c r="R18" i="25"/>
  <c r="J20" i="25"/>
  <c r="F22" i="25"/>
  <c r="V22" i="25"/>
  <c r="P18" i="26"/>
  <c r="R25" i="26"/>
  <c r="J27" i="26"/>
  <c r="R29" i="26"/>
  <c r="J31" i="26"/>
  <c r="R33" i="26"/>
  <c r="J34" i="26"/>
  <c r="R36" i="26"/>
  <c r="D12" i="27"/>
  <c r="J39" i="27"/>
  <c r="V43" i="27"/>
  <c r="J47" i="27"/>
  <c r="V51" i="27"/>
  <c r="V59" i="27"/>
  <c r="J63" i="27"/>
  <c r="V67" i="27"/>
  <c r="J69" i="27"/>
  <c r="V71" i="27"/>
  <c r="J75" i="27"/>
  <c r="V79" i="27"/>
  <c r="J83" i="27"/>
  <c r="V87" i="27"/>
  <c r="J89" i="27"/>
  <c r="V91" i="27"/>
  <c r="L92" i="27"/>
  <c r="J99" i="27"/>
  <c r="J103" i="27"/>
  <c r="J107" i="27"/>
  <c r="V111" i="27"/>
  <c r="X12" i="28"/>
  <c r="F16" i="28"/>
  <c r="D18" i="28"/>
  <c r="R25" i="28"/>
  <c r="R33" i="28"/>
  <c r="F36" i="28"/>
  <c r="N12" i="29"/>
  <c r="V18" i="29"/>
  <c r="X20" i="29"/>
  <c r="J21" i="29"/>
  <c r="V22" i="29"/>
  <c r="V29" i="29"/>
  <c r="D12" i="30"/>
  <c r="Z122" i="30"/>
  <c r="R67" i="33"/>
  <c r="R63" i="33"/>
  <c r="R60" i="33"/>
  <c r="R55" i="33"/>
  <c r="R51" i="33"/>
  <c r="R39" i="33"/>
  <c r="R78" i="33"/>
  <c r="R70" i="33"/>
  <c r="R66" i="33"/>
  <c r="R50" i="33"/>
  <c r="R43" i="33"/>
  <c r="R38" i="33"/>
  <c r="R84" i="33"/>
  <c r="R77" i="33"/>
  <c r="R62" i="33"/>
  <c r="R57" i="33"/>
  <c r="R54" i="33"/>
  <c r="R49" i="33"/>
  <c r="R37" i="33"/>
  <c r="R86" i="33"/>
  <c r="R80" i="33"/>
  <c r="R76" i="33"/>
  <c r="R72" i="33"/>
  <c r="R69" i="33"/>
  <c r="R65" i="33"/>
  <c r="R48" i="33"/>
  <c r="R36" i="33"/>
  <c r="R28" i="33"/>
  <c r="X12" i="33"/>
  <c r="R85" i="33"/>
  <c r="R61" i="33"/>
  <c r="R58" i="33"/>
  <c r="R44" i="33"/>
  <c r="R41" i="33"/>
  <c r="R40" i="33"/>
  <c r="R68" i="33"/>
  <c r="R56" i="33"/>
  <c r="R52" i="33"/>
  <c r="R45" i="33"/>
  <c r="R81" i="33"/>
  <c r="R71" i="33"/>
  <c r="R53" i="33"/>
  <c r="R42" i="33"/>
  <c r="R82" i="33"/>
  <c r="R47" i="33"/>
  <c r="R46" i="33"/>
  <c r="R26" i="33"/>
  <c r="R73" i="33"/>
  <c r="R32" i="33"/>
  <c r="R27" i="33"/>
  <c r="R79" i="33"/>
  <c r="R75" i="33"/>
  <c r="R74" i="33"/>
  <c r="R64" i="33"/>
  <c r="R33" i="33"/>
  <c r="R90" i="33"/>
  <c r="R59" i="33"/>
  <c r="R35" i="33"/>
  <c r="R34" i="33"/>
  <c r="P30" i="33"/>
  <c r="R30" i="33" s="1"/>
  <c r="R124" i="39"/>
  <c r="R113" i="39"/>
  <c r="R109" i="39"/>
  <c r="R119" i="39"/>
  <c r="R112" i="39"/>
  <c r="R121" i="39"/>
  <c r="R132" i="39"/>
  <c r="R105" i="39"/>
  <c r="R69" i="39"/>
  <c r="R66" i="39"/>
  <c r="R62" i="39"/>
  <c r="R57" i="39"/>
  <c r="R53" i="39"/>
  <c r="R41" i="39"/>
  <c r="R32" i="39"/>
  <c r="R120" i="39"/>
  <c r="R116" i="39"/>
  <c r="R104" i="39"/>
  <c r="R96" i="39"/>
  <c r="R80" i="39"/>
  <c r="R77" i="39"/>
  <c r="R72" i="39"/>
  <c r="R52" i="39"/>
  <c r="R45" i="39"/>
  <c r="R40" i="39"/>
  <c r="P32" i="39"/>
  <c r="R115" i="39"/>
  <c r="R103" i="39"/>
  <c r="R99" i="39"/>
  <c r="R95" i="39"/>
  <c r="R87" i="39"/>
  <c r="R71" i="39"/>
  <c r="R68" i="39"/>
  <c r="R59" i="39"/>
  <c r="R56" i="39"/>
  <c r="R51" i="39"/>
  <c r="R39" i="39"/>
  <c r="R102" i="39"/>
  <c r="R98" i="39"/>
  <c r="R94" i="39"/>
  <c r="R90" i="39"/>
  <c r="R86" i="39"/>
  <c r="R82" i="39"/>
  <c r="R79" i="39"/>
  <c r="R74" i="39"/>
  <c r="R50" i="39"/>
  <c r="R38" i="39"/>
  <c r="R30" i="39"/>
  <c r="X12" i="39"/>
  <c r="R128" i="39"/>
  <c r="R101" i="39"/>
  <c r="R125" i="39"/>
  <c r="R118" i="39"/>
  <c r="R114" i="39"/>
  <c r="R107" i="39"/>
  <c r="R100" i="39"/>
  <c r="R88" i="39"/>
  <c r="R67" i="39"/>
  <c r="R63" i="39"/>
  <c r="R60" i="39"/>
  <c r="R55" i="39"/>
  <c r="R47" i="39"/>
  <c r="R43" i="39"/>
  <c r="R85" i="39"/>
  <c r="R84" i="39"/>
  <c r="R65" i="39"/>
  <c r="R64" i="39"/>
  <c r="R44" i="39"/>
  <c r="R37" i="39"/>
  <c r="R36" i="39"/>
  <c r="R122" i="39"/>
  <c r="R75" i="39"/>
  <c r="R29" i="39"/>
  <c r="R28" i="39"/>
  <c r="R126" i="39"/>
  <c r="R111" i="39"/>
  <c r="R108" i="39"/>
  <c r="R91" i="39"/>
  <c r="R78" i="39"/>
  <c r="R81" i="39"/>
  <c r="R76" i="39"/>
  <c r="R70" i="39"/>
  <c r="R49" i="39"/>
  <c r="R48" i="39"/>
  <c r="R42" i="39"/>
  <c r="R127" i="39"/>
  <c r="R117" i="39"/>
  <c r="R97" i="39"/>
  <c r="R93" i="39"/>
  <c r="R92" i="39"/>
  <c r="R61" i="39"/>
  <c r="R54" i="39"/>
  <c r="R106" i="39"/>
  <c r="R34" i="39"/>
  <c r="R73" i="39"/>
  <c r="R58" i="39"/>
  <c r="R35" i="39"/>
  <c r="R110" i="39"/>
  <c r="R89" i="39"/>
  <c r="R83" i="39"/>
  <c r="R46" i="39"/>
  <c r="R27" i="39"/>
  <c r="J16" i="19"/>
  <c r="J20" i="19"/>
  <c r="P18" i="20"/>
  <c r="R25" i="20"/>
  <c r="J27" i="20"/>
  <c r="R29" i="20"/>
  <c r="J31" i="20"/>
  <c r="R33" i="20"/>
  <c r="J34" i="20"/>
  <c r="R36" i="20"/>
  <c r="D12" i="21"/>
  <c r="V27" i="21"/>
  <c r="J33" i="21"/>
  <c r="V37" i="21"/>
  <c r="V41" i="21"/>
  <c r="J45" i="21"/>
  <c r="V49" i="21"/>
  <c r="J51" i="21"/>
  <c r="V57" i="21"/>
  <c r="V61" i="21"/>
  <c r="J65" i="21"/>
  <c r="V69" i="21"/>
  <c r="J73" i="21"/>
  <c r="J77" i="21"/>
  <c r="J81" i="21"/>
  <c r="J85" i="21"/>
  <c r="V89" i="21"/>
  <c r="J93" i="21"/>
  <c r="J101" i="21"/>
  <c r="V105" i="21"/>
  <c r="V111" i="21"/>
  <c r="F36" i="23"/>
  <c r="J31" i="24"/>
  <c r="J39" i="24"/>
  <c r="J47" i="24"/>
  <c r="T50" i="24"/>
  <c r="J55" i="24"/>
  <c r="V59" i="24"/>
  <c r="V63" i="24"/>
  <c r="J67" i="24"/>
  <c r="V71" i="24"/>
  <c r="V75" i="24"/>
  <c r="J79" i="24"/>
  <c r="V83" i="24"/>
  <c r="J85" i="24"/>
  <c r="J91" i="24"/>
  <c r="V95" i="24"/>
  <c r="J99" i="24"/>
  <c r="V103" i="24"/>
  <c r="J16" i="26"/>
  <c r="J20" i="26"/>
  <c r="J40" i="27"/>
  <c r="J48" i="27"/>
  <c r="J58" i="27"/>
  <c r="V60" i="27"/>
  <c r="J64" i="27"/>
  <c r="V68" i="27"/>
  <c r="V72" i="27"/>
  <c r="J76" i="27"/>
  <c r="J84" i="27"/>
  <c r="V88" i="27"/>
  <c r="J96" i="27"/>
  <c r="J100" i="27"/>
  <c r="V104" i="27"/>
  <c r="V108" i="27"/>
  <c r="V112" i="27"/>
  <c r="J117" i="27"/>
  <c r="V118" i="27"/>
  <c r="J123" i="27"/>
  <c r="R15" i="28"/>
  <c r="F18" i="28"/>
  <c r="J16" i="29"/>
  <c r="V31" i="29"/>
  <c r="J167" i="30"/>
  <c r="J161" i="30"/>
  <c r="J151" i="30"/>
  <c r="J147" i="30"/>
  <c r="J143" i="30"/>
  <c r="J139" i="30"/>
  <c r="J135" i="30"/>
  <c r="J123" i="30"/>
  <c r="J117" i="30"/>
  <c r="J111" i="30"/>
  <c r="J99" i="30"/>
  <c r="J87" i="30"/>
  <c r="J79" i="30"/>
  <c r="J71" i="30"/>
  <c r="J63" i="30"/>
  <c r="J55" i="30"/>
  <c r="J173" i="30"/>
  <c r="J150" i="30"/>
  <c r="J132" i="30"/>
  <c r="J126" i="30"/>
  <c r="J114" i="30"/>
  <c r="J108" i="30"/>
  <c r="J98" i="30"/>
  <c r="J94" i="30"/>
  <c r="J86" i="30"/>
  <c r="J84" i="30"/>
  <c r="J78" i="30"/>
  <c r="J170" i="30"/>
  <c r="J163" i="30"/>
  <c r="J157" i="30"/>
  <c r="J129" i="30"/>
  <c r="J119" i="30"/>
  <c r="J113" i="30"/>
  <c r="J105" i="30"/>
  <c r="J97" i="30"/>
  <c r="J93" i="30"/>
  <c r="J166" i="30"/>
  <c r="J160" i="30"/>
  <c r="J156" i="30"/>
  <c r="J146" i="30"/>
  <c r="J142" i="30"/>
  <c r="J138" i="30"/>
  <c r="J134" i="30"/>
  <c r="J128" i="30"/>
  <c r="J122" i="30"/>
  <c r="J116" i="30"/>
  <c r="J110" i="30"/>
  <c r="J104" i="30"/>
  <c r="J96" i="30"/>
  <c r="J92" i="30"/>
  <c r="J177" i="30"/>
  <c r="J172" i="30"/>
  <c r="J159" i="30"/>
  <c r="J155" i="30"/>
  <c r="J149" i="30"/>
  <c r="J131" i="30"/>
  <c r="J125" i="30"/>
  <c r="J107" i="30"/>
  <c r="J103" i="30"/>
  <c r="J91" i="30"/>
  <c r="J85" i="30"/>
  <c r="J75" i="30"/>
  <c r="J67" i="30"/>
  <c r="J59" i="30"/>
  <c r="J53" i="30"/>
  <c r="J162" i="30"/>
  <c r="J154" i="30"/>
  <c r="J118" i="30"/>
  <c r="J112" i="30"/>
  <c r="J102" i="30"/>
  <c r="J90" i="30"/>
  <c r="J82" i="30"/>
  <c r="J169" i="30"/>
  <c r="J165" i="30"/>
  <c r="J153" i="30"/>
  <c r="J145" i="30"/>
  <c r="J141" i="30"/>
  <c r="J137" i="30"/>
  <c r="J133" i="30"/>
  <c r="J127" i="30"/>
  <c r="J121" i="30"/>
  <c r="J115" i="30"/>
  <c r="J109" i="30"/>
  <c r="J101" i="30"/>
  <c r="J95" i="30"/>
  <c r="J171" i="30"/>
  <c r="J164" i="30"/>
  <c r="J158" i="30"/>
  <c r="J152" i="30"/>
  <c r="J148" i="30"/>
  <c r="J144" i="30"/>
  <c r="J140" i="30"/>
  <c r="J136" i="30"/>
  <c r="J130" i="30"/>
  <c r="J124" i="30"/>
  <c r="J120" i="30"/>
  <c r="J106" i="30"/>
  <c r="J100" i="30"/>
  <c r="J88" i="30"/>
  <c r="J80" i="30"/>
  <c r="L13" i="30"/>
  <c r="N13" i="30" s="1"/>
  <c r="V56" i="30"/>
  <c r="V60" i="30"/>
  <c r="V64" i="30"/>
  <c r="V68" i="30"/>
  <c r="V72" i="30"/>
  <c r="V76" i="30"/>
  <c r="V77" i="30"/>
  <c r="J89" i="30"/>
  <c r="Z166" i="30"/>
  <c r="H92" i="33"/>
  <c r="J92" i="33" s="1"/>
  <c r="J88" i="33"/>
  <c r="V15" i="19"/>
  <c r="T18" i="19"/>
  <c r="R21" i="19"/>
  <c r="V25" i="19"/>
  <c r="V29" i="19"/>
  <c r="V33" i="19"/>
  <c r="V36" i="19"/>
  <c r="J16" i="20"/>
  <c r="R18" i="20"/>
  <c r="J20" i="20"/>
  <c r="F22" i="20"/>
  <c r="V22" i="20"/>
  <c r="V22" i="21"/>
  <c r="H27" i="21"/>
  <c r="V30" i="21"/>
  <c r="J34" i="21"/>
  <c r="V38" i="21"/>
  <c r="J40" i="21"/>
  <c r="V42" i="21"/>
  <c r="J46" i="21"/>
  <c r="V50" i="21"/>
  <c r="J54" i="21"/>
  <c r="V58" i="21"/>
  <c r="J60" i="21"/>
  <c r="V66" i="21"/>
  <c r="J68" i="21"/>
  <c r="V74" i="21"/>
  <c r="J78" i="21"/>
  <c r="V82" i="21"/>
  <c r="J86" i="21"/>
  <c r="V90" i="21"/>
  <c r="J94" i="21"/>
  <c r="J98" i="21"/>
  <c r="V102" i="21"/>
  <c r="J104" i="21"/>
  <c r="J15" i="22"/>
  <c r="H18" i="22"/>
  <c r="F21" i="22"/>
  <c r="V21" i="22"/>
  <c r="J25" i="22"/>
  <c r="R27" i="22"/>
  <c r="J29" i="22"/>
  <c r="R31" i="22"/>
  <c r="J33" i="22"/>
  <c r="R34" i="22"/>
  <c r="J36" i="22"/>
  <c r="N12" i="23"/>
  <c r="F18" i="23"/>
  <c r="V18" i="23"/>
  <c r="J22" i="23"/>
  <c r="R24" i="23"/>
  <c r="N12" i="24"/>
  <c r="X15" i="24"/>
  <c r="V28" i="24"/>
  <c r="J32" i="24"/>
  <c r="V36" i="24"/>
  <c r="J40" i="24"/>
  <c r="V44" i="24"/>
  <c r="J48" i="24"/>
  <c r="V50" i="24"/>
  <c r="J56" i="24"/>
  <c r="V60" i="24"/>
  <c r="V64" i="24"/>
  <c r="J68" i="24"/>
  <c r="V72" i="24"/>
  <c r="J74" i="24"/>
  <c r="V80" i="24"/>
  <c r="V84" i="24"/>
  <c r="J88" i="24"/>
  <c r="V92" i="24"/>
  <c r="V96" i="24"/>
  <c r="V100" i="24"/>
  <c r="V104" i="24"/>
  <c r="V110" i="24"/>
  <c r="N12" i="25"/>
  <c r="F18" i="25"/>
  <c r="V18" i="25"/>
  <c r="J22" i="25"/>
  <c r="R24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V37" i="27"/>
  <c r="J41" i="27"/>
  <c r="V45" i="27"/>
  <c r="J49" i="27"/>
  <c r="V53" i="27"/>
  <c r="V57" i="27"/>
  <c r="V61" i="27"/>
  <c r="J65" i="27"/>
  <c r="V73" i="27"/>
  <c r="J77" i="27"/>
  <c r="J81" i="27"/>
  <c r="V85" i="27"/>
  <c r="J87" i="27"/>
  <c r="J93" i="27"/>
  <c r="V97" i="27"/>
  <c r="V101" i="27"/>
  <c r="V105" i="27"/>
  <c r="V109" i="27"/>
  <c r="J111" i="27"/>
  <c r="F22" i="28"/>
  <c r="F24" i="28"/>
  <c r="F20" i="28"/>
  <c r="R21" i="28"/>
  <c r="R27" i="28"/>
  <c r="V33" i="29"/>
  <c r="X14" i="30"/>
  <c r="P12" i="30"/>
  <c r="Z53" i="30"/>
  <c r="V57" i="30"/>
  <c r="V61" i="30"/>
  <c r="V65" i="30"/>
  <c r="V69" i="30"/>
  <c r="V73" i="30"/>
  <c r="V85" i="30"/>
  <c r="Z134" i="30"/>
  <c r="Z161" i="30"/>
  <c r="N163" i="30"/>
  <c r="N12" i="19"/>
  <c r="V18" i="19"/>
  <c r="J22" i="19"/>
  <c r="R24" i="19"/>
  <c r="L12" i="20"/>
  <c r="F15" i="20"/>
  <c r="V15" i="20"/>
  <c r="D18" i="20"/>
  <c r="T18" i="20"/>
  <c r="R21" i="20"/>
  <c r="F25" i="20"/>
  <c r="V25" i="20"/>
  <c r="F29" i="20"/>
  <c r="V29" i="20"/>
  <c r="F33" i="20"/>
  <c r="V33" i="20"/>
  <c r="F36" i="20"/>
  <c r="V36" i="20"/>
  <c r="V23" i="21"/>
  <c r="J27" i="21"/>
  <c r="V31" i="21"/>
  <c r="J35" i="21"/>
  <c r="V39" i="21"/>
  <c r="V43" i="21"/>
  <c r="J47" i="21"/>
  <c r="V55" i="21"/>
  <c r="J57" i="21"/>
  <c r="V59" i="21"/>
  <c r="J63" i="21"/>
  <c r="V67" i="21"/>
  <c r="J71" i="21"/>
  <c r="V75" i="21"/>
  <c r="V79" i="21"/>
  <c r="V83" i="21"/>
  <c r="V87" i="21"/>
  <c r="J89" i="21"/>
  <c r="V91" i="21"/>
  <c r="J95" i="21"/>
  <c r="J99" i="21"/>
  <c r="V103" i="21"/>
  <c r="R16" i="22"/>
  <c r="J18" i="22"/>
  <c r="F24" i="22"/>
  <c r="V24" i="22"/>
  <c r="D27" i="22"/>
  <c r="J15" i="23"/>
  <c r="H18" i="23"/>
  <c r="F21" i="23"/>
  <c r="V21" i="23"/>
  <c r="J25" i="23"/>
  <c r="R27" i="23"/>
  <c r="J29" i="23"/>
  <c r="R31" i="23"/>
  <c r="J33" i="23"/>
  <c r="R34" i="23"/>
  <c r="J36" i="23"/>
  <c r="V29" i="24"/>
  <c r="J33" i="24"/>
  <c r="V37" i="24"/>
  <c r="J41" i="24"/>
  <c r="V45" i="24"/>
  <c r="H50" i="24"/>
  <c r="V53" i="24"/>
  <c r="J57" i="24"/>
  <c r="V61" i="24"/>
  <c r="J63" i="24"/>
  <c r="V65" i="24"/>
  <c r="J69" i="24"/>
  <c r="V73" i="24"/>
  <c r="J77" i="24"/>
  <c r="V81" i="24"/>
  <c r="J83" i="24"/>
  <c r="V89" i="24"/>
  <c r="V93" i="24"/>
  <c r="J95" i="24"/>
  <c r="V97" i="24"/>
  <c r="V101" i="24"/>
  <c r="J103" i="24"/>
  <c r="J15" i="25"/>
  <c r="H18" i="25"/>
  <c r="F21" i="25"/>
  <c r="V21" i="25"/>
  <c r="J25" i="25"/>
  <c r="R27" i="25"/>
  <c r="J29" i="25"/>
  <c r="R31" i="25"/>
  <c r="J33" i="25"/>
  <c r="R34" i="25"/>
  <c r="J36" i="25"/>
  <c r="N12" i="26"/>
  <c r="F18" i="26"/>
  <c r="V18" i="26"/>
  <c r="J22" i="26"/>
  <c r="R24" i="26"/>
  <c r="X37" i="27"/>
  <c r="Z37" i="27" s="1"/>
  <c r="V38" i="27"/>
  <c r="J42" i="27"/>
  <c r="V46" i="27"/>
  <c r="J50" i="27"/>
  <c r="V62" i="27"/>
  <c r="J66" i="27"/>
  <c r="J70" i="27"/>
  <c r="V74" i="27"/>
  <c r="J78" i="27"/>
  <c r="V82" i="27"/>
  <c r="V86" i="27"/>
  <c r="J90" i="27"/>
  <c r="J94" i="27"/>
  <c r="V98" i="27"/>
  <c r="V102" i="27"/>
  <c r="J104" i="27"/>
  <c r="V106" i="27"/>
  <c r="J108" i="27"/>
  <c r="V110" i="27"/>
  <c r="L111" i="27"/>
  <c r="J114" i="27"/>
  <c r="V116" i="27"/>
  <c r="F25" i="28"/>
  <c r="F33" i="28"/>
  <c r="R34" i="28"/>
  <c r="X12" i="29"/>
  <c r="V15" i="29"/>
  <c r="J18" i="29"/>
  <c r="V20" i="29"/>
  <c r="J22" i="29"/>
  <c r="L24" i="29"/>
  <c r="V24" i="29"/>
  <c r="V34" i="29"/>
  <c r="V53" i="30"/>
  <c r="V54" i="30"/>
  <c r="V58" i="30"/>
  <c r="V62" i="30"/>
  <c r="V66" i="30"/>
  <c r="V70" i="30"/>
  <c r="J15" i="19"/>
  <c r="H18" i="19"/>
  <c r="J25" i="19"/>
  <c r="R27" i="19"/>
  <c r="J29" i="19"/>
  <c r="R31" i="19"/>
  <c r="J33" i="19"/>
  <c r="V24" i="21"/>
  <c r="J30" i="21"/>
  <c r="V32" i="21"/>
  <c r="J36" i="21"/>
  <c r="V44" i="21"/>
  <c r="J48" i="21"/>
  <c r="J52" i="21"/>
  <c r="V56" i="21"/>
  <c r="V64" i="21"/>
  <c r="J66" i="21"/>
  <c r="V72" i="21"/>
  <c r="J74" i="21"/>
  <c r="V76" i="21"/>
  <c r="V80" i="21"/>
  <c r="J82" i="21"/>
  <c r="V84" i="21"/>
  <c r="V88" i="21"/>
  <c r="V92" i="21"/>
  <c r="J96" i="21"/>
  <c r="X12" i="22"/>
  <c r="F27" i="22"/>
  <c r="V27" i="22"/>
  <c r="F31" i="22"/>
  <c r="V31" i="22"/>
  <c r="R16" i="23"/>
  <c r="J28" i="24"/>
  <c r="V30" i="24"/>
  <c r="J34" i="24"/>
  <c r="V38" i="24"/>
  <c r="J42" i="24"/>
  <c r="V46" i="24"/>
  <c r="J50" i="24"/>
  <c r="V54" i="24"/>
  <c r="J58" i="24"/>
  <c r="V62" i="24"/>
  <c r="V66" i="24"/>
  <c r="J70" i="24"/>
  <c r="V78" i="24"/>
  <c r="J80" i="24"/>
  <c r="V82" i="24"/>
  <c r="J86" i="24"/>
  <c r="V90" i="24"/>
  <c r="J92" i="24"/>
  <c r="V94" i="24"/>
  <c r="V98" i="24"/>
  <c r="J100" i="24"/>
  <c r="R16" i="25"/>
  <c r="J15" i="26"/>
  <c r="H18" i="26"/>
  <c r="J25" i="26"/>
  <c r="R27" i="26"/>
  <c r="J29" i="26"/>
  <c r="R31" i="26"/>
  <c r="J33" i="26"/>
  <c r="P12" i="27"/>
  <c r="J37" i="27"/>
  <c r="V39" i="27"/>
  <c r="J43" i="27"/>
  <c r="V47" i="27"/>
  <c r="J51" i="27"/>
  <c r="J57" i="27"/>
  <c r="J59" i="27"/>
  <c r="V63" i="27"/>
  <c r="J67" i="27"/>
  <c r="J71" i="27"/>
  <c r="V75" i="27"/>
  <c r="J79" i="27"/>
  <c r="V83" i="27"/>
  <c r="J85" i="27"/>
  <c r="J91" i="27"/>
  <c r="V95" i="27"/>
  <c r="J97" i="27"/>
  <c r="V99" i="27"/>
  <c r="J101" i="27"/>
  <c r="V103" i="27"/>
  <c r="V107" i="27"/>
  <c r="J118" i="27"/>
  <c r="V119" i="27"/>
  <c r="L12" i="28"/>
  <c r="F15" i="28"/>
  <c r="F21" i="28"/>
  <c r="R22" i="28"/>
  <c r="R29" i="28"/>
  <c r="Z12" i="29"/>
  <c r="X15" i="29"/>
  <c r="X16" i="29"/>
  <c r="N22" i="29"/>
  <c r="X34" i="29"/>
  <c r="V36" i="29"/>
  <c r="V177" i="30"/>
  <c r="V169" i="30"/>
  <c r="V159" i="30"/>
  <c r="V155" i="30"/>
  <c r="V131" i="30"/>
  <c r="V127" i="30"/>
  <c r="V115" i="30"/>
  <c r="V107" i="30"/>
  <c r="V103" i="30"/>
  <c r="V95" i="30"/>
  <c r="V91" i="30"/>
  <c r="T82" i="30"/>
  <c r="V75" i="30"/>
  <c r="V67" i="30"/>
  <c r="V59" i="30"/>
  <c r="V162" i="30"/>
  <c r="V158" i="30"/>
  <c r="V154" i="30"/>
  <c r="V130" i="30"/>
  <c r="V118" i="30"/>
  <c r="V106" i="30"/>
  <c r="V102" i="30"/>
  <c r="V90" i="30"/>
  <c r="V171" i="30"/>
  <c r="V165" i="30"/>
  <c r="V161" i="30"/>
  <c r="V153" i="30"/>
  <c r="V145" i="30"/>
  <c r="V141" i="30"/>
  <c r="V137" i="30"/>
  <c r="V133" i="30"/>
  <c r="V121" i="30"/>
  <c r="V117" i="30"/>
  <c r="V109" i="30"/>
  <c r="V101" i="30"/>
  <c r="V89" i="30"/>
  <c r="V164" i="30"/>
  <c r="V152" i="30"/>
  <c r="V148" i="30"/>
  <c r="V144" i="30"/>
  <c r="V140" i="30"/>
  <c r="V136" i="30"/>
  <c r="V132" i="30"/>
  <c r="V124" i="30"/>
  <c r="V120" i="30"/>
  <c r="V108" i="30"/>
  <c r="V100" i="30"/>
  <c r="V88" i="30"/>
  <c r="V84" i="30"/>
  <c r="V80" i="30"/>
  <c r="V173" i="30"/>
  <c r="V167" i="30"/>
  <c r="V163" i="30"/>
  <c r="V151" i="30"/>
  <c r="V147" i="30"/>
  <c r="V143" i="30"/>
  <c r="V139" i="30"/>
  <c r="V135" i="30"/>
  <c r="V123" i="30"/>
  <c r="V119" i="30"/>
  <c r="V111" i="30"/>
  <c r="V99" i="30"/>
  <c r="V87" i="30"/>
  <c r="V79" i="30"/>
  <c r="V71" i="30"/>
  <c r="V63" i="30"/>
  <c r="V55" i="30"/>
  <c r="V170" i="30"/>
  <c r="V166" i="30"/>
  <c r="V150" i="30"/>
  <c r="V146" i="30"/>
  <c r="V142" i="30"/>
  <c r="V138" i="30"/>
  <c r="V134" i="30"/>
  <c r="V126" i="30"/>
  <c r="V122" i="30"/>
  <c r="V114" i="30"/>
  <c r="V110" i="30"/>
  <c r="V98" i="30"/>
  <c r="V94" i="30"/>
  <c r="V86" i="30"/>
  <c r="V78" i="30"/>
  <c r="V157" i="30"/>
  <c r="V149" i="30"/>
  <c r="V129" i="30"/>
  <c r="V125" i="30"/>
  <c r="V113" i="30"/>
  <c r="V105" i="30"/>
  <c r="V97" i="30"/>
  <c r="V172" i="30"/>
  <c r="V160" i="30"/>
  <c r="V156" i="30"/>
  <c r="V128" i="30"/>
  <c r="V116" i="30"/>
  <c r="V112" i="30"/>
  <c r="V104" i="30"/>
  <c r="V96" i="30"/>
  <c r="V92" i="30"/>
  <c r="V82" i="30"/>
  <c r="V93" i="30"/>
  <c r="J15" i="31"/>
  <c r="H18" i="31"/>
  <c r="F21" i="31"/>
  <c r="V21" i="31"/>
  <c r="J25" i="31"/>
  <c r="R27" i="31"/>
  <c r="J29" i="31"/>
  <c r="R31" i="31"/>
  <c r="J33" i="31"/>
  <c r="R34" i="31"/>
  <c r="J36" i="31"/>
  <c r="N12" i="32"/>
  <c r="V18" i="32"/>
  <c r="J22" i="32"/>
  <c r="R24" i="32"/>
  <c r="R31" i="32"/>
  <c r="J33" i="32"/>
  <c r="R36" i="32"/>
  <c r="V40" i="33"/>
  <c r="V41" i="33"/>
  <c r="V44" i="33"/>
  <c r="V51" i="33"/>
  <c r="N58" i="33"/>
  <c r="V67" i="33"/>
  <c r="N73" i="33"/>
  <c r="X79" i="33"/>
  <c r="V85" i="33"/>
  <c r="R33" i="36"/>
  <c r="R45" i="36"/>
  <c r="N55" i="36"/>
  <c r="R56" i="36"/>
  <c r="X67" i="36"/>
  <c r="Z67" i="36" s="1"/>
  <c r="Z77" i="36"/>
  <c r="R89" i="36"/>
  <c r="L24" i="37"/>
  <c r="N29" i="37"/>
  <c r="V36" i="39"/>
  <c r="V44" i="39"/>
  <c r="V64" i="39"/>
  <c r="X73" i="39"/>
  <c r="V75" i="39"/>
  <c r="V77" i="39"/>
  <c r="V84" i="39"/>
  <c r="V125" i="39"/>
  <c r="P117" i="42"/>
  <c r="X117" i="42" s="1"/>
  <c r="Z117" i="42" s="1"/>
  <c r="X118" i="42"/>
  <c r="Z118" i="42" s="1"/>
  <c r="Z22" i="47"/>
  <c r="X22" i="47"/>
  <c r="F24" i="31"/>
  <c r="V24" i="31"/>
  <c r="J25" i="32"/>
  <c r="R27" i="32"/>
  <c r="J29" i="32"/>
  <c r="V34" i="32"/>
  <c r="V36" i="32"/>
  <c r="T30" i="33"/>
  <c r="V34" i="33"/>
  <c r="V43" i="33"/>
  <c r="J34" i="35"/>
  <c r="J31" i="35"/>
  <c r="J27" i="35"/>
  <c r="J24" i="35"/>
  <c r="J21" i="35"/>
  <c r="J18" i="35"/>
  <c r="L12" i="35"/>
  <c r="J15" i="35"/>
  <c r="R130" i="36"/>
  <c r="R112" i="36"/>
  <c r="R108" i="36"/>
  <c r="R100" i="36"/>
  <c r="R96" i="36"/>
  <c r="R92" i="36"/>
  <c r="R88" i="36"/>
  <c r="R84" i="36"/>
  <c r="R80" i="36"/>
  <c r="R77" i="36"/>
  <c r="R72" i="36"/>
  <c r="R69" i="36"/>
  <c r="R64" i="36"/>
  <c r="R60" i="36"/>
  <c r="R57" i="36"/>
  <c r="R52" i="36"/>
  <c r="R44" i="36"/>
  <c r="R40" i="36"/>
  <c r="R32" i="36"/>
  <c r="R24" i="36"/>
  <c r="R111" i="36"/>
  <c r="R107" i="36"/>
  <c r="R99" i="36"/>
  <c r="R91" i="36"/>
  <c r="R87" i="36"/>
  <c r="R83" i="36"/>
  <c r="R51" i="36"/>
  <c r="R43" i="36"/>
  <c r="R39" i="36"/>
  <c r="R124" i="36"/>
  <c r="R118" i="36"/>
  <c r="R114" i="36"/>
  <c r="R106" i="36"/>
  <c r="R95" i="36"/>
  <c r="R90" i="36"/>
  <c r="R82" i="36"/>
  <c r="R79" i="36"/>
  <c r="R74" i="36"/>
  <c r="R71" i="36"/>
  <c r="R66" i="36"/>
  <c r="R63" i="36"/>
  <c r="R59" i="36"/>
  <c r="R54" i="36"/>
  <c r="R50" i="36"/>
  <c r="R38" i="36"/>
  <c r="R31" i="36"/>
  <c r="R23" i="36"/>
  <c r="X12" i="36"/>
  <c r="Z12" i="36" s="1"/>
  <c r="R117" i="36"/>
  <c r="R110" i="36"/>
  <c r="R105" i="36"/>
  <c r="R98" i="36"/>
  <c r="R86" i="36"/>
  <c r="R49" i="36"/>
  <c r="R42" i="36"/>
  <c r="R37" i="36"/>
  <c r="R119" i="36"/>
  <c r="R115" i="36"/>
  <c r="R102" i="36"/>
  <c r="R94" i="36"/>
  <c r="R78" i="36"/>
  <c r="R75" i="36"/>
  <c r="R70" i="36"/>
  <c r="R67" i="36"/>
  <c r="R62" i="36"/>
  <c r="R58" i="36"/>
  <c r="R55" i="36"/>
  <c r="R46" i="36"/>
  <c r="R34" i="36"/>
  <c r="R26" i="36"/>
  <c r="R25" i="36"/>
  <c r="X55" i="36"/>
  <c r="R61" i="36"/>
  <c r="N73" i="36"/>
  <c r="R85" i="36"/>
  <c r="P122" i="36"/>
  <c r="X122" i="36" s="1"/>
  <c r="Z122" i="36" s="1"/>
  <c r="V57" i="39"/>
  <c r="X88" i="39"/>
  <c r="Z88" i="39" s="1"/>
  <c r="D31" i="41"/>
  <c r="L95" i="30"/>
  <c r="N95" i="30" s="1"/>
  <c r="X125" i="30"/>
  <c r="Z125" i="30" s="1"/>
  <c r="L127" i="30"/>
  <c r="N127" i="30" s="1"/>
  <c r="X12" i="31"/>
  <c r="J21" i="31"/>
  <c r="F27" i="31"/>
  <c r="V27" i="31"/>
  <c r="F31" i="31"/>
  <c r="V31" i="31"/>
  <c r="F34" i="31"/>
  <c r="V34" i="31"/>
  <c r="R16" i="32"/>
  <c r="J18" i="32"/>
  <c r="R20" i="32"/>
  <c r="F24" i="32"/>
  <c r="V24" i="32"/>
  <c r="V31" i="32"/>
  <c r="F34" i="32"/>
  <c r="X13" i="33"/>
  <c r="Z13" i="33" s="1"/>
  <c r="V39" i="33"/>
  <c r="Z58" i="33"/>
  <c r="V74" i="33"/>
  <c r="Z79" i="33"/>
  <c r="R18" i="34"/>
  <c r="R36" i="34"/>
  <c r="R33" i="34"/>
  <c r="R29" i="34"/>
  <c r="R25" i="34"/>
  <c r="P18" i="34"/>
  <c r="R15" i="34"/>
  <c r="R22" i="34"/>
  <c r="X12" i="34"/>
  <c r="R24" i="34"/>
  <c r="R20" i="34"/>
  <c r="R21" i="34"/>
  <c r="D27" i="34"/>
  <c r="N12" i="35"/>
  <c r="J20" i="35"/>
  <c r="J29" i="35"/>
  <c r="L23" i="36"/>
  <c r="N23" i="36" s="1"/>
  <c r="R41" i="36"/>
  <c r="Z55" i="36"/>
  <c r="R81" i="36"/>
  <c r="R101" i="36"/>
  <c r="R109" i="36"/>
  <c r="R116" i="36"/>
  <c r="R123" i="36"/>
  <c r="R18" i="38"/>
  <c r="R36" i="38"/>
  <c r="R33" i="38"/>
  <c r="R29" i="38"/>
  <c r="R25" i="38"/>
  <c r="P18" i="38"/>
  <c r="R15" i="38"/>
  <c r="R22" i="38"/>
  <c r="X12" i="38"/>
  <c r="R24" i="38"/>
  <c r="R16" i="38"/>
  <c r="Z73" i="39"/>
  <c r="V83" i="39"/>
  <c r="X124" i="39"/>
  <c r="Z124" i="39" s="1"/>
  <c r="L20" i="44"/>
  <c r="N20" i="44"/>
  <c r="L60" i="45"/>
  <c r="N60" i="45" s="1"/>
  <c r="L80" i="45"/>
  <c r="N80" i="45" s="1"/>
  <c r="V21" i="47"/>
  <c r="V18" i="47"/>
  <c r="V36" i="47"/>
  <c r="V33" i="47"/>
  <c r="V29" i="47"/>
  <c r="V25" i="47"/>
  <c r="T18" i="47"/>
  <c r="V15" i="47"/>
  <c r="V22" i="47"/>
  <c r="V20" i="47"/>
  <c r="V16" i="47"/>
  <c r="Z12" i="47"/>
  <c r="V34" i="47"/>
  <c r="V31" i="47"/>
  <c r="V27" i="47"/>
  <c r="L106" i="51"/>
  <c r="D105" i="51"/>
  <c r="L105" i="51" s="1"/>
  <c r="N105" i="51" s="1"/>
  <c r="J18" i="28"/>
  <c r="V24" i="28"/>
  <c r="R27" i="29"/>
  <c r="R31" i="29"/>
  <c r="R34" i="29"/>
  <c r="X110" i="30"/>
  <c r="Z110" i="30" s="1"/>
  <c r="L112" i="30"/>
  <c r="N112" i="30" s="1"/>
  <c r="Z12" i="31"/>
  <c r="F16" i="31"/>
  <c r="V16" i="31"/>
  <c r="F20" i="31"/>
  <c r="V20" i="31"/>
  <c r="R22" i="31"/>
  <c r="J24" i="31"/>
  <c r="X12" i="32"/>
  <c r="J21" i="32"/>
  <c r="F27" i="32"/>
  <c r="V27" i="32"/>
  <c r="F31" i="32"/>
  <c r="F36" i="32"/>
  <c r="Z32" i="33"/>
  <c r="V33" i="33"/>
  <c r="L62" i="33"/>
  <c r="Z73" i="33"/>
  <c r="V22" i="34"/>
  <c r="V20" i="34"/>
  <c r="V16" i="34"/>
  <c r="Z12" i="34"/>
  <c r="V34" i="34"/>
  <c r="V31" i="34"/>
  <c r="V27" i="34"/>
  <c r="V18" i="34"/>
  <c r="R16" i="34"/>
  <c r="R36" i="35"/>
  <c r="R33" i="35"/>
  <c r="R29" i="35"/>
  <c r="R25" i="35"/>
  <c r="P18" i="35"/>
  <c r="R15" i="35"/>
  <c r="R22" i="35"/>
  <c r="X12" i="35"/>
  <c r="R20" i="35"/>
  <c r="R16" i="35"/>
  <c r="R21" i="35"/>
  <c r="J16" i="35"/>
  <c r="H18" i="35"/>
  <c r="L25" i="35"/>
  <c r="L33" i="35"/>
  <c r="R30" i="36"/>
  <c r="R35" i="36"/>
  <c r="R36" i="36"/>
  <c r="R47" i="36"/>
  <c r="R48" i="36"/>
  <c r="V55" i="36"/>
  <c r="L59" i="36"/>
  <c r="N59" i="36" s="1"/>
  <c r="L69" i="36"/>
  <c r="L71" i="36"/>
  <c r="N71" i="36" s="1"/>
  <c r="J76" i="36"/>
  <c r="N77" i="36"/>
  <c r="Z81" i="36"/>
  <c r="J90" i="36"/>
  <c r="J107" i="36"/>
  <c r="X115" i="36"/>
  <c r="V36" i="37"/>
  <c r="V33" i="37"/>
  <c r="V29" i="37"/>
  <c r="V25" i="37"/>
  <c r="T18" i="37"/>
  <c r="V15" i="37"/>
  <c r="V22" i="37"/>
  <c r="V20" i="37"/>
  <c r="V16" i="37"/>
  <c r="Z12" i="37"/>
  <c r="V21" i="37"/>
  <c r="L25" i="37"/>
  <c r="L33" i="37"/>
  <c r="X34" i="37"/>
  <c r="V22" i="38"/>
  <c r="V20" i="38"/>
  <c r="V16" i="38"/>
  <c r="Z12" i="38"/>
  <c r="V34" i="38"/>
  <c r="V31" i="38"/>
  <c r="V27" i="38"/>
  <c r="V18" i="38"/>
  <c r="T32" i="39"/>
  <c r="Z34" i="39"/>
  <c r="V35" i="39"/>
  <c r="V43" i="39"/>
  <c r="V45" i="39"/>
  <c r="L66" i="39"/>
  <c r="N68" i="39"/>
  <c r="V69" i="39"/>
  <c r="N77" i="39"/>
  <c r="X81" i="39"/>
  <c r="Z81" i="39" s="1"/>
  <c r="V88" i="39"/>
  <c r="N91" i="39"/>
  <c r="Z100" i="39"/>
  <c r="L22" i="41"/>
  <c r="N22" i="41"/>
  <c r="L60" i="42"/>
  <c r="N60" i="42"/>
  <c r="L14" i="45"/>
  <c r="D12" i="45"/>
  <c r="X58" i="45"/>
  <c r="Z58" i="45" s="1"/>
  <c r="L24" i="46"/>
  <c r="N24" i="46"/>
  <c r="P169" i="30"/>
  <c r="X169" i="30" s="1"/>
  <c r="Z169" i="30" s="1"/>
  <c r="L172" i="30"/>
  <c r="N172" i="30" s="1"/>
  <c r="R25" i="31"/>
  <c r="J27" i="31"/>
  <c r="R29" i="31"/>
  <c r="J31" i="31"/>
  <c r="R33" i="31"/>
  <c r="J34" i="31"/>
  <c r="R36" i="31"/>
  <c r="V16" i="32"/>
  <c r="V20" i="32"/>
  <c r="R22" i="32"/>
  <c r="J24" i="32"/>
  <c r="R33" i="32"/>
  <c r="J34" i="32"/>
  <c r="V84" i="33"/>
  <c r="V78" i="33"/>
  <c r="V70" i="33"/>
  <c r="V66" i="33"/>
  <c r="V62" i="33"/>
  <c r="V54" i="33"/>
  <c r="V50" i="33"/>
  <c r="V38" i="33"/>
  <c r="V77" i="33"/>
  <c r="V69" i="33"/>
  <c r="V65" i="33"/>
  <c r="V57" i="33"/>
  <c r="V49" i="33"/>
  <c r="V37" i="33"/>
  <c r="V86" i="33"/>
  <c r="V80" i="33"/>
  <c r="V76" i="33"/>
  <c r="V72" i="33"/>
  <c r="V56" i="33"/>
  <c r="V48" i="33"/>
  <c r="V36" i="33"/>
  <c r="V32" i="33"/>
  <c r="V28" i="33"/>
  <c r="Z12" i="33"/>
  <c r="V79" i="33"/>
  <c r="V75" i="33"/>
  <c r="V71" i="33"/>
  <c r="V59" i="33"/>
  <c r="V47" i="33"/>
  <c r="V35" i="33"/>
  <c r="V27" i="33"/>
  <c r="V90" i="33"/>
  <c r="V68" i="33"/>
  <c r="V64" i="33"/>
  <c r="V60" i="33"/>
  <c r="X33" i="33"/>
  <c r="Z33" i="33" s="1"/>
  <c r="N43" i="33"/>
  <c r="N62" i="33"/>
  <c r="V63" i="33"/>
  <c r="X71" i="33"/>
  <c r="V73" i="33"/>
  <c r="R31" i="34"/>
  <c r="X34" i="34"/>
  <c r="D12" i="36"/>
  <c r="L13" i="36"/>
  <c r="N13" i="36" s="1"/>
  <c r="Z30" i="36"/>
  <c r="R73" i="36"/>
  <c r="Z79" i="36"/>
  <c r="Z95" i="36"/>
  <c r="R103" i="36"/>
  <c r="R104" i="36"/>
  <c r="Z115" i="36"/>
  <c r="N119" i="36"/>
  <c r="R120" i="36"/>
  <c r="D122" i="36"/>
  <c r="L122" i="36" s="1"/>
  <c r="N122" i="36" s="1"/>
  <c r="L125" i="36"/>
  <c r="N125" i="36" s="1"/>
  <c r="V126" i="39"/>
  <c r="V120" i="39"/>
  <c r="V116" i="39"/>
  <c r="V112" i="39"/>
  <c r="V108" i="39"/>
  <c r="V128" i="39"/>
  <c r="V122" i="39"/>
  <c r="V118" i="39"/>
  <c r="V127" i="39"/>
  <c r="V119" i="39"/>
  <c r="V115" i="39"/>
  <c r="V104" i="39"/>
  <c r="V96" i="39"/>
  <c r="V80" i="39"/>
  <c r="V72" i="39"/>
  <c r="V68" i="39"/>
  <c r="V56" i="39"/>
  <c r="V52" i="39"/>
  <c r="V40" i="39"/>
  <c r="V103" i="39"/>
  <c r="V99" i="39"/>
  <c r="V95" i="39"/>
  <c r="V87" i="39"/>
  <c r="V79" i="39"/>
  <c r="V71" i="39"/>
  <c r="V59" i="39"/>
  <c r="V51" i="39"/>
  <c r="V39" i="39"/>
  <c r="V102" i="39"/>
  <c r="V98" i="39"/>
  <c r="V94" i="39"/>
  <c r="V90" i="39"/>
  <c r="V86" i="39"/>
  <c r="V82" i="39"/>
  <c r="V74" i="39"/>
  <c r="V70" i="39"/>
  <c r="V58" i="39"/>
  <c r="V50" i="39"/>
  <c r="V38" i="39"/>
  <c r="V34" i="39"/>
  <c r="V30" i="39"/>
  <c r="Z12" i="39"/>
  <c r="V101" i="39"/>
  <c r="V97" i="39"/>
  <c r="V93" i="39"/>
  <c r="V89" i="39"/>
  <c r="V85" i="39"/>
  <c r="V81" i="39"/>
  <c r="V73" i="39"/>
  <c r="V65" i="39"/>
  <c r="V61" i="39"/>
  <c r="V49" i="39"/>
  <c r="V37" i="39"/>
  <c r="V29" i="39"/>
  <c r="V113" i="39"/>
  <c r="V100" i="39"/>
  <c r="V124" i="39"/>
  <c r="V121" i="39"/>
  <c r="V111" i="39"/>
  <c r="V110" i="39"/>
  <c r="V106" i="39"/>
  <c r="V78" i="39"/>
  <c r="V66" i="39"/>
  <c r="V62" i="39"/>
  <c r="V54" i="39"/>
  <c r="V46" i="39"/>
  <c r="V42" i="39"/>
  <c r="L27" i="39"/>
  <c r="X60" i="39"/>
  <c r="N75" i="39"/>
  <c r="L83" i="39"/>
  <c r="V92" i="39"/>
  <c r="Z97" i="39"/>
  <c r="V105" i="39"/>
  <c r="P12" i="42"/>
  <c r="X15" i="42"/>
  <c r="L52" i="45"/>
  <c r="N52" i="45"/>
  <c r="J16" i="31"/>
  <c r="R18" i="31"/>
  <c r="J20" i="31"/>
  <c r="F22" i="31"/>
  <c r="V22" i="31"/>
  <c r="R15" i="32"/>
  <c r="P18" i="32"/>
  <c r="R25" i="32"/>
  <c r="J27" i="32"/>
  <c r="R29" i="32"/>
  <c r="J31" i="32"/>
  <c r="J36" i="32"/>
  <c r="V26" i="33"/>
  <c r="J43" i="33"/>
  <c r="V46" i="33"/>
  <c r="N60" i="33"/>
  <c r="V82" i="33"/>
  <c r="R27" i="34"/>
  <c r="R34" i="34"/>
  <c r="J22" i="35"/>
  <c r="P28" i="36"/>
  <c r="Z31" i="36"/>
  <c r="R53" i="36"/>
  <c r="N57" i="36"/>
  <c r="R65" i="36"/>
  <c r="N89" i="36"/>
  <c r="N113" i="36"/>
  <c r="X119" i="36"/>
  <c r="R21" i="38"/>
  <c r="V48" i="39"/>
  <c r="V53" i="39"/>
  <c r="Z60" i="39"/>
  <c r="V67" i="39"/>
  <c r="V76" i="39"/>
  <c r="V114" i="39"/>
  <c r="V117" i="39"/>
  <c r="L29" i="40"/>
  <c r="N29" i="40"/>
  <c r="T27" i="41"/>
  <c r="Z18" i="41"/>
  <c r="H123" i="42"/>
  <c r="X50" i="45"/>
  <c r="Z50" i="45"/>
  <c r="L119" i="30"/>
  <c r="N119" i="30" s="1"/>
  <c r="L12" i="31"/>
  <c r="F15" i="31"/>
  <c r="V15" i="31"/>
  <c r="D18" i="31"/>
  <c r="T18" i="31"/>
  <c r="R21" i="31"/>
  <c r="F25" i="31"/>
  <c r="V25" i="31"/>
  <c r="F29" i="31"/>
  <c r="V29" i="31"/>
  <c r="F33" i="31"/>
  <c r="V33" i="31"/>
  <c r="F36" i="31"/>
  <c r="V36" i="31"/>
  <c r="J16" i="32"/>
  <c r="R18" i="32"/>
  <c r="V22" i="32"/>
  <c r="F33" i="32"/>
  <c r="V33" i="32"/>
  <c r="V42" i="33"/>
  <c r="V53" i="33"/>
  <c r="V55" i="33"/>
  <c r="V61" i="33"/>
  <c r="L85" i="33"/>
  <c r="N85" i="33" s="1"/>
  <c r="D84" i="33"/>
  <c r="L84" i="33" s="1"/>
  <c r="N84" i="33" s="1"/>
  <c r="L15" i="35"/>
  <c r="D18" i="35"/>
  <c r="J25" i="35"/>
  <c r="J33" i="35"/>
  <c r="R76" i="36"/>
  <c r="R93" i="36"/>
  <c r="Z119" i="36"/>
  <c r="R31" i="38"/>
  <c r="D12" i="39"/>
  <c r="L17" i="39"/>
  <c r="N27" i="39"/>
  <c r="N83" i="39"/>
  <c r="V132" i="39"/>
  <c r="N13" i="40"/>
  <c r="L13" i="40"/>
  <c r="Z20" i="40"/>
  <c r="X20" i="40"/>
  <c r="P26" i="54"/>
  <c r="J16" i="28"/>
  <c r="R15" i="29"/>
  <c r="P18" i="29"/>
  <c r="R25" i="29"/>
  <c r="R29" i="29"/>
  <c r="R33" i="29"/>
  <c r="N12" i="31"/>
  <c r="L12" i="32"/>
  <c r="F15" i="32"/>
  <c r="V15" i="32"/>
  <c r="D18" i="32"/>
  <c r="T18" i="32"/>
  <c r="R21" i="32"/>
  <c r="F25" i="32"/>
  <c r="V25" i="32"/>
  <c r="D12" i="33"/>
  <c r="J30" i="33"/>
  <c r="N33" i="33"/>
  <c r="V45" i="33"/>
  <c r="V52" i="33"/>
  <c r="Z56" i="33"/>
  <c r="V81" i="33"/>
  <c r="N13" i="34"/>
  <c r="V25" i="34"/>
  <c r="X24" i="35"/>
  <c r="L29" i="35"/>
  <c r="J36" i="35"/>
  <c r="J126" i="36"/>
  <c r="J113" i="36"/>
  <c r="J103" i="36"/>
  <c r="J89" i="36"/>
  <c r="J81" i="36"/>
  <c r="J73" i="36"/>
  <c r="J65" i="36"/>
  <c r="J53" i="36"/>
  <c r="J47" i="36"/>
  <c r="J35" i="36"/>
  <c r="H28" i="36"/>
  <c r="J123" i="36"/>
  <c r="J102" i="36"/>
  <c r="J94" i="36"/>
  <c r="J78" i="36"/>
  <c r="J70" i="36"/>
  <c r="J62" i="36"/>
  <c r="J58" i="36"/>
  <c r="J46" i="36"/>
  <c r="J34" i="36"/>
  <c r="J26" i="36"/>
  <c r="J119" i="36"/>
  <c r="J115" i="36"/>
  <c r="J109" i="36"/>
  <c r="J101" i="36"/>
  <c r="J97" i="36"/>
  <c r="J93" i="36"/>
  <c r="J85" i="36"/>
  <c r="J75" i="36"/>
  <c r="J67" i="36"/>
  <c r="J61" i="36"/>
  <c r="J55" i="36"/>
  <c r="J45" i="36"/>
  <c r="J41" i="36"/>
  <c r="J33" i="36"/>
  <c r="J25" i="36"/>
  <c r="J130" i="36"/>
  <c r="J125" i="36"/>
  <c r="J112" i="36"/>
  <c r="J108" i="36"/>
  <c r="J100" i="36"/>
  <c r="J96" i="36"/>
  <c r="J92" i="36"/>
  <c r="J88" i="36"/>
  <c r="J84" i="36"/>
  <c r="J80" i="36"/>
  <c r="J72" i="36"/>
  <c r="J64" i="36"/>
  <c r="J60" i="36"/>
  <c r="J52" i="36"/>
  <c r="J44" i="36"/>
  <c r="J40" i="36"/>
  <c r="J32" i="36"/>
  <c r="J30" i="36"/>
  <c r="J24" i="36"/>
  <c r="J124" i="36"/>
  <c r="J117" i="36"/>
  <c r="J105" i="36"/>
  <c r="J95" i="36"/>
  <c r="J79" i="36"/>
  <c r="J71" i="36"/>
  <c r="J63" i="36"/>
  <c r="J59" i="36"/>
  <c r="J49" i="36"/>
  <c r="J37" i="36"/>
  <c r="J31" i="36"/>
  <c r="J23" i="36"/>
  <c r="L30" i="36"/>
  <c r="N30" i="36" s="1"/>
  <c r="Z63" i="36"/>
  <c r="N67" i="36"/>
  <c r="R68" i="36"/>
  <c r="J74" i="36"/>
  <c r="X75" i="36"/>
  <c r="Z75" i="36" s="1"/>
  <c r="N81" i="36"/>
  <c r="J86" i="36"/>
  <c r="J87" i="36"/>
  <c r="R97" i="36"/>
  <c r="J116" i="36"/>
  <c r="V119" i="36"/>
  <c r="R125" i="36"/>
  <c r="R126" i="36"/>
  <c r="X16" i="37"/>
  <c r="N13" i="38"/>
  <c r="T18" i="38"/>
  <c r="V21" i="38"/>
  <c r="R27" i="38"/>
  <c r="V33" i="38"/>
  <c r="R34" i="38"/>
  <c r="V28" i="39"/>
  <c r="N34" i="39"/>
  <c r="N35" i="39"/>
  <c r="V41" i="39"/>
  <c r="V47" i="39"/>
  <c r="L62" i="39"/>
  <c r="N62" i="39" s="1"/>
  <c r="Z75" i="39"/>
  <c r="V91" i="39"/>
  <c r="V107" i="39"/>
  <c r="V24" i="47"/>
  <c r="L14" i="51"/>
  <c r="D12" i="51"/>
  <c r="J72" i="33"/>
  <c r="J76" i="33"/>
  <c r="J80" i="33"/>
  <c r="J84" i="33"/>
  <c r="V57" i="36"/>
  <c r="V61" i="36"/>
  <c r="V69" i="36"/>
  <c r="V77" i="36"/>
  <c r="V85" i="36"/>
  <c r="V93" i="36"/>
  <c r="V97" i="36"/>
  <c r="V101" i="36"/>
  <c r="V109" i="36"/>
  <c r="V125" i="36"/>
  <c r="J15" i="37"/>
  <c r="H18" i="37"/>
  <c r="J25" i="37"/>
  <c r="R27" i="37"/>
  <c r="J29" i="37"/>
  <c r="R31" i="37"/>
  <c r="J33" i="37"/>
  <c r="R34" i="37"/>
  <c r="J36" i="37"/>
  <c r="F18" i="38"/>
  <c r="J82" i="39"/>
  <c r="J86" i="39"/>
  <c r="J90" i="39"/>
  <c r="J94" i="39"/>
  <c r="J98" i="39"/>
  <c r="J102" i="39"/>
  <c r="J115" i="39"/>
  <c r="F36" i="40"/>
  <c r="F33" i="40"/>
  <c r="F29" i="40"/>
  <c r="F25" i="40"/>
  <c r="F22" i="40"/>
  <c r="F20" i="40"/>
  <c r="F16" i="40"/>
  <c r="F24" i="40"/>
  <c r="F21" i="40"/>
  <c r="L15" i="40"/>
  <c r="H18" i="40"/>
  <c r="F31" i="40"/>
  <c r="V15" i="41"/>
  <c r="V25" i="41"/>
  <c r="V112" i="42"/>
  <c r="V108" i="42"/>
  <c r="V100" i="42"/>
  <c r="V84" i="42"/>
  <c r="V76" i="42"/>
  <c r="V68" i="42"/>
  <c r="V60" i="42"/>
  <c r="V56" i="42"/>
  <c r="V48" i="42"/>
  <c r="V40" i="42"/>
  <c r="V36" i="42"/>
  <c r="V26" i="42"/>
  <c r="V121" i="42"/>
  <c r="V115" i="42"/>
  <c r="V111" i="42"/>
  <c r="V99" i="42"/>
  <c r="V71" i="42"/>
  <c r="V63" i="42"/>
  <c r="V51" i="42"/>
  <c r="V47" i="42"/>
  <c r="V39" i="42"/>
  <c r="V35" i="42"/>
  <c r="T26" i="42"/>
  <c r="V118" i="42"/>
  <c r="V114" i="42"/>
  <c r="V110" i="42"/>
  <c r="V98" i="42"/>
  <c r="V70" i="42"/>
  <c r="V62" i="42"/>
  <c r="V50" i="42"/>
  <c r="V46" i="42"/>
  <c r="V97" i="42"/>
  <c r="V89" i="42"/>
  <c r="V73" i="42"/>
  <c r="V65" i="42"/>
  <c r="V53" i="42"/>
  <c r="V45" i="42"/>
  <c r="V33" i="42"/>
  <c r="V125" i="42"/>
  <c r="V117" i="42"/>
  <c r="V107" i="42"/>
  <c r="V103" i="42"/>
  <c r="V95" i="42"/>
  <c r="V91" i="42"/>
  <c r="V87" i="42"/>
  <c r="V83" i="42"/>
  <c r="V79" i="42"/>
  <c r="V75" i="42"/>
  <c r="V67" i="42"/>
  <c r="V59" i="42"/>
  <c r="V55" i="42"/>
  <c r="V43" i="42"/>
  <c r="V31" i="42"/>
  <c r="V23" i="42"/>
  <c r="V106" i="42"/>
  <c r="V102" i="42"/>
  <c r="V94" i="42"/>
  <c r="V90" i="42"/>
  <c r="V86" i="42"/>
  <c r="V82" i="42"/>
  <c r="V78" i="42"/>
  <c r="V74" i="42"/>
  <c r="V66" i="42"/>
  <c r="V58" i="42"/>
  <c r="V54" i="42"/>
  <c r="V42" i="42"/>
  <c r="V38" i="42"/>
  <c r="V30" i="42"/>
  <c r="V22" i="42"/>
  <c r="V41" i="42"/>
  <c r="V44" i="42"/>
  <c r="N93" i="42"/>
  <c r="Z105" i="42"/>
  <c r="V109" i="42"/>
  <c r="F20" i="44"/>
  <c r="F16" i="44"/>
  <c r="F34" i="44"/>
  <c r="F31" i="44"/>
  <c r="F27" i="44"/>
  <c r="F24" i="44"/>
  <c r="F21" i="44"/>
  <c r="F36" i="44"/>
  <c r="F33" i="44"/>
  <c r="F29" i="44"/>
  <c r="F25" i="44"/>
  <c r="D18" i="44"/>
  <c r="F15" i="44"/>
  <c r="L12" i="44"/>
  <c r="F22" i="44"/>
  <c r="N73" i="45"/>
  <c r="J18" i="46"/>
  <c r="J36" i="46"/>
  <c r="J33" i="46"/>
  <c r="J29" i="46"/>
  <c r="J25" i="46"/>
  <c r="H18" i="46"/>
  <c r="J15" i="46"/>
  <c r="J22" i="46"/>
  <c r="N12" i="46"/>
  <c r="J34" i="46"/>
  <c r="J31" i="46"/>
  <c r="J27" i="46"/>
  <c r="J24" i="46"/>
  <c r="P76" i="48"/>
  <c r="R76" i="48" s="1"/>
  <c r="D27" i="40"/>
  <c r="V22" i="41"/>
  <c r="V34" i="41"/>
  <c r="V31" i="41"/>
  <c r="V27" i="41"/>
  <c r="V21" i="41"/>
  <c r="V18" i="41"/>
  <c r="V16" i="41"/>
  <c r="V36" i="41"/>
  <c r="Z21" i="42"/>
  <c r="X15" i="43"/>
  <c r="T18" i="43"/>
  <c r="X37" i="45"/>
  <c r="Z37" i="45" s="1"/>
  <c r="H18" i="48"/>
  <c r="N16" i="48"/>
  <c r="L16" i="48"/>
  <c r="L21" i="48"/>
  <c r="N21" i="48" s="1"/>
  <c r="J21" i="48"/>
  <c r="H109" i="51"/>
  <c r="J50" i="51"/>
  <c r="R24" i="53"/>
  <c r="R21" i="53"/>
  <c r="R18" i="53"/>
  <c r="R36" i="53"/>
  <c r="R33" i="53"/>
  <c r="R29" i="53"/>
  <c r="R25" i="53"/>
  <c r="P18" i="53"/>
  <c r="R15" i="53"/>
  <c r="R22" i="53"/>
  <c r="X12" i="53"/>
  <c r="R20" i="53"/>
  <c r="R16" i="53"/>
  <c r="R27" i="53"/>
  <c r="R31" i="53"/>
  <c r="L70" i="57"/>
  <c r="D69" i="57"/>
  <c r="L69" i="57" s="1"/>
  <c r="J33" i="33"/>
  <c r="J39" i="33"/>
  <c r="J51" i="33"/>
  <c r="J55" i="33"/>
  <c r="J63" i="33"/>
  <c r="J67" i="33"/>
  <c r="J73" i="33"/>
  <c r="J81" i="33"/>
  <c r="J21" i="34"/>
  <c r="F27" i="34"/>
  <c r="F31" i="34"/>
  <c r="F34" i="34"/>
  <c r="F24" i="35"/>
  <c r="V24" i="35"/>
  <c r="V36" i="36"/>
  <c r="V48" i="36"/>
  <c r="V56" i="36"/>
  <c r="V68" i="36"/>
  <c r="V76" i="36"/>
  <c r="V104" i="36"/>
  <c r="V116" i="36"/>
  <c r="V120" i="36"/>
  <c r="X123" i="36"/>
  <c r="Z123" i="36" s="1"/>
  <c r="V126" i="36"/>
  <c r="F16" i="37"/>
  <c r="F20" i="37"/>
  <c r="R22" i="37"/>
  <c r="J24" i="37"/>
  <c r="J21" i="38"/>
  <c r="F27" i="38"/>
  <c r="F31" i="38"/>
  <c r="F34" i="38"/>
  <c r="J27" i="39"/>
  <c r="J35" i="39"/>
  <c r="J41" i="39"/>
  <c r="J53" i="39"/>
  <c r="J57" i="39"/>
  <c r="J69" i="39"/>
  <c r="J75" i="39"/>
  <c r="J83" i="39"/>
  <c r="J91" i="39"/>
  <c r="J105" i="39"/>
  <c r="N124" i="39"/>
  <c r="X13" i="40"/>
  <c r="F18" i="40"/>
  <c r="L22" i="40"/>
  <c r="F27" i="40"/>
  <c r="Z12" i="41"/>
  <c r="V20" i="41"/>
  <c r="D12" i="42"/>
  <c r="V21" i="42"/>
  <c r="N39" i="42"/>
  <c r="V88" i="42"/>
  <c r="Z90" i="42"/>
  <c r="Z93" i="42"/>
  <c r="V113" i="42"/>
  <c r="Z24" i="43"/>
  <c r="X24" i="43"/>
  <c r="R31" i="43"/>
  <c r="F18" i="44"/>
  <c r="N25" i="44"/>
  <c r="L25" i="44"/>
  <c r="X14" i="45"/>
  <c r="Z14" i="45" s="1"/>
  <c r="P12" i="45"/>
  <c r="Z66" i="45"/>
  <c r="N68" i="45"/>
  <c r="Z73" i="45"/>
  <c r="Z20" i="46"/>
  <c r="N16" i="47"/>
  <c r="L16" i="47"/>
  <c r="D12" i="48"/>
  <c r="L20" i="48"/>
  <c r="N20" i="48" s="1"/>
  <c r="V22" i="48"/>
  <c r="V30" i="48"/>
  <c r="N43" i="48"/>
  <c r="R15" i="49"/>
  <c r="Z100" i="51"/>
  <c r="X100" i="51"/>
  <c r="J26" i="33"/>
  <c r="J40" i="33"/>
  <c r="J44" i="33"/>
  <c r="J52" i="33"/>
  <c r="J58" i="33"/>
  <c r="J64" i="33"/>
  <c r="J68" i="33"/>
  <c r="J85" i="33"/>
  <c r="J90" i="33"/>
  <c r="F16" i="34"/>
  <c r="F20" i="34"/>
  <c r="J24" i="34"/>
  <c r="F27" i="35"/>
  <c r="V27" i="35"/>
  <c r="F31" i="35"/>
  <c r="V31" i="35"/>
  <c r="T28" i="36"/>
  <c r="V37" i="36"/>
  <c r="V49" i="36"/>
  <c r="V53" i="36"/>
  <c r="V65" i="36"/>
  <c r="V73" i="36"/>
  <c r="V81" i="36"/>
  <c r="V89" i="36"/>
  <c r="V105" i="36"/>
  <c r="V113" i="36"/>
  <c r="V117" i="36"/>
  <c r="R15" i="37"/>
  <c r="P18" i="37"/>
  <c r="R25" i="37"/>
  <c r="J27" i="37"/>
  <c r="R29" i="37"/>
  <c r="J31" i="37"/>
  <c r="R33" i="37"/>
  <c r="J34" i="37"/>
  <c r="R36" i="37"/>
  <c r="F16" i="38"/>
  <c r="F20" i="38"/>
  <c r="J42" i="39"/>
  <c r="J46" i="39"/>
  <c r="J54" i="39"/>
  <c r="J60" i="39"/>
  <c r="J78" i="39"/>
  <c r="J88" i="39"/>
  <c r="J100" i="39"/>
  <c r="J106" i="39"/>
  <c r="J111" i="39"/>
  <c r="J117" i="39"/>
  <c r="J121" i="39"/>
  <c r="J122" i="39"/>
  <c r="J124" i="39"/>
  <c r="V29" i="41"/>
  <c r="V24" i="42"/>
  <c r="V52" i="42"/>
  <c r="V93" i="42"/>
  <c r="J34" i="43"/>
  <c r="J31" i="43"/>
  <c r="J27" i="43"/>
  <c r="J24" i="43"/>
  <c r="J21" i="43"/>
  <c r="J18" i="43"/>
  <c r="J22" i="43"/>
  <c r="N12" i="43"/>
  <c r="Z15" i="43"/>
  <c r="H18" i="43"/>
  <c r="Z25" i="43"/>
  <c r="Z33" i="43"/>
  <c r="N29" i="44"/>
  <c r="L29" i="44"/>
  <c r="Z25" i="46"/>
  <c r="X25" i="46"/>
  <c r="L74" i="48"/>
  <c r="N74" i="48" s="1"/>
  <c r="D73" i="48"/>
  <c r="L73" i="48" s="1"/>
  <c r="N73" i="48" s="1"/>
  <c r="R22" i="49"/>
  <c r="R20" i="49"/>
  <c r="R16" i="49"/>
  <c r="R24" i="49"/>
  <c r="R21" i="49"/>
  <c r="R25" i="49"/>
  <c r="R18" i="49"/>
  <c r="P18" i="49"/>
  <c r="R29" i="49"/>
  <c r="R27" i="49"/>
  <c r="X12" i="49"/>
  <c r="R34" i="49"/>
  <c r="R33" i="49"/>
  <c r="R31" i="49"/>
  <c r="Z24" i="49"/>
  <c r="X24" i="49"/>
  <c r="H74" i="57"/>
  <c r="N17" i="57"/>
  <c r="J45" i="33"/>
  <c r="J53" i="33"/>
  <c r="J61" i="33"/>
  <c r="J71" i="33"/>
  <c r="J79" i="33"/>
  <c r="V66" i="36"/>
  <c r="V74" i="36"/>
  <c r="V82" i="36"/>
  <c r="V86" i="36"/>
  <c r="V90" i="36"/>
  <c r="V98" i="36"/>
  <c r="V106" i="36"/>
  <c r="V110" i="36"/>
  <c r="V114" i="36"/>
  <c r="V118" i="36"/>
  <c r="V124" i="36"/>
  <c r="J16" i="37"/>
  <c r="R18" i="37"/>
  <c r="J67" i="39"/>
  <c r="J73" i="39"/>
  <c r="J81" i="39"/>
  <c r="J97" i="39"/>
  <c r="J107" i="39"/>
  <c r="V77" i="42"/>
  <c r="V80" i="42"/>
  <c r="V85" i="42"/>
  <c r="V120" i="42"/>
  <c r="R36" i="43"/>
  <c r="R33" i="43"/>
  <c r="R29" i="43"/>
  <c r="R25" i="43"/>
  <c r="P18" i="43"/>
  <c r="R15" i="43"/>
  <c r="R22" i="43"/>
  <c r="X12" i="43"/>
  <c r="R20" i="43"/>
  <c r="R16" i="43"/>
  <c r="R24" i="43"/>
  <c r="R21" i="43"/>
  <c r="R18" i="43"/>
  <c r="N15" i="44"/>
  <c r="L15" i="44"/>
  <c r="N33" i="44"/>
  <c r="L33" i="44"/>
  <c r="N91" i="45"/>
  <c r="Z29" i="46"/>
  <c r="X29" i="46"/>
  <c r="N20" i="47"/>
  <c r="L20" i="47"/>
  <c r="R34" i="53"/>
  <c r="V25" i="55"/>
  <c r="T16" i="55"/>
  <c r="V24" i="55"/>
  <c r="V27" i="55"/>
  <c r="V41" i="55"/>
  <c r="V36" i="55"/>
  <c r="V34" i="55"/>
  <c r="V30" i="55"/>
  <c r="V26" i="55"/>
  <c r="V18" i="55"/>
  <c r="V14" i="55"/>
  <c r="V29" i="55"/>
  <c r="V21" i="55"/>
  <c r="V28" i="55"/>
  <c r="V20" i="55"/>
  <c r="Z12" i="55"/>
  <c r="V23" i="55"/>
  <c r="V19" i="55"/>
  <c r="V22" i="55"/>
  <c r="V16" i="55"/>
  <c r="V32" i="55"/>
  <c r="D38" i="55"/>
  <c r="L16" i="60"/>
  <c r="D59" i="60"/>
  <c r="T105" i="62"/>
  <c r="X105" i="62" s="1"/>
  <c r="Z17" i="62"/>
  <c r="X17" i="62"/>
  <c r="J32" i="33"/>
  <c r="J34" i="33"/>
  <c r="J42" i="33"/>
  <c r="J46" i="33"/>
  <c r="J56" i="33"/>
  <c r="J74" i="33"/>
  <c r="J82" i="33"/>
  <c r="J16" i="34"/>
  <c r="V23" i="36"/>
  <c r="V31" i="36"/>
  <c r="V39" i="36"/>
  <c r="V43" i="36"/>
  <c r="V51" i="36"/>
  <c r="V59" i="36"/>
  <c r="V63" i="36"/>
  <c r="V71" i="36"/>
  <c r="V79" i="36"/>
  <c r="V83" i="36"/>
  <c r="V87" i="36"/>
  <c r="V91" i="36"/>
  <c r="V95" i="36"/>
  <c r="V99" i="36"/>
  <c r="V107" i="36"/>
  <c r="L12" i="37"/>
  <c r="F15" i="37"/>
  <c r="D18" i="37"/>
  <c r="F25" i="37"/>
  <c r="F29" i="37"/>
  <c r="F33" i="37"/>
  <c r="J16" i="38"/>
  <c r="J125" i="39"/>
  <c r="J132" i="39"/>
  <c r="J127" i="39"/>
  <c r="J114" i="39"/>
  <c r="J110" i="39"/>
  <c r="J126" i="39"/>
  <c r="J119" i="39"/>
  <c r="J28" i="39"/>
  <c r="J34" i="39"/>
  <c r="J36" i="39"/>
  <c r="J44" i="39"/>
  <c r="J48" i="39"/>
  <c r="J58" i="39"/>
  <c r="J64" i="39"/>
  <c r="J70" i="39"/>
  <c r="J76" i="39"/>
  <c r="J84" i="39"/>
  <c r="J92" i="39"/>
  <c r="J108" i="39"/>
  <c r="J109" i="39"/>
  <c r="J112" i="39"/>
  <c r="X117" i="39"/>
  <c r="Z117" i="39" s="1"/>
  <c r="X121" i="39"/>
  <c r="Z121" i="39" s="1"/>
  <c r="J128" i="39"/>
  <c r="F34" i="40"/>
  <c r="X34" i="41"/>
  <c r="N29" i="42"/>
  <c r="V34" i="42"/>
  <c r="V69" i="42"/>
  <c r="N84" i="42"/>
  <c r="V119" i="42"/>
  <c r="Z21" i="44"/>
  <c r="X21" i="44"/>
  <c r="T102" i="45"/>
  <c r="V102" i="45" s="1"/>
  <c r="Z15" i="46"/>
  <c r="X15" i="46"/>
  <c r="J20" i="46"/>
  <c r="Z33" i="46"/>
  <c r="X33" i="46"/>
  <c r="F21" i="47"/>
  <c r="F18" i="47"/>
  <c r="F36" i="47"/>
  <c r="F33" i="47"/>
  <c r="F29" i="47"/>
  <c r="F25" i="47"/>
  <c r="D18" i="47"/>
  <c r="F15" i="47"/>
  <c r="L12" i="47"/>
  <c r="F22" i="47"/>
  <c r="F20" i="47"/>
  <c r="F16" i="47"/>
  <c r="F34" i="47"/>
  <c r="F31" i="47"/>
  <c r="F27" i="47"/>
  <c r="N21" i="47"/>
  <c r="V64" i="48"/>
  <c r="V60" i="48"/>
  <c r="V56" i="48"/>
  <c r="V48" i="48"/>
  <c r="V78" i="48"/>
  <c r="V69" i="48"/>
  <c r="V65" i="48"/>
  <c r="V53" i="48"/>
  <c r="V49" i="48"/>
  <c r="V41" i="48"/>
  <c r="V71" i="48"/>
  <c r="V70" i="48"/>
  <c r="V68" i="48"/>
  <c r="V59" i="48"/>
  <c r="V58" i="48"/>
  <c r="V46" i="48"/>
  <c r="V33" i="48"/>
  <c r="V29" i="48"/>
  <c r="V21" i="48"/>
  <c r="V62" i="48"/>
  <c r="V61" i="48"/>
  <c r="V32" i="48"/>
  <c r="V28" i="48"/>
  <c r="V18" i="48"/>
  <c r="V43" i="48"/>
  <c r="V27" i="48"/>
  <c r="T18" i="48"/>
  <c r="X18" i="48" s="1"/>
  <c r="V51" i="48"/>
  <c r="V50" i="48"/>
  <c r="V44" i="48"/>
  <c r="V26" i="48"/>
  <c r="V63" i="48"/>
  <c r="V55" i="48"/>
  <c r="V40" i="48"/>
  <c r="V38" i="48"/>
  <c r="V37" i="48"/>
  <c r="V36" i="48"/>
  <c r="V24" i="48"/>
  <c r="V20" i="48"/>
  <c r="V16" i="48"/>
  <c r="V54" i="48"/>
  <c r="V42" i="48"/>
  <c r="V35" i="48"/>
  <c r="V31" i="48"/>
  <c r="V23" i="48"/>
  <c r="Z20" i="48"/>
  <c r="Z47" i="48"/>
  <c r="X65" i="48"/>
  <c r="Z65" i="48" s="1"/>
  <c r="V74" i="48"/>
  <c r="V21" i="40"/>
  <c r="J25" i="40"/>
  <c r="R27" i="40"/>
  <c r="J29" i="40"/>
  <c r="R31" i="40"/>
  <c r="J33" i="40"/>
  <c r="R34" i="40"/>
  <c r="J36" i="40"/>
  <c r="N12" i="41"/>
  <c r="J22" i="41"/>
  <c r="R24" i="41"/>
  <c r="J26" i="42"/>
  <c r="J34" i="42"/>
  <c r="J46" i="42"/>
  <c r="J56" i="42"/>
  <c r="J60" i="42"/>
  <c r="J68" i="42"/>
  <c r="J76" i="42"/>
  <c r="J84" i="42"/>
  <c r="J98" i="42"/>
  <c r="J108" i="42"/>
  <c r="D117" i="42"/>
  <c r="L117" i="42" s="1"/>
  <c r="N117" i="42" s="1"/>
  <c r="J121" i="42"/>
  <c r="L12" i="43"/>
  <c r="F15" i="43"/>
  <c r="D18" i="43"/>
  <c r="F25" i="43"/>
  <c r="F29" i="43"/>
  <c r="F33" i="43"/>
  <c r="F36" i="43"/>
  <c r="J16" i="44"/>
  <c r="J20" i="44"/>
  <c r="V22" i="44"/>
  <c r="V30" i="45"/>
  <c r="J34" i="45"/>
  <c r="J38" i="45"/>
  <c r="V42" i="45"/>
  <c r="J46" i="45"/>
  <c r="V50" i="45"/>
  <c r="J52" i="45"/>
  <c r="V58" i="45"/>
  <c r="J60" i="45"/>
  <c r="V66" i="45"/>
  <c r="J68" i="45"/>
  <c r="V70" i="45"/>
  <c r="V74" i="45"/>
  <c r="V78" i="45"/>
  <c r="J80" i="45"/>
  <c r="V82" i="45"/>
  <c r="J86" i="45"/>
  <c r="V90" i="45"/>
  <c r="J98" i="45"/>
  <c r="V100" i="45"/>
  <c r="J104" i="45"/>
  <c r="Z12" i="46"/>
  <c r="F16" i="46"/>
  <c r="V16" i="46"/>
  <c r="F20" i="46"/>
  <c r="V20" i="46"/>
  <c r="X12" i="47"/>
  <c r="X12" i="48"/>
  <c r="Z12" i="48" s="1"/>
  <c r="R24" i="48"/>
  <c r="R36" i="48"/>
  <c r="R37" i="48"/>
  <c r="R38" i="48"/>
  <c r="R40" i="48"/>
  <c r="R41" i="48"/>
  <c r="X47" i="48"/>
  <c r="R55" i="48"/>
  <c r="R64" i="48"/>
  <c r="N68" i="48"/>
  <c r="L70" i="48"/>
  <c r="J29" i="49"/>
  <c r="P18" i="50"/>
  <c r="T109" i="51"/>
  <c r="Z34" i="52"/>
  <c r="X34" i="52"/>
  <c r="Z29" i="54"/>
  <c r="X19" i="56"/>
  <c r="Z19" i="56" s="1"/>
  <c r="Z45" i="56"/>
  <c r="Z52" i="56"/>
  <c r="X67" i="56"/>
  <c r="Z67" i="56" s="1"/>
  <c r="V62" i="57"/>
  <c r="V58" i="57"/>
  <c r="V46" i="57"/>
  <c r="V34" i="57"/>
  <c r="V22" i="57"/>
  <c r="V70" i="57"/>
  <c r="V66" i="57"/>
  <c r="V54" i="57"/>
  <c r="V50" i="57"/>
  <c r="V42" i="57"/>
  <c r="V38" i="57"/>
  <c r="V30" i="57"/>
  <c r="V26" i="57"/>
  <c r="V55" i="57"/>
  <c r="V41" i="57"/>
  <c r="V17" i="57"/>
  <c r="V63" i="57"/>
  <c r="V51" i="57"/>
  <c r="V21" i="57"/>
  <c r="V20" i="57"/>
  <c r="T17" i="57"/>
  <c r="V81" i="57"/>
  <c r="V61" i="57"/>
  <c r="V49" i="57"/>
  <c r="V48" i="57"/>
  <c r="V45" i="57"/>
  <c r="V78" i="57"/>
  <c r="V69" i="57"/>
  <c r="V60" i="57"/>
  <c r="V25" i="57"/>
  <c r="V24" i="57"/>
  <c r="V23" i="57"/>
  <c r="V74" i="57"/>
  <c r="V59" i="57"/>
  <c r="V37" i="57"/>
  <c r="V33" i="57"/>
  <c r="V32" i="57"/>
  <c r="V31" i="57"/>
  <c r="V19" i="57"/>
  <c r="V15" i="57"/>
  <c r="V76" i="57"/>
  <c r="V67" i="57"/>
  <c r="V57" i="57"/>
  <c r="V56" i="57"/>
  <c r="V47" i="57"/>
  <c r="V40" i="57"/>
  <c r="V36" i="57"/>
  <c r="V29" i="57"/>
  <c r="V28" i="57"/>
  <c r="V27" i="57"/>
  <c r="Z12" i="57"/>
  <c r="V72" i="57"/>
  <c r="V65" i="57"/>
  <c r="V64" i="57"/>
  <c r="V53" i="57"/>
  <c r="V52" i="57"/>
  <c r="V44" i="57"/>
  <c r="V43" i="57"/>
  <c r="V39" i="57"/>
  <c r="V35" i="57"/>
  <c r="N48" i="57"/>
  <c r="T77" i="58"/>
  <c r="Z16" i="58"/>
  <c r="L68" i="58"/>
  <c r="N68" i="58" s="1"/>
  <c r="X54" i="60"/>
  <c r="Z54" i="60" s="1"/>
  <c r="V24" i="40"/>
  <c r="J15" i="41"/>
  <c r="H18" i="41"/>
  <c r="L18" i="41" s="1"/>
  <c r="J25" i="41"/>
  <c r="R27" i="41"/>
  <c r="J29" i="41"/>
  <c r="R31" i="41"/>
  <c r="J33" i="41"/>
  <c r="R34" i="41"/>
  <c r="J36" i="41"/>
  <c r="J21" i="42"/>
  <c r="J29" i="42"/>
  <c r="J35" i="42"/>
  <c r="J47" i="42"/>
  <c r="J51" i="42"/>
  <c r="J63" i="42"/>
  <c r="J71" i="42"/>
  <c r="J81" i="42"/>
  <c r="J93" i="42"/>
  <c r="J99" i="42"/>
  <c r="J105" i="42"/>
  <c r="J111" i="42"/>
  <c r="J115" i="42"/>
  <c r="F18" i="43"/>
  <c r="V15" i="44"/>
  <c r="T18" i="44"/>
  <c r="V25" i="44"/>
  <c r="V29" i="44"/>
  <c r="V33" i="44"/>
  <c r="V36" i="44"/>
  <c r="J19" i="45"/>
  <c r="J25" i="45"/>
  <c r="J27" i="45"/>
  <c r="V31" i="45"/>
  <c r="J35" i="45"/>
  <c r="J39" i="45"/>
  <c r="V43" i="45"/>
  <c r="J47" i="45"/>
  <c r="V51" i="45"/>
  <c r="J55" i="45"/>
  <c r="V59" i="45"/>
  <c r="J63" i="45"/>
  <c r="V67" i="45"/>
  <c r="V71" i="45"/>
  <c r="J73" i="45"/>
  <c r="V75" i="45"/>
  <c r="V79" i="45"/>
  <c r="V83" i="45"/>
  <c r="J87" i="45"/>
  <c r="J95" i="45"/>
  <c r="N18" i="47"/>
  <c r="R22" i="47"/>
  <c r="R25" i="48"/>
  <c r="R39" i="48"/>
  <c r="R48" i="48"/>
  <c r="N52" i="48"/>
  <c r="R65" i="48"/>
  <c r="R67" i="48"/>
  <c r="J27" i="49"/>
  <c r="Z75" i="51"/>
  <c r="L86" i="51"/>
  <c r="N86" i="51" s="1"/>
  <c r="N102" i="51"/>
  <c r="L102" i="51"/>
  <c r="P105" i="51"/>
  <c r="X105" i="51" s="1"/>
  <c r="X19" i="55"/>
  <c r="N22" i="55"/>
  <c r="H84" i="56"/>
  <c r="N54" i="56"/>
  <c r="Z12" i="40"/>
  <c r="V16" i="40"/>
  <c r="V20" i="40"/>
  <c r="R22" i="40"/>
  <c r="J24" i="40"/>
  <c r="X12" i="41"/>
  <c r="J21" i="41"/>
  <c r="F27" i="41"/>
  <c r="F31" i="41"/>
  <c r="J37" i="42"/>
  <c r="J41" i="42"/>
  <c r="J49" i="42"/>
  <c r="J57" i="42"/>
  <c r="J61" i="42"/>
  <c r="J69" i="42"/>
  <c r="J77" i="42"/>
  <c r="J85" i="42"/>
  <c r="J101" i="42"/>
  <c r="J109" i="42"/>
  <c r="J113" i="42"/>
  <c r="J117" i="42"/>
  <c r="J123" i="42"/>
  <c r="F24" i="43"/>
  <c r="V24" i="43"/>
  <c r="J15" i="44"/>
  <c r="H18" i="44"/>
  <c r="V21" i="44"/>
  <c r="J25" i="44"/>
  <c r="R27" i="44"/>
  <c r="J29" i="44"/>
  <c r="R31" i="44"/>
  <c r="J33" i="44"/>
  <c r="J36" i="44"/>
  <c r="J21" i="45"/>
  <c r="V23" i="45"/>
  <c r="J29" i="45"/>
  <c r="V33" i="45"/>
  <c r="V37" i="45"/>
  <c r="J41" i="45"/>
  <c r="V45" i="45"/>
  <c r="V49" i="45"/>
  <c r="J53" i="45"/>
  <c r="V57" i="45"/>
  <c r="J61" i="45"/>
  <c r="V65" i="45"/>
  <c r="J69" i="45"/>
  <c r="V77" i="45"/>
  <c r="J81" i="45"/>
  <c r="V85" i="45"/>
  <c r="J89" i="45"/>
  <c r="J93" i="45"/>
  <c r="V97" i="45"/>
  <c r="L12" i="46"/>
  <c r="F15" i="46"/>
  <c r="V15" i="46"/>
  <c r="D18" i="46"/>
  <c r="T18" i="46"/>
  <c r="R21" i="46"/>
  <c r="F25" i="46"/>
  <c r="V25" i="46"/>
  <c r="F29" i="46"/>
  <c r="V29" i="46"/>
  <c r="F33" i="46"/>
  <c r="V33" i="46"/>
  <c r="F36" i="46"/>
  <c r="V36" i="46"/>
  <c r="J16" i="47"/>
  <c r="R18" i="47"/>
  <c r="J20" i="47"/>
  <c r="J58" i="48"/>
  <c r="J44" i="48"/>
  <c r="J40" i="48"/>
  <c r="J74" i="48"/>
  <c r="J61" i="48"/>
  <c r="J57" i="48"/>
  <c r="J43" i="48"/>
  <c r="J37" i="48"/>
  <c r="J16" i="48"/>
  <c r="R18" i="48"/>
  <c r="J20" i="48"/>
  <c r="J22" i="48"/>
  <c r="R27" i="48"/>
  <c r="J30" i="48"/>
  <c r="R32" i="48"/>
  <c r="J34" i="48"/>
  <c r="L45" i="48"/>
  <c r="N45" i="48" s="1"/>
  <c r="J46" i="48"/>
  <c r="J60" i="48"/>
  <c r="J70" i="48"/>
  <c r="L16" i="49"/>
  <c r="H18" i="49"/>
  <c r="J25" i="49"/>
  <c r="F20" i="50"/>
  <c r="Z21" i="50"/>
  <c r="X21" i="50"/>
  <c r="Z64" i="51"/>
  <c r="N77" i="51"/>
  <c r="Z83" i="51"/>
  <c r="Z102" i="51"/>
  <c r="H22" i="54"/>
  <c r="N16" i="54"/>
  <c r="Z54" i="56"/>
  <c r="Z52" i="57"/>
  <c r="X64" i="57"/>
  <c r="V71" i="57"/>
  <c r="Z79" i="62"/>
  <c r="X79" i="62"/>
  <c r="J72" i="42"/>
  <c r="J78" i="42"/>
  <c r="J82" i="42"/>
  <c r="J86" i="42"/>
  <c r="J94" i="42"/>
  <c r="J102" i="42"/>
  <c r="J106" i="42"/>
  <c r="V24" i="44"/>
  <c r="V18" i="45"/>
  <c r="V26" i="45"/>
  <c r="V34" i="45"/>
  <c r="V38" i="45"/>
  <c r="V46" i="45"/>
  <c r="V54" i="45"/>
  <c r="V62" i="45"/>
  <c r="V86" i="45"/>
  <c r="J90" i="45"/>
  <c r="V94" i="45"/>
  <c r="J96" i="45"/>
  <c r="V98" i="45"/>
  <c r="V104" i="45"/>
  <c r="R62" i="48"/>
  <c r="R68" i="48"/>
  <c r="R69" i="48"/>
  <c r="Z53" i="51"/>
  <c r="N21" i="52"/>
  <c r="L21" i="52"/>
  <c r="H34" i="55"/>
  <c r="L34" i="55" s="1"/>
  <c r="N16" i="55"/>
  <c r="Z64" i="57"/>
  <c r="J16" i="40"/>
  <c r="V22" i="40"/>
  <c r="R15" i="41"/>
  <c r="P18" i="41"/>
  <c r="R25" i="41"/>
  <c r="J27" i="41"/>
  <c r="R29" i="41"/>
  <c r="J31" i="41"/>
  <c r="R33" i="41"/>
  <c r="J34" i="41"/>
  <c r="J23" i="42"/>
  <c r="J31" i="42"/>
  <c r="J43" i="42"/>
  <c r="J55" i="42"/>
  <c r="J59" i="42"/>
  <c r="J67" i="42"/>
  <c r="J75" i="42"/>
  <c r="J79" i="42"/>
  <c r="J83" i="42"/>
  <c r="J87" i="42"/>
  <c r="J91" i="42"/>
  <c r="J95" i="42"/>
  <c r="J103" i="42"/>
  <c r="J107" i="42"/>
  <c r="J120" i="42"/>
  <c r="J125" i="42"/>
  <c r="Z12" i="43"/>
  <c r="F16" i="43"/>
  <c r="V16" i="43"/>
  <c r="X12" i="44"/>
  <c r="V27" i="44"/>
  <c r="V31" i="44"/>
  <c r="V34" i="44"/>
  <c r="V19" i="45"/>
  <c r="J23" i="45"/>
  <c r="V27" i="45"/>
  <c r="J31" i="45"/>
  <c r="V35" i="45"/>
  <c r="J37" i="45"/>
  <c r="V39" i="45"/>
  <c r="J43" i="45"/>
  <c r="V47" i="45"/>
  <c r="J51" i="45"/>
  <c r="V55" i="45"/>
  <c r="J59" i="45"/>
  <c r="V63" i="45"/>
  <c r="J67" i="45"/>
  <c r="J71" i="45"/>
  <c r="J75" i="45"/>
  <c r="J79" i="45"/>
  <c r="J83" i="45"/>
  <c r="V87" i="45"/>
  <c r="V91" i="45"/>
  <c r="V95" i="45"/>
  <c r="V21" i="46"/>
  <c r="R27" i="46"/>
  <c r="R31" i="46"/>
  <c r="N12" i="47"/>
  <c r="R24" i="47"/>
  <c r="J24" i="48"/>
  <c r="R29" i="48"/>
  <c r="R33" i="48"/>
  <c r="J36" i="48"/>
  <c r="J38" i="48"/>
  <c r="J41" i="48"/>
  <c r="J42" i="48"/>
  <c r="X43" i="48"/>
  <c r="Z43" i="48" s="1"/>
  <c r="R45" i="48"/>
  <c r="R46" i="48"/>
  <c r="J47" i="48"/>
  <c r="L49" i="48"/>
  <c r="N49" i="48" s="1"/>
  <c r="R52" i="48"/>
  <c r="R53" i="48"/>
  <c r="J55" i="48"/>
  <c r="Z58" i="48"/>
  <c r="R59" i="48"/>
  <c r="J64" i="48"/>
  <c r="F20" i="49"/>
  <c r="F16" i="49"/>
  <c r="F34" i="49"/>
  <c r="F31" i="49"/>
  <c r="F27" i="49"/>
  <c r="F24" i="49"/>
  <c r="F18" i="49"/>
  <c r="F36" i="49"/>
  <c r="F33" i="49"/>
  <c r="F29" i="49"/>
  <c r="F25" i="49"/>
  <c r="D18" i="49"/>
  <c r="F15" i="49"/>
  <c r="L12" i="49"/>
  <c r="J16" i="49"/>
  <c r="X25" i="49"/>
  <c r="J33" i="49"/>
  <c r="N15" i="50"/>
  <c r="L15" i="50"/>
  <c r="F16" i="50"/>
  <c r="Z105" i="51"/>
  <c r="V21" i="52"/>
  <c r="V18" i="52"/>
  <c r="V36" i="52"/>
  <c r="V33" i="52"/>
  <c r="V29" i="52"/>
  <c r="V25" i="52"/>
  <c r="T18" i="52"/>
  <c r="V15" i="52"/>
  <c r="V22" i="52"/>
  <c r="V20" i="52"/>
  <c r="V16" i="52"/>
  <c r="Z12" i="52"/>
  <c r="V34" i="52"/>
  <c r="V31" i="52"/>
  <c r="V27" i="52"/>
  <c r="N28" i="54"/>
  <c r="F73" i="56"/>
  <c r="F70" i="56"/>
  <c r="F66" i="56"/>
  <c r="F45" i="56"/>
  <c r="F42" i="56"/>
  <c r="F38" i="56"/>
  <c r="F26" i="56"/>
  <c r="F87" i="56"/>
  <c r="F80" i="56"/>
  <c r="F69" i="56"/>
  <c r="F56" i="56"/>
  <c r="F53" i="56"/>
  <c r="F48" i="56"/>
  <c r="F37" i="56"/>
  <c r="F25" i="56"/>
  <c r="F20" i="56"/>
  <c r="F75" i="56"/>
  <c r="F72" i="56"/>
  <c r="F68" i="56"/>
  <c r="F44" i="56"/>
  <c r="F36" i="56"/>
  <c r="F24" i="56"/>
  <c r="F17" i="56"/>
  <c r="F62" i="56"/>
  <c r="F58" i="56"/>
  <c r="F55" i="56"/>
  <c r="F50" i="56"/>
  <c r="F47" i="56"/>
  <c r="F35" i="56"/>
  <c r="F30" i="56"/>
  <c r="F23" i="56"/>
  <c r="D17" i="56"/>
  <c r="F74" i="56"/>
  <c r="F65" i="56"/>
  <c r="F46" i="56"/>
  <c r="F41" i="56"/>
  <c r="F34" i="56"/>
  <c r="F22" i="56"/>
  <c r="L12" i="56"/>
  <c r="F84" i="56"/>
  <c r="F78" i="56"/>
  <c r="F61" i="56"/>
  <c r="F57" i="56"/>
  <c r="F52" i="56"/>
  <c r="F49" i="56"/>
  <c r="F33" i="56"/>
  <c r="F29" i="56"/>
  <c r="F21" i="56"/>
  <c r="F82" i="56"/>
  <c r="F76" i="56"/>
  <c r="F71" i="56"/>
  <c r="F67" i="56"/>
  <c r="F64" i="56"/>
  <c r="F60" i="56"/>
  <c r="F43" i="56"/>
  <c r="F40" i="56"/>
  <c r="F32" i="56"/>
  <c r="F28" i="56"/>
  <c r="F19" i="56"/>
  <c r="F15" i="56"/>
  <c r="N20" i="56"/>
  <c r="X43" i="56"/>
  <c r="Z43" i="56" s="1"/>
  <c r="L45" i="56"/>
  <c r="N52" i="56"/>
  <c r="N56" i="56"/>
  <c r="P67" i="63"/>
  <c r="Z18" i="63"/>
  <c r="X18" i="63"/>
  <c r="F61" i="65"/>
  <c r="F57" i="65"/>
  <c r="F53" i="65"/>
  <c r="F48" i="65"/>
  <c r="F45" i="65"/>
  <c r="F37" i="65"/>
  <c r="F25" i="65"/>
  <c r="D19" i="65"/>
  <c r="F17" i="65"/>
  <c r="F71" i="65"/>
  <c r="F65" i="65"/>
  <c r="F60" i="65"/>
  <c r="F56" i="65"/>
  <c r="F36" i="65"/>
  <c r="F31" i="65"/>
  <c r="F24" i="65"/>
  <c r="F16" i="65"/>
  <c r="F69" i="65"/>
  <c r="F63" i="65"/>
  <c r="F59" i="65"/>
  <c r="F50" i="65"/>
  <c r="F47" i="65"/>
  <c r="F42" i="65"/>
  <c r="F35" i="65"/>
  <c r="F23" i="65"/>
  <c r="F34" i="65"/>
  <c r="F30" i="65"/>
  <c r="F21" i="65"/>
  <c r="L12" i="65"/>
  <c r="F52" i="65"/>
  <c r="F49" i="65"/>
  <c r="F44" i="65"/>
  <c r="F41" i="65"/>
  <c r="F33" i="65"/>
  <c r="F29" i="65"/>
  <c r="F62" i="65"/>
  <c r="F58" i="65"/>
  <c r="F51" i="65"/>
  <c r="F46" i="65"/>
  <c r="F43" i="65"/>
  <c r="F39" i="65"/>
  <c r="F27" i="65"/>
  <c r="F22" i="65"/>
  <c r="F40" i="65"/>
  <c r="F67" i="65"/>
  <c r="F54" i="65"/>
  <c r="F32" i="65"/>
  <c r="F26" i="65"/>
  <c r="F55" i="65"/>
  <c r="F15" i="65"/>
  <c r="F38" i="65"/>
  <c r="F74" i="65"/>
  <c r="F28" i="65"/>
  <c r="F19" i="65"/>
  <c r="V29" i="40"/>
  <c r="V33" i="40"/>
  <c r="J16" i="41"/>
  <c r="J24" i="42"/>
  <c r="J32" i="42"/>
  <c r="J44" i="42"/>
  <c r="J50" i="42"/>
  <c r="J62" i="42"/>
  <c r="J70" i="42"/>
  <c r="J80" i="42"/>
  <c r="J88" i="42"/>
  <c r="J92" i="42"/>
  <c r="J96" i="42"/>
  <c r="J104" i="42"/>
  <c r="J110" i="42"/>
  <c r="Z12" i="44"/>
  <c r="V16" i="44"/>
  <c r="V20" i="45"/>
  <c r="V28" i="45"/>
  <c r="V36" i="45"/>
  <c r="V40" i="45"/>
  <c r="J44" i="45"/>
  <c r="V52" i="45"/>
  <c r="J54" i="45"/>
  <c r="V60" i="45"/>
  <c r="J62" i="45"/>
  <c r="V68" i="45"/>
  <c r="J72" i="45"/>
  <c r="J76" i="45"/>
  <c r="V80" i="45"/>
  <c r="J84" i="45"/>
  <c r="V88" i="45"/>
  <c r="J94" i="45"/>
  <c r="J102" i="45"/>
  <c r="R27" i="47"/>
  <c r="R31" i="47"/>
  <c r="R70" i="48"/>
  <c r="R61" i="48"/>
  <c r="R57" i="48"/>
  <c r="R54" i="48"/>
  <c r="R78" i="48"/>
  <c r="R73" i="48"/>
  <c r="R66" i="48"/>
  <c r="R63" i="48"/>
  <c r="R50" i="48"/>
  <c r="R47" i="48"/>
  <c r="R42" i="48"/>
  <c r="R22" i="48"/>
  <c r="R30" i="48"/>
  <c r="R34" i="48"/>
  <c r="R60" i="48"/>
  <c r="R74" i="48"/>
  <c r="J24" i="49"/>
  <c r="J21" i="49"/>
  <c r="J18" i="49"/>
  <c r="J22" i="49"/>
  <c r="N12" i="49"/>
  <c r="J31" i="49"/>
  <c r="J36" i="49"/>
  <c r="F34" i="50"/>
  <c r="F31" i="50"/>
  <c r="F27" i="50"/>
  <c r="F24" i="50"/>
  <c r="F21" i="50"/>
  <c r="F36" i="50"/>
  <c r="F33" i="50"/>
  <c r="F29" i="50"/>
  <c r="F25" i="50"/>
  <c r="D18" i="50"/>
  <c r="F15" i="50"/>
  <c r="L12" i="50"/>
  <c r="F22" i="50"/>
  <c r="N45" i="56"/>
  <c r="Z71" i="56"/>
  <c r="Z50" i="57"/>
  <c r="V15" i="49"/>
  <c r="T18" i="49"/>
  <c r="V25" i="49"/>
  <c r="V29" i="49"/>
  <c r="V33" i="49"/>
  <c r="V36" i="49"/>
  <c r="J16" i="50"/>
  <c r="R18" i="50"/>
  <c r="J20" i="50"/>
  <c r="V22" i="50"/>
  <c r="V36" i="51"/>
  <c r="J40" i="51"/>
  <c r="V44" i="51"/>
  <c r="J48" i="51"/>
  <c r="V50" i="51"/>
  <c r="J56" i="51"/>
  <c r="V60" i="51"/>
  <c r="V64" i="51"/>
  <c r="J68" i="51"/>
  <c r="V72" i="51"/>
  <c r="V76" i="51"/>
  <c r="J80" i="51"/>
  <c r="V84" i="51"/>
  <c r="J86" i="51"/>
  <c r="J92" i="51"/>
  <c r="V96" i="51"/>
  <c r="V100" i="51"/>
  <c r="J102" i="51"/>
  <c r="X12" i="52"/>
  <c r="J21" i="52"/>
  <c r="F27" i="52"/>
  <c r="F31" i="52"/>
  <c r="F34" i="52"/>
  <c r="L15" i="53"/>
  <c r="J18" i="53"/>
  <c r="D16" i="54"/>
  <c r="T16" i="54"/>
  <c r="F24" i="54"/>
  <c r="X12" i="55"/>
  <c r="F19" i="55"/>
  <c r="R20" i="55"/>
  <c r="J27" i="55"/>
  <c r="V15" i="56"/>
  <c r="N17" i="56"/>
  <c r="V19" i="56"/>
  <c r="V23" i="56"/>
  <c r="R24" i="56"/>
  <c r="J27" i="56"/>
  <c r="J31" i="56"/>
  <c r="V35" i="56"/>
  <c r="R36" i="56"/>
  <c r="J39" i="56"/>
  <c r="R41" i="56"/>
  <c r="V43" i="56"/>
  <c r="R44" i="56"/>
  <c r="J45" i="56"/>
  <c r="V47" i="56"/>
  <c r="J51" i="56"/>
  <c r="V55" i="56"/>
  <c r="J59" i="56"/>
  <c r="J63" i="56"/>
  <c r="R65" i="56"/>
  <c r="V67" i="56"/>
  <c r="R68" i="56"/>
  <c r="V71" i="56"/>
  <c r="R72" i="56"/>
  <c r="J73" i="56"/>
  <c r="X12" i="57"/>
  <c r="R15" i="57"/>
  <c r="J17" i="57"/>
  <c r="R19" i="57"/>
  <c r="F21" i="57"/>
  <c r="J23" i="57"/>
  <c r="J24" i="57"/>
  <c r="R28" i="57"/>
  <c r="R29" i="57"/>
  <c r="R36" i="57"/>
  <c r="R40" i="57"/>
  <c r="J41" i="57"/>
  <c r="J49" i="57"/>
  <c r="Z56" i="57"/>
  <c r="R57" i="57"/>
  <c r="F70" i="57"/>
  <c r="R76" i="57"/>
  <c r="F79" i="58"/>
  <c r="F73" i="58"/>
  <c r="F68" i="58"/>
  <c r="F57" i="58"/>
  <c r="F53" i="58"/>
  <c r="F63" i="58"/>
  <c r="F60" i="58"/>
  <c r="F56" i="58"/>
  <c r="F52" i="58"/>
  <c r="F70" i="58"/>
  <c r="F67" i="58"/>
  <c r="F59" i="58"/>
  <c r="F55" i="58"/>
  <c r="F35" i="58"/>
  <c r="F30" i="58"/>
  <c r="F23" i="58"/>
  <c r="F16" i="58"/>
  <c r="F84" i="58"/>
  <c r="F77" i="58"/>
  <c r="F66" i="58"/>
  <c r="F62" i="58"/>
  <c r="F72" i="58"/>
  <c r="F69" i="58"/>
  <c r="F65" i="58"/>
  <c r="F71" i="58"/>
  <c r="F58" i="58"/>
  <c r="F54" i="58"/>
  <c r="F39" i="58"/>
  <c r="F31" i="58"/>
  <c r="F27" i="58"/>
  <c r="F18" i="58"/>
  <c r="F14" i="58"/>
  <c r="N19" i="58"/>
  <c r="F20" i="58"/>
  <c r="F22" i="58"/>
  <c r="F43" i="58"/>
  <c r="R45" i="58"/>
  <c r="R47" i="58"/>
  <c r="F61" i="58"/>
  <c r="F75" i="58"/>
  <c r="R84" i="58"/>
  <c r="J24" i="59"/>
  <c r="J30" i="59"/>
  <c r="Z43" i="59"/>
  <c r="J54" i="59"/>
  <c r="N16" i="60"/>
  <c r="H59" i="60"/>
  <c r="R19" i="60"/>
  <c r="Z40" i="60"/>
  <c r="Z42" i="60"/>
  <c r="J52" i="61"/>
  <c r="Z75" i="62"/>
  <c r="X40" i="63"/>
  <c r="X54" i="63"/>
  <c r="F32" i="64"/>
  <c r="F81" i="64"/>
  <c r="D12" i="66"/>
  <c r="L13" i="66"/>
  <c r="N13" i="66" s="1"/>
  <c r="X103" i="66"/>
  <c r="Z103" i="66" s="1"/>
  <c r="X36" i="67"/>
  <c r="Z36" i="67" s="1"/>
  <c r="V36" i="67"/>
  <c r="J105" i="71"/>
  <c r="V15" i="50"/>
  <c r="T18" i="50"/>
  <c r="V25" i="50"/>
  <c r="V29" i="50"/>
  <c r="V33" i="50"/>
  <c r="V36" i="50"/>
  <c r="N33" i="51"/>
  <c r="V37" i="51"/>
  <c r="V45" i="51"/>
  <c r="V53" i="51"/>
  <c r="V61" i="51"/>
  <c r="V65" i="51"/>
  <c r="J69" i="51"/>
  <c r="V73" i="51"/>
  <c r="J75" i="51"/>
  <c r="V81" i="51"/>
  <c r="J83" i="51"/>
  <c r="V85" i="51"/>
  <c r="J89" i="51"/>
  <c r="V93" i="51"/>
  <c r="J95" i="51"/>
  <c r="V97" i="51"/>
  <c r="V101" i="51"/>
  <c r="J106" i="51"/>
  <c r="V107" i="51"/>
  <c r="J111" i="51"/>
  <c r="F16" i="52"/>
  <c r="F20" i="52"/>
  <c r="R22" i="52"/>
  <c r="J21" i="53"/>
  <c r="N14" i="54"/>
  <c r="F16" i="54"/>
  <c r="V16" i="54"/>
  <c r="F20" i="54"/>
  <c r="V20" i="54"/>
  <c r="J24" i="54"/>
  <c r="F26" i="54"/>
  <c r="V26" i="54"/>
  <c r="F29" i="54"/>
  <c r="V29" i="54"/>
  <c r="R14" i="55"/>
  <c r="R18" i="55"/>
  <c r="R21" i="55"/>
  <c r="F25" i="55"/>
  <c r="R26" i="55"/>
  <c r="F28" i="55"/>
  <c r="R29" i="55"/>
  <c r="R34" i="55"/>
  <c r="R41" i="55"/>
  <c r="P17" i="56"/>
  <c r="V24" i="56"/>
  <c r="R25" i="56"/>
  <c r="J28" i="56"/>
  <c r="R30" i="56"/>
  <c r="J32" i="56"/>
  <c r="V36" i="56"/>
  <c r="R37" i="56"/>
  <c r="J40" i="56"/>
  <c r="V44" i="56"/>
  <c r="R50" i="56"/>
  <c r="V52" i="56"/>
  <c r="R53" i="56"/>
  <c r="J54" i="56"/>
  <c r="R58" i="56"/>
  <c r="J60" i="56"/>
  <c r="R62" i="56"/>
  <c r="J64" i="56"/>
  <c r="V68" i="56"/>
  <c r="R69" i="56"/>
  <c r="V72" i="56"/>
  <c r="J76" i="56"/>
  <c r="V78" i="56"/>
  <c r="J82" i="56"/>
  <c r="V84" i="56"/>
  <c r="F22" i="57"/>
  <c r="R32" i="57"/>
  <c r="R33" i="57"/>
  <c r="R34" i="57"/>
  <c r="R37" i="57"/>
  <c r="R38" i="57"/>
  <c r="F42" i="57"/>
  <c r="F43" i="57"/>
  <c r="N62" i="57"/>
  <c r="R66" i="57"/>
  <c r="R69" i="57"/>
  <c r="D77" i="58"/>
  <c r="R24" i="58"/>
  <c r="R25" i="58"/>
  <c r="R26" i="58"/>
  <c r="R30" i="58"/>
  <c r="R32" i="58"/>
  <c r="R36" i="58"/>
  <c r="R40" i="58"/>
  <c r="R50" i="58"/>
  <c r="R51" i="58"/>
  <c r="R52" i="58"/>
  <c r="Z54" i="58"/>
  <c r="N58" i="58"/>
  <c r="R62" i="58"/>
  <c r="N19" i="59"/>
  <c r="R28" i="60"/>
  <c r="R30" i="60"/>
  <c r="R38" i="60"/>
  <c r="R66" i="60"/>
  <c r="J26" i="61"/>
  <c r="J44" i="61"/>
  <c r="J56" i="61"/>
  <c r="V26" i="62"/>
  <c r="V38" i="62"/>
  <c r="V54" i="62"/>
  <c r="L14" i="63"/>
  <c r="Z56" i="63"/>
  <c r="X56" i="63"/>
  <c r="F31" i="64"/>
  <c r="F94" i="64"/>
  <c r="F98" i="64"/>
  <c r="V66" i="51"/>
  <c r="V74" i="51"/>
  <c r="V82" i="51"/>
  <c r="V90" i="51"/>
  <c r="V94" i="51"/>
  <c r="V98" i="51"/>
  <c r="R15" i="52"/>
  <c r="P18" i="52"/>
  <c r="R25" i="52"/>
  <c r="R29" i="52"/>
  <c r="R33" i="52"/>
  <c r="R36" i="52"/>
  <c r="L16" i="55"/>
  <c r="R30" i="55"/>
  <c r="R36" i="55"/>
  <c r="V53" i="56"/>
  <c r="J61" i="56"/>
  <c r="V65" i="56"/>
  <c r="R66" i="56"/>
  <c r="J67" i="56"/>
  <c r="V69" i="56"/>
  <c r="R70" i="56"/>
  <c r="J71" i="56"/>
  <c r="R75" i="56"/>
  <c r="F67" i="57"/>
  <c r="F62" i="57"/>
  <c r="F58" i="57"/>
  <c r="F55" i="57"/>
  <c r="F51" i="57"/>
  <c r="F39" i="57"/>
  <c r="F31" i="57"/>
  <c r="F27" i="57"/>
  <c r="F72" i="57"/>
  <c r="F66" i="57"/>
  <c r="F63" i="57"/>
  <c r="F59" i="57"/>
  <c r="F50" i="57"/>
  <c r="F47" i="57"/>
  <c r="F35" i="57"/>
  <c r="F30" i="57"/>
  <c r="F23" i="57"/>
  <c r="F15" i="57"/>
  <c r="F19" i="57"/>
  <c r="R24" i="57"/>
  <c r="R25" i="57"/>
  <c r="R26" i="57"/>
  <c r="R30" i="57"/>
  <c r="R45" i="57"/>
  <c r="R46" i="57"/>
  <c r="F52" i="57"/>
  <c r="R58" i="57"/>
  <c r="R60" i="57"/>
  <c r="F64" i="57"/>
  <c r="H77" i="58"/>
  <c r="N16" i="58"/>
  <c r="Z16" i="60"/>
  <c r="T59" i="60"/>
  <c r="J18" i="61"/>
  <c r="J62" i="61"/>
  <c r="J67" i="61"/>
  <c r="V109" i="62"/>
  <c r="V103" i="62"/>
  <c r="V89" i="62"/>
  <c r="V65" i="62"/>
  <c r="V57" i="62"/>
  <c r="V45" i="62"/>
  <c r="V37" i="62"/>
  <c r="V25" i="62"/>
  <c r="V88" i="62"/>
  <c r="V64" i="62"/>
  <c r="V56" i="62"/>
  <c r="V48" i="62"/>
  <c r="V44" i="62"/>
  <c r="V36" i="62"/>
  <c r="V24" i="62"/>
  <c r="V112" i="62"/>
  <c r="V101" i="62"/>
  <c r="V91" i="62"/>
  <c r="V87" i="62"/>
  <c r="V67" i="62"/>
  <c r="V59" i="62"/>
  <c r="V51" i="62"/>
  <c r="V47" i="62"/>
  <c r="V35" i="62"/>
  <c r="V23" i="62"/>
  <c r="V19" i="62"/>
  <c r="V15" i="62"/>
  <c r="V105" i="62"/>
  <c r="V90" i="62"/>
  <c r="V86" i="62"/>
  <c r="V78" i="62"/>
  <c r="V74" i="62"/>
  <c r="V66" i="62"/>
  <c r="V58" i="62"/>
  <c r="V50" i="62"/>
  <c r="V34" i="62"/>
  <c r="V30" i="62"/>
  <c r="V22" i="62"/>
  <c r="V14" i="62"/>
  <c r="V97" i="62"/>
  <c r="V93" i="62"/>
  <c r="V85" i="62"/>
  <c r="V81" i="62"/>
  <c r="V77" i="62"/>
  <c r="V73" i="62"/>
  <c r="V69" i="62"/>
  <c r="V61" i="62"/>
  <c r="V53" i="62"/>
  <c r="V49" i="62"/>
  <c r="V41" i="62"/>
  <c r="V33" i="62"/>
  <c r="V29" i="62"/>
  <c r="V21" i="62"/>
  <c r="V99" i="62"/>
  <c r="V95" i="62"/>
  <c r="V83" i="62"/>
  <c r="V79" i="62"/>
  <c r="V75" i="62"/>
  <c r="V71" i="62"/>
  <c r="V63" i="62"/>
  <c r="V55" i="62"/>
  <c r="V43" i="62"/>
  <c r="V39" i="62"/>
  <c r="V31" i="62"/>
  <c r="V27" i="62"/>
  <c r="V17" i="62"/>
  <c r="V32" i="62"/>
  <c r="V52" i="62"/>
  <c r="X14" i="64"/>
  <c r="P12" i="64"/>
  <c r="H104" i="64"/>
  <c r="J47" i="64"/>
  <c r="V70" i="64"/>
  <c r="X13" i="67"/>
  <c r="P12" i="67"/>
  <c r="J15" i="50"/>
  <c r="H18" i="50"/>
  <c r="V21" i="50"/>
  <c r="J25" i="50"/>
  <c r="R27" i="50"/>
  <c r="J29" i="50"/>
  <c r="R31" i="50"/>
  <c r="J33" i="50"/>
  <c r="P12" i="51"/>
  <c r="J35" i="51"/>
  <c r="V39" i="51"/>
  <c r="J43" i="51"/>
  <c r="V47" i="51"/>
  <c r="J53" i="51"/>
  <c r="V55" i="51"/>
  <c r="J59" i="51"/>
  <c r="V63" i="51"/>
  <c r="V67" i="51"/>
  <c r="J71" i="51"/>
  <c r="V79" i="51"/>
  <c r="J81" i="51"/>
  <c r="J87" i="51"/>
  <c r="V91" i="51"/>
  <c r="J93" i="51"/>
  <c r="V99" i="51"/>
  <c r="J103" i="51"/>
  <c r="V105" i="51"/>
  <c r="J16" i="52"/>
  <c r="R18" i="52"/>
  <c r="F22" i="52"/>
  <c r="J27" i="53"/>
  <c r="J31" i="53"/>
  <c r="J34" i="53"/>
  <c r="R14" i="54"/>
  <c r="J16" i="54"/>
  <c r="R18" i="54"/>
  <c r="J20" i="54"/>
  <c r="R22" i="54"/>
  <c r="J26" i="54"/>
  <c r="R28" i="54"/>
  <c r="F14" i="55"/>
  <c r="F18" i="55"/>
  <c r="F23" i="55"/>
  <c r="R24" i="55"/>
  <c r="F26" i="55"/>
  <c r="R27" i="55"/>
  <c r="F34" i="55"/>
  <c r="F41" i="55"/>
  <c r="N12" i="56"/>
  <c r="T17" i="56"/>
  <c r="R20" i="56"/>
  <c r="J22" i="56"/>
  <c r="V26" i="56"/>
  <c r="R27" i="56"/>
  <c r="V30" i="56"/>
  <c r="R31" i="56"/>
  <c r="J34" i="56"/>
  <c r="V38" i="56"/>
  <c r="R39" i="56"/>
  <c r="V42" i="56"/>
  <c r="J46" i="56"/>
  <c r="R48" i="56"/>
  <c r="V50" i="56"/>
  <c r="R51" i="56"/>
  <c r="J52" i="56"/>
  <c r="R56" i="56"/>
  <c r="V58" i="56"/>
  <c r="R59" i="56"/>
  <c r="V62" i="56"/>
  <c r="R63" i="56"/>
  <c r="V66" i="56"/>
  <c r="V70" i="56"/>
  <c r="J74" i="56"/>
  <c r="J78" i="56"/>
  <c r="R80" i="56"/>
  <c r="J84" i="56"/>
  <c r="R87" i="56"/>
  <c r="J81" i="57"/>
  <c r="J74" i="57"/>
  <c r="J64" i="57"/>
  <c r="J54" i="57"/>
  <c r="J48" i="57"/>
  <c r="J42" i="57"/>
  <c r="J38" i="57"/>
  <c r="J26" i="57"/>
  <c r="J20" i="57"/>
  <c r="J78" i="57"/>
  <c r="J56" i="57"/>
  <c r="J52" i="57"/>
  <c r="J46" i="57"/>
  <c r="J34" i="57"/>
  <c r="J22" i="57"/>
  <c r="P17" i="57"/>
  <c r="X41" i="57"/>
  <c r="Z41" i="57" s="1"/>
  <c r="J43" i="57"/>
  <c r="Z48" i="57"/>
  <c r="R49" i="57"/>
  <c r="L50" i="57"/>
  <c r="N50" i="57" s="1"/>
  <c r="F53" i="57"/>
  <c r="J55" i="57"/>
  <c r="F56" i="57"/>
  <c r="R61" i="57"/>
  <c r="L62" i="57"/>
  <c r="F65" i="57"/>
  <c r="X66" i="57"/>
  <c r="J72" i="57"/>
  <c r="L14" i="58"/>
  <c r="N18" i="58"/>
  <c r="R20" i="58"/>
  <c r="R21" i="58"/>
  <c r="R22" i="58"/>
  <c r="F29" i="58"/>
  <c r="F45" i="58"/>
  <c r="F47" i="58"/>
  <c r="J16" i="59"/>
  <c r="J44" i="59"/>
  <c r="X59" i="59"/>
  <c r="X61" i="59"/>
  <c r="Z61" i="59" s="1"/>
  <c r="X44" i="60"/>
  <c r="X48" i="60"/>
  <c r="X50" i="60"/>
  <c r="Z50" i="60" s="1"/>
  <c r="L54" i="60"/>
  <c r="N29" i="61"/>
  <c r="J42" i="61"/>
  <c r="Z12" i="62"/>
  <c r="N31" i="62"/>
  <c r="V40" i="62"/>
  <c r="V62" i="62"/>
  <c r="V92" i="62"/>
  <c r="V94" i="62"/>
  <c r="F90" i="64"/>
  <c r="F68" i="67"/>
  <c r="F78" i="67"/>
  <c r="F72" i="67"/>
  <c r="F76" i="67"/>
  <c r="F70" i="67"/>
  <c r="F54" i="67"/>
  <c r="F49" i="67"/>
  <c r="F46" i="67"/>
  <c r="F38" i="67"/>
  <c r="F34" i="67"/>
  <c r="F25" i="67"/>
  <c r="F81" i="67"/>
  <c r="F74" i="67"/>
  <c r="F63" i="67"/>
  <c r="F59" i="67"/>
  <c r="F43" i="67"/>
  <c r="F31" i="67"/>
  <c r="F26" i="67"/>
  <c r="F67" i="67"/>
  <c r="F55" i="67"/>
  <c r="F27" i="67"/>
  <c r="F60" i="67"/>
  <c r="F48" i="67"/>
  <c r="F37" i="67"/>
  <c r="F30" i="67"/>
  <c r="F29" i="67"/>
  <c r="F28" i="67"/>
  <c r="F53" i="67"/>
  <c r="F42" i="67"/>
  <c r="F41" i="67"/>
  <c r="F40" i="67"/>
  <c r="F39" i="67"/>
  <c r="F33" i="67"/>
  <c r="F47" i="67"/>
  <c r="F45" i="67"/>
  <c r="F44" i="67"/>
  <c r="F36" i="67"/>
  <c r="F35" i="67"/>
  <c r="F32" i="67"/>
  <c r="F58" i="67"/>
  <c r="F52" i="67"/>
  <c r="F56" i="67"/>
  <c r="F51" i="67"/>
  <c r="F50" i="67"/>
  <c r="D23" i="67"/>
  <c r="F61" i="67"/>
  <c r="F64" i="67"/>
  <c r="F62" i="67"/>
  <c r="F20" i="67"/>
  <c r="F19" i="67"/>
  <c r="F65" i="67"/>
  <c r="F21" i="67"/>
  <c r="L12" i="67"/>
  <c r="F57" i="67"/>
  <c r="F69" i="67"/>
  <c r="V24" i="50"/>
  <c r="L25" i="50"/>
  <c r="L29" i="50"/>
  <c r="L33" i="50"/>
  <c r="V40" i="51"/>
  <c r="V48" i="51"/>
  <c r="V52" i="51"/>
  <c r="L53" i="51"/>
  <c r="N53" i="51" s="1"/>
  <c r="V56" i="51"/>
  <c r="V68" i="51"/>
  <c r="J72" i="51"/>
  <c r="J76" i="51"/>
  <c r="X79" i="51"/>
  <c r="Z79" i="51" s="1"/>
  <c r="V80" i="51"/>
  <c r="L81" i="51"/>
  <c r="N81" i="51" s="1"/>
  <c r="J84" i="51"/>
  <c r="V88" i="51"/>
  <c r="J90" i="51"/>
  <c r="V92" i="51"/>
  <c r="L93" i="51"/>
  <c r="J96" i="51"/>
  <c r="J107" i="51"/>
  <c r="L12" i="52"/>
  <c r="F15" i="52"/>
  <c r="L16" i="52"/>
  <c r="D18" i="52"/>
  <c r="L20" i="52"/>
  <c r="R21" i="52"/>
  <c r="X22" i="52"/>
  <c r="F25" i="52"/>
  <c r="F29" i="52"/>
  <c r="F33" i="52"/>
  <c r="F36" i="52"/>
  <c r="J16" i="53"/>
  <c r="J20" i="53"/>
  <c r="L34" i="53"/>
  <c r="L20" i="54"/>
  <c r="L29" i="54"/>
  <c r="N29" i="54" s="1"/>
  <c r="L12" i="55"/>
  <c r="X14" i="55"/>
  <c r="P16" i="55"/>
  <c r="X18" i="55"/>
  <c r="Z18" i="55" s="1"/>
  <c r="F20" i="55"/>
  <c r="X26" i="55"/>
  <c r="Z26" i="55" s="1"/>
  <c r="L28" i="55"/>
  <c r="V17" i="56"/>
  <c r="J23" i="56"/>
  <c r="V27" i="56"/>
  <c r="R28" i="56"/>
  <c r="X30" i="56"/>
  <c r="Z30" i="56" s="1"/>
  <c r="V31" i="56"/>
  <c r="R32" i="56"/>
  <c r="J35" i="56"/>
  <c r="V39" i="56"/>
  <c r="R40" i="56"/>
  <c r="J41" i="56"/>
  <c r="R45" i="56"/>
  <c r="J47" i="56"/>
  <c r="X50" i="56"/>
  <c r="Z50" i="56" s="1"/>
  <c r="V51" i="56"/>
  <c r="L52" i="56"/>
  <c r="J55" i="56"/>
  <c r="X58" i="56"/>
  <c r="Z58" i="56" s="1"/>
  <c r="V59" i="56"/>
  <c r="R60" i="56"/>
  <c r="X62" i="56"/>
  <c r="Z62" i="56" s="1"/>
  <c r="V63" i="56"/>
  <c r="R64" i="56"/>
  <c r="J65" i="56"/>
  <c r="R73" i="56"/>
  <c r="V75" i="56"/>
  <c r="R76" i="56"/>
  <c r="L78" i="56"/>
  <c r="R82" i="56"/>
  <c r="L12" i="57"/>
  <c r="R17" i="57"/>
  <c r="Z20" i="57"/>
  <c r="R21" i="57"/>
  <c r="R22" i="57"/>
  <c r="F29" i="57"/>
  <c r="F36" i="57"/>
  <c r="F40" i="57"/>
  <c r="R41" i="57"/>
  <c r="R42" i="57"/>
  <c r="N43" i="57"/>
  <c r="F44" i="57"/>
  <c r="F45" i="57"/>
  <c r="F54" i="57"/>
  <c r="F57" i="57"/>
  <c r="F69" i="57"/>
  <c r="R70" i="57"/>
  <c r="F74" i="57"/>
  <c r="F76" i="57"/>
  <c r="R69" i="58"/>
  <c r="R65" i="58"/>
  <c r="R58" i="58"/>
  <c r="R54" i="58"/>
  <c r="R81" i="58"/>
  <c r="R75" i="58"/>
  <c r="R64" i="58"/>
  <c r="R61" i="58"/>
  <c r="R48" i="58"/>
  <c r="R71" i="58"/>
  <c r="R68" i="58"/>
  <c r="R39" i="58"/>
  <c r="R31" i="58"/>
  <c r="R27" i="58"/>
  <c r="R63" i="58"/>
  <c r="R79" i="58"/>
  <c r="R73" i="58"/>
  <c r="R70" i="58"/>
  <c r="R57" i="58"/>
  <c r="R53" i="58"/>
  <c r="R72" i="58"/>
  <c r="R67" i="58"/>
  <c r="R59" i="58"/>
  <c r="R55" i="58"/>
  <c r="R35" i="58"/>
  <c r="R23" i="58"/>
  <c r="L16" i="58"/>
  <c r="R42" i="58"/>
  <c r="R66" i="58"/>
  <c r="Z41" i="59"/>
  <c r="Z59" i="59"/>
  <c r="N42" i="60"/>
  <c r="Z44" i="60"/>
  <c r="Z48" i="60"/>
  <c r="N54" i="60"/>
  <c r="J28" i="61"/>
  <c r="J32" i="61"/>
  <c r="J50" i="61"/>
  <c r="D105" i="62"/>
  <c r="L17" i="62"/>
  <c r="V42" i="62"/>
  <c r="V46" i="62"/>
  <c r="V80" i="62"/>
  <c r="V82" i="62"/>
  <c r="V107" i="62"/>
  <c r="J27" i="63"/>
  <c r="J29" i="63"/>
  <c r="X12" i="50"/>
  <c r="V27" i="50"/>
  <c r="V31" i="50"/>
  <c r="V33" i="51"/>
  <c r="V41" i="51"/>
  <c r="V57" i="51"/>
  <c r="V69" i="51"/>
  <c r="J73" i="51"/>
  <c r="V77" i="51"/>
  <c r="J79" i="51"/>
  <c r="J85" i="51"/>
  <c r="V89" i="51"/>
  <c r="J97" i="51"/>
  <c r="J101" i="51"/>
  <c r="V109" i="51"/>
  <c r="V111" i="51"/>
  <c r="F18" i="52"/>
  <c r="R24" i="52"/>
  <c r="F22" i="54"/>
  <c r="F28" i="54"/>
  <c r="R16" i="55"/>
  <c r="F21" i="55"/>
  <c r="R22" i="55"/>
  <c r="F24" i="55"/>
  <c r="R25" i="55"/>
  <c r="F29" i="55"/>
  <c r="R32" i="55"/>
  <c r="R38" i="55"/>
  <c r="V20" i="56"/>
  <c r="R21" i="56"/>
  <c r="J24" i="56"/>
  <c r="V28" i="56"/>
  <c r="R29" i="56"/>
  <c r="J30" i="56"/>
  <c r="V32" i="56"/>
  <c r="R33" i="56"/>
  <c r="J36" i="56"/>
  <c r="V40" i="56"/>
  <c r="J44" i="56"/>
  <c r="V48" i="56"/>
  <c r="R49" i="56"/>
  <c r="J50" i="56"/>
  <c r="R54" i="56"/>
  <c r="V56" i="56"/>
  <c r="R57" i="56"/>
  <c r="J58" i="56"/>
  <c r="V60" i="56"/>
  <c r="J62" i="56"/>
  <c r="V64" i="56"/>
  <c r="J68" i="56"/>
  <c r="J72" i="56"/>
  <c r="V76" i="56"/>
  <c r="V80" i="56"/>
  <c r="V82" i="56"/>
  <c r="V87" i="56"/>
  <c r="D17" i="57"/>
  <c r="F28" i="57"/>
  <c r="F33" i="57"/>
  <c r="F37" i="57"/>
  <c r="R50" i="57"/>
  <c r="F78" i="57"/>
  <c r="R14" i="58"/>
  <c r="P16" i="58"/>
  <c r="N30" i="58"/>
  <c r="R41" i="58"/>
  <c r="R43" i="58"/>
  <c r="N54" i="58"/>
  <c r="R56" i="58"/>
  <c r="Z58" i="58"/>
  <c r="X72" i="58"/>
  <c r="J63" i="59"/>
  <c r="J47" i="59"/>
  <c r="J41" i="59"/>
  <c r="J35" i="59"/>
  <c r="J23" i="59"/>
  <c r="H16" i="59"/>
  <c r="J62" i="59"/>
  <c r="J56" i="59"/>
  <c r="J52" i="59"/>
  <c r="J34" i="59"/>
  <c r="J22" i="59"/>
  <c r="J75" i="59"/>
  <c r="J69" i="59"/>
  <c r="J65" i="59"/>
  <c r="J59" i="59"/>
  <c r="J49" i="59"/>
  <c r="J43" i="59"/>
  <c r="J33" i="59"/>
  <c r="J29" i="59"/>
  <c r="J21" i="59"/>
  <c r="J46" i="59"/>
  <c r="J40" i="59"/>
  <c r="J32" i="59"/>
  <c r="J28" i="59"/>
  <c r="J20" i="59"/>
  <c r="J18" i="59"/>
  <c r="J14" i="59"/>
  <c r="N12" i="59"/>
  <c r="J73" i="59"/>
  <c r="J67" i="59"/>
  <c r="J61" i="59"/>
  <c r="J55" i="59"/>
  <c r="J51" i="59"/>
  <c r="J39" i="59"/>
  <c r="J31" i="59"/>
  <c r="J27" i="59"/>
  <c r="L12" i="59"/>
  <c r="J78" i="59"/>
  <c r="J71" i="59"/>
  <c r="J57" i="59"/>
  <c r="J53" i="59"/>
  <c r="J45" i="59"/>
  <c r="J37" i="59"/>
  <c r="J25" i="59"/>
  <c r="J19" i="59"/>
  <c r="X16" i="59"/>
  <c r="P71" i="59"/>
  <c r="J26" i="59"/>
  <c r="J50" i="59"/>
  <c r="J66" i="59"/>
  <c r="R54" i="60"/>
  <c r="R50" i="60"/>
  <c r="R41" i="60"/>
  <c r="R37" i="60"/>
  <c r="R25" i="60"/>
  <c r="R16" i="60"/>
  <c r="R36" i="60"/>
  <c r="R29" i="60"/>
  <c r="R24" i="60"/>
  <c r="P16" i="60"/>
  <c r="R47" i="60"/>
  <c r="R43" i="60"/>
  <c r="R40" i="60"/>
  <c r="R35" i="60"/>
  <c r="R23" i="60"/>
  <c r="R63" i="60"/>
  <c r="R57" i="60"/>
  <c r="R46" i="60"/>
  <c r="R34" i="60"/>
  <c r="R22" i="60"/>
  <c r="R53" i="60"/>
  <c r="R49" i="60"/>
  <c r="R45" i="60"/>
  <c r="R42" i="60"/>
  <c r="R33" i="60"/>
  <c r="R21" i="60"/>
  <c r="R18" i="60"/>
  <c r="R14" i="60"/>
  <c r="R61" i="60"/>
  <c r="R55" i="60"/>
  <c r="R51" i="60"/>
  <c r="R48" i="60"/>
  <c r="R44" i="60"/>
  <c r="R39" i="60"/>
  <c r="R31" i="60"/>
  <c r="R27" i="60"/>
  <c r="N18" i="60"/>
  <c r="Z19" i="61"/>
  <c r="Z29" i="61"/>
  <c r="H105" i="62"/>
  <c r="N17" i="62"/>
  <c r="Z19" i="62"/>
  <c r="V20" i="62"/>
  <c r="V28" i="62"/>
  <c r="Z31" i="62"/>
  <c r="V70" i="62"/>
  <c r="L75" i="62"/>
  <c r="V76" i="62"/>
  <c r="N79" i="62"/>
  <c r="V84" i="62"/>
  <c r="J19" i="63"/>
  <c r="J25" i="63"/>
  <c r="J26" i="63"/>
  <c r="F74" i="64"/>
  <c r="F85" i="64"/>
  <c r="F82" i="64"/>
  <c r="F66" i="64"/>
  <c r="F54" i="64"/>
  <c r="F47" i="64"/>
  <c r="F38" i="64"/>
  <c r="F30" i="64"/>
  <c r="F25" i="64"/>
  <c r="F111" i="64"/>
  <c r="F104" i="64"/>
  <c r="F96" i="64"/>
  <c r="F88" i="64"/>
  <c r="F76" i="64"/>
  <c r="F73" i="64"/>
  <c r="F65" i="64"/>
  <c r="F53" i="64"/>
  <c r="D47" i="64"/>
  <c r="F45" i="64"/>
  <c r="F37" i="64"/>
  <c r="F29" i="64"/>
  <c r="F99" i="64"/>
  <c r="F91" i="64"/>
  <c r="F84" i="64"/>
  <c r="F79" i="64"/>
  <c r="F64" i="64"/>
  <c r="F59" i="64"/>
  <c r="F52" i="64"/>
  <c r="F44" i="64"/>
  <c r="F36" i="64"/>
  <c r="F28" i="64"/>
  <c r="F95" i="64"/>
  <c r="F87" i="64"/>
  <c r="F108" i="64"/>
  <c r="F102" i="64"/>
  <c r="F97" i="64"/>
  <c r="F93" i="64"/>
  <c r="F89" i="64"/>
  <c r="F77" i="64"/>
  <c r="F72" i="64"/>
  <c r="F69" i="64"/>
  <c r="F61" i="64"/>
  <c r="F57" i="64"/>
  <c r="F41" i="64"/>
  <c r="F33" i="64"/>
  <c r="F92" i="64"/>
  <c r="F68" i="64"/>
  <c r="F56" i="64"/>
  <c r="F51" i="64"/>
  <c r="F35" i="64"/>
  <c r="F34" i="64"/>
  <c r="F78" i="64"/>
  <c r="F63" i="64"/>
  <c r="F62" i="64"/>
  <c r="F50" i="64"/>
  <c r="F26" i="64"/>
  <c r="F106" i="64"/>
  <c r="F80" i="64"/>
  <c r="F70" i="64"/>
  <c r="F49" i="64"/>
  <c r="F40" i="64"/>
  <c r="F39" i="64"/>
  <c r="F27" i="64"/>
  <c r="L12" i="64"/>
  <c r="N12" i="64" s="1"/>
  <c r="F83" i="64"/>
  <c r="F71" i="64"/>
  <c r="F86" i="64"/>
  <c r="F60" i="64"/>
  <c r="V70" i="51"/>
  <c r="V78" i="51"/>
  <c r="V86" i="51"/>
  <c r="V102" i="51"/>
  <c r="R27" i="52"/>
  <c r="R31" i="52"/>
  <c r="F30" i="55"/>
  <c r="R78" i="57"/>
  <c r="R63" i="57"/>
  <c r="R59" i="57"/>
  <c r="R56" i="57"/>
  <c r="R52" i="57"/>
  <c r="R47" i="57"/>
  <c r="R35" i="57"/>
  <c r="R23" i="57"/>
  <c r="R81" i="57"/>
  <c r="R74" i="57"/>
  <c r="R67" i="57"/>
  <c r="R64" i="57"/>
  <c r="R55" i="57"/>
  <c r="R51" i="57"/>
  <c r="R48" i="57"/>
  <c r="R39" i="57"/>
  <c r="R31" i="57"/>
  <c r="R27" i="57"/>
  <c r="R20" i="57"/>
  <c r="N30" i="57"/>
  <c r="F32" i="57"/>
  <c r="F34" i="57"/>
  <c r="F38" i="57"/>
  <c r="F41" i="57"/>
  <c r="R43" i="57"/>
  <c r="F48" i="57"/>
  <c r="N58" i="57"/>
  <c r="F60" i="57"/>
  <c r="R71" i="57"/>
  <c r="F81" i="57"/>
  <c r="L61" i="59"/>
  <c r="N61" i="59" s="1"/>
  <c r="L50" i="60"/>
  <c r="J55" i="61"/>
  <c r="J49" i="61"/>
  <c r="J41" i="61"/>
  <c r="J37" i="61"/>
  <c r="J25" i="61"/>
  <c r="J19" i="61"/>
  <c r="J46" i="61"/>
  <c r="J36" i="61"/>
  <c r="J24" i="61"/>
  <c r="J16" i="61"/>
  <c r="J51" i="61"/>
  <c r="J43" i="61"/>
  <c r="J35" i="61"/>
  <c r="J29" i="61"/>
  <c r="J23" i="61"/>
  <c r="H16" i="61"/>
  <c r="J64" i="61"/>
  <c r="J58" i="61"/>
  <c r="J54" i="61"/>
  <c r="J48" i="61"/>
  <c r="J40" i="61"/>
  <c r="J34" i="61"/>
  <c r="J22" i="61"/>
  <c r="J53" i="61"/>
  <c r="J45" i="61"/>
  <c r="J33" i="61"/>
  <c r="J21" i="61"/>
  <c r="J47" i="61"/>
  <c r="J39" i="61"/>
  <c r="J31" i="61"/>
  <c r="J27" i="61"/>
  <c r="P109" i="62"/>
  <c r="X49" i="62"/>
  <c r="Z49" i="62" s="1"/>
  <c r="N75" i="62"/>
  <c r="V96" i="62"/>
  <c r="N101" i="62"/>
  <c r="J56" i="63"/>
  <c r="J50" i="63"/>
  <c r="J44" i="63"/>
  <c r="J70" i="63"/>
  <c r="J63" i="63"/>
  <c r="J58" i="63"/>
  <c r="J52" i="63"/>
  <c r="J46" i="63"/>
  <c r="J36" i="63"/>
  <c r="J24" i="63"/>
  <c r="J16" i="63"/>
  <c r="J67" i="63"/>
  <c r="J61" i="63"/>
  <c r="J57" i="63"/>
  <c r="J51" i="63"/>
  <c r="J45" i="63"/>
  <c r="J33" i="63"/>
  <c r="J21" i="63"/>
  <c r="J43" i="63"/>
  <c r="J42" i="63"/>
  <c r="J22" i="63"/>
  <c r="J41" i="63"/>
  <c r="J40" i="63"/>
  <c r="J59" i="63"/>
  <c r="J55" i="63"/>
  <c r="J54" i="63"/>
  <c r="J18" i="63"/>
  <c r="J65" i="63"/>
  <c r="J53" i="63"/>
  <c r="J48" i="63"/>
  <c r="J32" i="63"/>
  <c r="N12" i="63"/>
  <c r="J49" i="63"/>
  <c r="J39" i="63"/>
  <c r="J38" i="63"/>
  <c r="J37" i="63"/>
  <c r="J35" i="63"/>
  <c r="J31" i="63"/>
  <c r="J30" i="63"/>
  <c r="H16" i="63"/>
  <c r="J14" i="63"/>
  <c r="L12" i="63"/>
  <c r="J47" i="63"/>
  <c r="J28" i="63"/>
  <c r="J20" i="63"/>
  <c r="Z42" i="63"/>
  <c r="X42" i="63"/>
  <c r="N74" i="64"/>
  <c r="L74" i="64"/>
  <c r="Z102" i="64"/>
  <c r="X102" i="64"/>
  <c r="Z71" i="70"/>
  <c r="V14" i="58"/>
  <c r="V18" i="58"/>
  <c r="V22" i="58"/>
  <c r="J26" i="58"/>
  <c r="V34" i="58"/>
  <c r="J38" i="58"/>
  <c r="J42" i="58"/>
  <c r="V46" i="58"/>
  <c r="J50" i="58"/>
  <c r="V54" i="58"/>
  <c r="V58" i="58"/>
  <c r="V62" i="58"/>
  <c r="V66" i="58"/>
  <c r="J68" i="58"/>
  <c r="V21" i="59"/>
  <c r="R22" i="59"/>
  <c r="F26" i="59"/>
  <c r="V29" i="59"/>
  <c r="V33" i="59"/>
  <c r="R34" i="59"/>
  <c r="F38" i="59"/>
  <c r="F42" i="59"/>
  <c r="R43" i="59"/>
  <c r="V49" i="59"/>
  <c r="F54" i="59"/>
  <c r="F58" i="59"/>
  <c r="R59" i="59"/>
  <c r="F61" i="59"/>
  <c r="V61" i="59"/>
  <c r="R62" i="59"/>
  <c r="V65" i="59"/>
  <c r="R69" i="59"/>
  <c r="R75" i="59"/>
  <c r="F16" i="60"/>
  <c r="V16" i="60"/>
  <c r="J22" i="60"/>
  <c r="F23" i="60"/>
  <c r="V26" i="60"/>
  <c r="V30" i="60"/>
  <c r="J34" i="60"/>
  <c r="F35" i="60"/>
  <c r="V38" i="60"/>
  <c r="J40" i="60"/>
  <c r="F43" i="60"/>
  <c r="J46" i="60"/>
  <c r="F47" i="60"/>
  <c r="F50" i="60"/>
  <c r="V50" i="60"/>
  <c r="F54" i="60"/>
  <c r="V54" i="60"/>
  <c r="L12" i="61"/>
  <c r="P16" i="61"/>
  <c r="F20" i="61"/>
  <c r="V23" i="61"/>
  <c r="R24" i="61"/>
  <c r="F28" i="61"/>
  <c r="R29" i="61"/>
  <c r="F32" i="61"/>
  <c r="V35" i="61"/>
  <c r="R36" i="61"/>
  <c r="V43" i="61"/>
  <c r="V51" i="61"/>
  <c r="F56" i="61"/>
  <c r="F62" i="61"/>
  <c r="X12" i="62"/>
  <c r="J15" i="62"/>
  <c r="F17" i="62"/>
  <c r="J23" i="62"/>
  <c r="F24" i="62"/>
  <c r="R28" i="62"/>
  <c r="F31" i="62"/>
  <c r="R32" i="62"/>
  <c r="J35" i="62"/>
  <c r="F36" i="62"/>
  <c r="R40" i="62"/>
  <c r="F48" i="62"/>
  <c r="R49" i="62"/>
  <c r="J51" i="62"/>
  <c r="J59" i="62"/>
  <c r="J67" i="62"/>
  <c r="R72" i="62"/>
  <c r="F75" i="62"/>
  <c r="R76" i="62"/>
  <c r="F79" i="62"/>
  <c r="R80" i="62"/>
  <c r="R84" i="62"/>
  <c r="J87" i="62"/>
  <c r="F88" i="62"/>
  <c r="J91" i="62"/>
  <c r="R96" i="62"/>
  <c r="R107" i="62"/>
  <c r="F65" i="63"/>
  <c r="F59" i="63"/>
  <c r="F54" i="63"/>
  <c r="F47" i="63"/>
  <c r="F42" i="63"/>
  <c r="F56" i="63"/>
  <c r="F53" i="63"/>
  <c r="F49" i="63"/>
  <c r="F44" i="63"/>
  <c r="F41" i="63"/>
  <c r="F37" i="63"/>
  <c r="F25" i="63"/>
  <c r="F34" i="63"/>
  <c r="F29" i="63"/>
  <c r="F22" i="63"/>
  <c r="D16" i="63"/>
  <c r="F14" i="63"/>
  <c r="V18" i="63"/>
  <c r="V51" i="63"/>
  <c r="V59" i="63"/>
  <c r="N76" i="64"/>
  <c r="X14" i="66"/>
  <c r="P12" i="66"/>
  <c r="Z36" i="66"/>
  <c r="N67" i="67"/>
  <c r="L67" i="67"/>
  <c r="X14" i="59"/>
  <c r="V23" i="59"/>
  <c r="V35" i="59"/>
  <c r="V43" i="59"/>
  <c r="V47" i="59"/>
  <c r="V59" i="59"/>
  <c r="V63" i="59"/>
  <c r="V69" i="59"/>
  <c r="V75" i="59"/>
  <c r="F25" i="60"/>
  <c r="F37" i="60"/>
  <c r="F41" i="60"/>
  <c r="F44" i="60"/>
  <c r="F48" i="60"/>
  <c r="D16" i="61"/>
  <c r="T16" i="61"/>
  <c r="R19" i="61"/>
  <c r="F22" i="61"/>
  <c r="V25" i="61"/>
  <c r="R26" i="61"/>
  <c r="F29" i="61"/>
  <c r="V29" i="61"/>
  <c r="R30" i="61"/>
  <c r="F34" i="61"/>
  <c r="V37" i="61"/>
  <c r="R38" i="61"/>
  <c r="V41" i="61"/>
  <c r="V49" i="61"/>
  <c r="F54" i="61"/>
  <c r="R55" i="61"/>
  <c r="J17" i="62"/>
  <c r="R19" i="62"/>
  <c r="R22" i="62"/>
  <c r="J25" i="62"/>
  <c r="F26" i="62"/>
  <c r="R30" i="62"/>
  <c r="J31" i="62"/>
  <c r="R34" i="62"/>
  <c r="J37" i="62"/>
  <c r="F38" i="62"/>
  <c r="J45" i="62"/>
  <c r="F46" i="62"/>
  <c r="R47" i="62"/>
  <c r="F49" i="62"/>
  <c r="R50" i="62"/>
  <c r="J57" i="62"/>
  <c r="J65" i="62"/>
  <c r="R74" i="62"/>
  <c r="J75" i="62"/>
  <c r="R78" i="62"/>
  <c r="J79" i="62"/>
  <c r="R86" i="62"/>
  <c r="J89" i="62"/>
  <c r="R101" i="62"/>
  <c r="J102" i="62"/>
  <c r="R112" i="62"/>
  <c r="V21" i="63"/>
  <c r="V22" i="63"/>
  <c r="V26" i="63"/>
  <c r="V40" i="63"/>
  <c r="V43" i="63"/>
  <c r="V45" i="63"/>
  <c r="V63" i="63"/>
  <c r="J48" i="66"/>
  <c r="J62" i="66"/>
  <c r="J80" i="66"/>
  <c r="J86" i="66"/>
  <c r="T78" i="67"/>
  <c r="V36" i="59"/>
  <c r="V44" i="59"/>
  <c r="V52" i="59"/>
  <c r="V56" i="59"/>
  <c r="V60" i="59"/>
  <c r="F26" i="60"/>
  <c r="F30" i="60"/>
  <c r="F38" i="60"/>
  <c r="V16" i="61"/>
  <c r="V26" i="61"/>
  <c r="V30" i="61"/>
  <c r="V38" i="61"/>
  <c r="F43" i="61"/>
  <c r="F46" i="61"/>
  <c r="V46" i="61"/>
  <c r="F51" i="61"/>
  <c r="R60" i="61"/>
  <c r="R67" i="61"/>
  <c r="J20" i="62"/>
  <c r="R23" i="62"/>
  <c r="J26" i="62"/>
  <c r="F27" i="62"/>
  <c r="R35" i="62"/>
  <c r="J38" i="62"/>
  <c r="F39" i="62"/>
  <c r="F43" i="62"/>
  <c r="R44" i="62"/>
  <c r="J46" i="62"/>
  <c r="R51" i="62"/>
  <c r="J52" i="62"/>
  <c r="F55" i="62"/>
  <c r="R56" i="62"/>
  <c r="F58" i="62"/>
  <c r="R59" i="62"/>
  <c r="J60" i="62"/>
  <c r="F63" i="62"/>
  <c r="R64" i="62"/>
  <c r="F66" i="62"/>
  <c r="R67" i="62"/>
  <c r="J68" i="62"/>
  <c r="F71" i="62"/>
  <c r="F83" i="62"/>
  <c r="R87" i="62"/>
  <c r="F90" i="62"/>
  <c r="R91" i="62"/>
  <c r="J92" i="62"/>
  <c r="F95" i="62"/>
  <c r="F99" i="62"/>
  <c r="V23" i="63"/>
  <c r="V24" i="63"/>
  <c r="V27" i="63"/>
  <c r="L51" i="63"/>
  <c r="V61" i="63"/>
  <c r="J72" i="64"/>
  <c r="X46" i="65"/>
  <c r="Z81" i="66"/>
  <c r="V81" i="66"/>
  <c r="N107" i="66"/>
  <c r="Z47" i="67"/>
  <c r="N51" i="67"/>
  <c r="L51" i="67"/>
  <c r="L80" i="69"/>
  <c r="N80" i="69" s="1"/>
  <c r="V16" i="58"/>
  <c r="J22" i="58"/>
  <c r="V26" i="58"/>
  <c r="V30" i="58"/>
  <c r="J34" i="58"/>
  <c r="V38" i="58"/>
  <c r="V42" i="58"/>
  <c r="J46" i="58"/>
  <c r="V50" i="58"/>
  <c r="J62" i="58"/>
  <c r="J66" i="58"/>
  <c r="D16" i="59"/>
  <c r="T16" i="59"/>
  <c r="R19" i="59"/>
  <c r="F22" i="59"/>
  <c r="V25" i="59"/>
  <c r="R26" i="59"/>
  <c r="F34" i="59"/>
  <c r="V37" i="59"/>
  <c r="R38" i="59"/>
  <c r="F41" i="59"/>
  <c r="V41" i="59"/>
  <c r="R42" i="59"/>
  <c r="V45" i="59"/>
  <c r="V53" i="59"/>
  <c r="R54" i="59"/>
  <c r="V57" i="59"/>
  <c r="R58" i="59"/>
  <c r="R71" i="59"/>
  <c r="F14" i="60"/>
  <c r="V14" i="60"/>
  <c r="F18" i="60"/>
  <c r="V18" i="60"/>
  <c r="V22" i="60"/>
  <c r="J26" i="60"/>
  <c r="F27" i="60"/>
  <c r="J30" i="60"/>
  <c r="F31" i="60"/>
  <c r="V34" i="60"/>
  <c r="J38" i="60"/>
  <c r="F39" i="60"/>
  <c r="F42" i="60"/>
  <c r="V42" i="60"/>
  <c r="J44" i="60"/>
  <c r="F51" i="60"/>
  <c r="F55" i="60"/>
  <c r="F61" i="60"/>
  <c r="X12" i="61"/>
  <c r="F19" i="61"/>
  <c r="V19" i="61"/>
  <c r="R20" i="61"/>
  <c r="F24" i="61"/>
  <c r="V27" i="61"/>
  <c r="R28" i="61"/>
  <c r="V31" i="61"/>
  <c r="R32" i="61"/>
  <c r="F36" i="61"/>
  <c r="V39" i="61"/>
  <c r="V47" i="61"/>
  <c r="F55" i="61"/>
  <c r="V55" i="61"/>
  <c r="R56" i="61"/>
  <c r="R62" i="61"/>
  <c r="L12" i="62"/>
  <c r="F19" i="62"/>
  <c r="R24" i="62"/>
  <c r="J27" i="62"/>
  <c r="F28" i="62"/>
  <c r="F32" i="62"/>
  <c r="R36" i="62"/>
  <c r="J39" i="62"/>
  <c r="F40" i="62"/>
  <c r="J43" i="62"/>
  <c r="F47" i="62"/>
  <c r="R48" i="62"/>
  <c r="J49" i="62"/>
  <c r="J55" i="62"/>
  <c r="J63" i="62"/>
  <c r="J71" i="62"/>
  <c r="F72" i="62"/>
  <c r="F76" i="62"/>
  <c r="F80" i="62"/>
  <c r="J83" i="62"/>
  <c r="F84" i="62"/>
  <c r="R88" i="62"/>
  <c r="J95" i="62"/>
  <c r="F96" i="62"/>
  <c r="J99" i="62"/>
  <c r="F101" i="62"/>
  <c r="F103" i="62"/>
  <c r="V19" i="63"/>
  <c r="L42" i="63"/>
  <c r="V47" i="63"/>
  <c r="F57" i="63"/>
  <c r="F58" i="63"/>
  <c r="F61" i="63"/>
  <c r="L49" i="64"/>
  <c r="N49" i="64" s="1"/>
  <c r="L102" i="64"/>
  <c r="X44" i="65"/>
  <c r="X58" i="65"/>
  <c r="N79" i="66"/>
  <c r="L103" i="66"/>
  <c r="N103" i="66" s="1"/>
  <c r="V16" i="59"/>
  <c r="V26" i="59"/>
  <c r="V30" i="59"/>
  <c r="V38" i="59"/>
  <c r="V42" i="59"/>
  <c r="V50" i="59"/>
  <c r="V54" i="59"/>
  <c r="V58" i="59"/>
  <c r="V66" i="59"/>
  <c r="L12" i="60"/>
  <c r="F20" i="60"/>
  <c r="F28" i="60"/>
  <c r="F32" i="60"/>
  <c r="F52" i="60"/>
  <c r="F57" i="60"/>
  <c r="F63" i="60"/>
  <c r="Z12" i="61"/>
  <c r="V20" i="61"/>
  <c r="F25" i="61"/>
  <c r="V28" i="61"/>
  <c r="V32" i="61"/>
  <c r="F37" i="61"/>
  <c r="F41" i="61"/>
  <c r="R42" i="61"/>
  <c r="F44" i="61"/>
  <c r="V44" i="61"/>
  <c r="R45" i="61"/>
  <c r="F49" i="61"/>
  <c r="R50" i="61"/>
  <c r="F52" i="61"/>
  <c r="V52" i="61"/>
  <c r="R53" i="61"/>
  <c r="V56" i="61"/>
  <c r="F60" i="61"/>
  <c r="V60" i="61"/>
  <c r="V62" i="61"/>
  <c r="F67" i="61"/>
  <c r="V67" i="61"/>
  <c r="N12" i="62"/>
  <c r="J14" i="62"/>
  <c r="R25" i="62"/>
  <c r="J28" i="62"/>
  <c r="F29" i="62"/>
  <c r="J32" i="62"/>
  <c r="F33" i="62"/>
  <c r="R37" i="62"/>
  <c r="J40" i="62"/>
  <c r="F41" i="62"/>
  <c r="R42" i="62"/>
  <c r="F44" i="62"/>
  <c r="R45" i="62"/>
  <c r="F53" i="62"/>
  <c r="R54" i="62"/>
  <c r="F56" i="62"/>
  <c r="R57" i="62"/>
  <c r="J58" i="62"/>
  <c r="F61" i="62"/>
  <c r="R62" i="62"/>
  <c r="F64" i="62"/>
  <c r="R65" i="62"/>
  <c r="J66" i="62"/>
  <c r="F69" i="62"/>
  <c r="R70" i="62"/>
  <c r="J72" i="62"/>
  <c r="F73" i="62"/>
  <c r="J76" i="62"/>
  <c r="F77" i="62"/>
  <c r="J80" i="62"/>
  <c r="F81" i="62"/>
  <c r="R82" i="62"/>
  <c r="J84" i="62"/>
  <c r="F85" i="62"/>
  <c r="R89" i="62"/>
  <c r="J90" i="62"/>
  <c r="F93" i="62"/>
  <c r="R94" i="62"/>
  <c r="J96" i="62"/>
  <c r="F97" i="62"/>
  <c r="R98" i="62"/>
  <c r="J103" i="62"/>
  <c r="F105" i="62"/>
  <c r="F107" i="62"/>
  <c r="V54" i="63"/>
  <c r="V42" i="63"/>
  <c r="V56" i="63"/>
  <c r="V44" i="63"/>
  <c r="V32" i="63"/>
  <c r="V28" i="63"/>
  <c r="V20" i="63"/>
  <c r="Z12" i="63"/>
  <c r="V53" i="63"/>
  <c r="V49" i="63"/>
  <c r="V41" i="63"/>
  <c r="V37" i="63"/>
  <c r="V29" i="63"/>
  <c r="V25" i="63"/>
  <c r="T16" i="63"/>
  <c r="V30" i="63"/>
  <c r="V33" i="63"/>
  <c r="V34" i="63"/>
  <c r="V38" i="63"/>
  <c r="V46" i="63"/>
  <c r="N58" i="63"/>
  <c r="L58" i="63"/>
  <c r="Z74" i="64"/>
  <c r="N88" i="64"/>
  <c r="N102" i="64"/>
  <c r="J102" i="64"/>
  <c r="P67" i="65"/>
  <c r="J113" i="66"/>
  <c r="J112" i="66"/>
  <c r="J118" i="66"/>
  <c r="J109" i="66"/>
  <c r="J105" i="66"/>
  <c r="J101" i="66"/>
  <c r="J97" i="66"/>
  <c r="J91" i="66"/>
  <c r="J85" i="66"/>
  <c r="J79" i="66"/>
  <c r="J73" i="66"/>
  <c r="J61" i="66"/>
  <c r="H54" i="66"/>
  <c r="J45" i="66"/>
  <c r="J37" i="66"/>
  <c r="J122" i="66"/>
  <c r="J117" i="66"/>
  <c r="J116" i="66"/>
  <c r="J108" i="66"/>
  <c r="J104" i="66"/>
  <c r="J94" i="66"/>
  <c r="J72" i="66"/>
  <c r="J60" i="66"/>
  <c r="J52" i="66"/>
  <c r="J44" i="66"/>
  <c r="J115" i="66"/>
  <c r="J87" i="66"/>
  <c r="J81" i="66"/>
  <c r="J71" i="66"/>
  <c r="J67" i="66"/>
  <c r="J59" i="66"/>
  <c r="J51" i="66"/>
  <c r="J43" i="66"/>
  <c r="J100" i="66"/>
  <c r="J96" i="66"/>
  <c r="J90" i="66"/>
  <c r="J84" i="66"/>
  <c r="J78" i="66"/>
  <c r="J70" i="66"/>
  <c r="J66" i="66"/>
  <c r="J58" i="66"/>
  <c r="J56" i="66"/>
  <c r="J50" i="66"/>
  <c r="J42" i="66"/>
  <c r="J36" i="66"/>
  <c r="J111" i="66"/>
  <c r="J107" i="66"/>
  <c r="J103" i="66"/>
  <c r="J93" i="66"/>
  <c r="J89" i="66"/>
  <c r="J77" i="66"/>
  <c r="J69" i="66"/>
  <c r="J65" i="66"/>
  <c r="J49" i="66"/>
  <c r="J41" i="66"/>
  <c r="J99" i="66"/>
  <c r="J95" i="66"/>
  <c r="J83" i="66"/>
  <c r="J75" i="66"/>
  <c r="J63" i="66"/>
  <c r="J57" i="66"/>
  <c r="J47" i="66"/>
  <c r="J39" i="66"/>
  <c r="J46" i="66"/>
  <c r="J82" i="66"/>
  <c r="J98" i="66"/>
  <c r="J106" i="66"/>
  <c r="Z107" i="66"/>
  <c r="F82" i="70"/>
  <c r="F73" i="70"/>
  <c r="F60" i="70"/>
  <c r="F57" i="70"/>
  <c r="F52" i="70"/>
  <c r="F45" i="70"/>
  <c r="F33" i="70"/>
  <c r="F80" i="70"/>
  <c r="F72" i="70"/>
  <c r="F67" i="70"/>
  <c r="F63" i="70"/>
  <c r="F44" i="70"/>
  <c r="F40" i="70"/>
  <c r="F32" i="70"/>
  <c r="F59" i="70"/>
  <c r="F54" i="70"/>
  <c r="F51" i="70"/>
  <c r="F43" i="70"/>
  <c r="F39" i="70"/>
  <c r="F30" i="70"/>
  <c r="F26" i="70"/>
  <c r="F83" i="70"/>
  <c r="F77" i="70"/>
  <c r="F69" i="70"/>
  <c r="F66" i="70"/>
  <c r="F62" i="70"/>
  <c r="F50" i="70"/>
  <c r="F42" i="70"/>
  <c r="F38" i="70"/>
  <c r="F65" i="70"/>
  <c r="F61" i="70"/>
  <c r="F56" i="70"/>
  <c r="F53" i="70"/>
  <c r="F49" i="70"/>
  <c r="F37" i="70"/>
  <c r="F79" i="70"/>
  <c r="F76" i="70"/>
  <c r="F71" i="70"/>
  <c r="F68" i="70"/>
  <c r="F64" i="70"/>
  <c r="F48" i="70"/>
  <c r="F36" i="70"/>
  <c r="F31" i="70"/>
  <c r="L12" i="70"/>
  <c r="F74" i="70"/>
  <c r="F70" i="70"/>
  <c r="F47" i="70"/>
  <c r="F35" i="70"/>
  <c r="D28" i="70"/>
  <c r="F78" i="70"/>
  <c r="F75" i="70"/>
  <c r="F58" i="70"/>
  <c r="F41" i="70"/>
  <c r="F87" i="70"/>
  <c r="F46" i="70"/>
  <c r="F34" i="70"/>
  <c r="F55" i="70"/>
  <c r="X12" i="59"/>
  <c r="V19" i="59"/>
  <c r="V27" i="59"/>
  <c r="V31" i="59"/>
  <c r="V39" i="59"/>
  <c r="V51" i="59"/>
  <c r="V55" i="59"/>
  <c r="V67" i="59"/>
  <c r="V71" i="59"/>
  <c r="V73" i="59"/>
  <c r="F21" i="60"/>
  <c r="F33" i="60"/>
  <c r="F40" i="60"/>
  <c r="F45" i="60"/>
  <c r="F49" i="60"/>
  <c r="V21" i="61"/>
  <c r="R22" i="61"/>
  <c r="F26" i="61"/>
  <c r="F30" i="61"/>
  <c r="V33" i="61"/>
  <c r="R34" i="61"/>
  <c r="V45" i="61"/>
  <c r="R17" i="62"/>
  <c r="J19" i="62"/>
  <c r="J21" i="62"/>
  <c r="F22" i="62"/>
  <c r="R26" i="62"/>
  <c r="J29" i="62"/>
  <c r="F30" i="62"/>
  <c r="R31" i="62"/>
  <c r="J33" i="62"/>
  <c r="F34" i="62"/>
  <c r="R38" i="62"/>
  <c r="J41" i="62"/>
  <c r="R46" i="62"/>
  <c r="J47" i="62"/>
  <c r="F50" i="62"/>
  <c r="J53" i="62"/>
  <c r="J61" i="62"/>
  <c r="J69" i="62"/>
  <c r="J73" i="62"/>
  <c r="F74" i="62"/>
  <c r="R75" i="62"/>
  <c r="J77" i="62"/>
  <c r="F78" i="62"/>
  <c r="R79" i="62"/>
  <c r="J81" i="62"/>
  <c r="J85" i="62"/>
  <c r="F86" i="62"/>
  <c r="J93" i="62"/>
  <c r="J97" i="62"/>
  <c r="J101" i="62"/>
  <c r="J105" i="62"/>
  <c r="J109" i="62"/>
  <c r="F112" i="62"/>
  <c r="X12" i="63"/>
  <c r="V14" i="63"/>
  <c r="V31" i="63"/>
  <c r="V35" i="63"/>
  <c r="V36" i="63"/>
  <c r="V39" i="63"/>
  <c r="V70" i="63"/>
  <c r="X59" i="64"/>
  <c r="Z59" i="64" s="1"/>
  <c r="X70" i="64"/>
  <c r="Z70" i="64" s="1"/>
  <c r="L46" i="65"/>
  <c r="X62" i="65"/>
  <c r="J40" i="66"/>
  <c r="N57" i="66"/>
  <c r="J64" i="66"/>
  <c r="J110" i="66"/>
  <c r="P115" i="66"/>
  <c r="X115" i="66" s="1"/>
  <c r="Z115" i="66" s="1"/>
  <c r="X116" i="66"/>
  <c r="Z116" i="66" s="1"/>
  <c r="R19" i="63"/>
  <c r="R26" i="63"/>
  <c r="R30" i="63"/>
  <c r="R38" i="63"/>
  <c r="R50" i="63"/>
  <c r="R63" i="63"/>
  <c r="R70" i="63"/>
  <c r="V28" i="64"/>
  <c r="J32" i="64"/>
  <c r="V36" i="64"/>
  <c r="J40" i="64"/>
  <c r="V44" i="64"/>
  <c r="J50" i="64"/>
  <c r="V52" i="64"/>
  <c r="J56" i="64"/>
  <c r="J60" i="64"/>
  <c r="V64" i="64"/>
  <c r="J68" i="64"/>
  <c r="V72" i="64"/>
  <c r="J74" i="64"/>
  <c r="J80" i="64"/>
  <c r="V84" i="64"/>
  <c r="J92" i="64"/>
  <c r="J100" i="64"/>
  <c r="V102" i="64"/>
  <c r="J106" i="64"/>
  <c r="Z12" i="65"/>
  <c r="H19" i="65"/>
  <c r="V22" i="65"/>
  <c r="R23" i="65"/>
  <c r="J26" i="65"/>
  <c r="V30" i="65"/>
  <c r="V34" i="65"/>
  <c r="R35" i="65"/>
  <c r="J38" i="65"/>
  <c r="R44" i="65"/>
  <c r="V46" i="65"/>
  <c r="R47" i="65"/>
  <c r="J48" i="65"/>
  <c r="R52" i="65"/>
  <c r="J54" i="65"/>
  <c r="V58" i="65"/>
  <c r="R59" i="65"/>
  <c r="V62" i="65"/>
  <c r="R63" i="65"/>
  <c r="R69" i="65"/>
  <c r="V43" i="66"/>
  <c r="V51" i="66"/>
  <c r="V59" i="66"/>
  <c r="V67" i="66"/>
  <c r="V71" i="66"/>
  <c r="V87" i="66"/>
  <c r="V103" i="66"/>
  <c r="V107" i="66"/>
  <c r="J76" i="67"/>
  <c r="J70" i="67"/>
  <c r="J64" i="67"/>
  <c r="J67" i="67"/>
  <c r="J57" i="67"/>
  <c r="J51" i="67"/>
  <c r="J45" i="67"/>
  <c r="J37" i="67"/>
  <c r="J33" i="67"/>
  <c r="J19" i="67"/>
  <c r="J66" i="67"/>
  <c r="J62" i="67"/>
  <c r="J50" i="67"/>
  <c r="J42" i="67"/>
  <c r="J36" i="67"/>
  <c r="J30" i="67"/>
  <c r="H23" i="67"/>
  <c r="N12" i="67"/>
  <c r="X53" i="67"/>
  <c r="Z53" i="67" s="1"/>
  <c r="J55" i="67"/>
  <c r="J61" i="67"/>
  <c r="J65" i="67"/>
  <c r="J72" i="67"/>
  <c r="F56" i="69"/>
  <c r="F64" i="69"/>
  <c r="F72" i="69"/>
  <c r="F88" i="69"/>
  <c r="Z104" i="69"/>
  <c r="Z120" i="69"/>
  <c r="L41" i="70"/>
  <c r="N41" i="70" s="1"/>
  <c r="X71" i="70"/>
  <c r="V105" i="71"/>
  <c r="V99" i="71"/>
  <c r="V91" i="71"/>
  <c r="V79" i="71"/>
  <c r="V67" i="71"/>
  <c r="V63" i="71"/>
  <c r="V55" i="71"/>
  <c r="V47" i="71"/>
  <c r="V39" i="71"/>
  <c r="V98" i="71"/>
  <c r="V94" i="71"/>
  <c r="V90" i="71"/>
  <c r="V82" i="71"/>
  <c r="V74" i="71"/>
  <c r="V66" i="71"/>
  <c r="V62" i="71"/>
  <c r="V54" i="71"/>
  <c r="V46" i="71"/>
  <c r="V38" i="71"/>
  <c r="V107" i="71"/>
  <c r="V101" i="71"/>
  <c r="V97" i="71"/>
  <c r="V93" i="71"/>
  <c r="V85" i="71"/>
  <c r="V81" i="71"/>
  <c r="V73" i="71"/>
  <c r="V65" i="71"/>
  <c r="V61" i="71"/>
  <c r="V53" i="71"/>
  <c r="V45" i="71"/>
  <c r="V37" i="71"/>
  <c r="V100" i="71"/>
  <c r="V96" i="71"/>
  <c r="V84" i="71"/>
  <c r="V76" i="71"/>
  <c r="V72" i="71"/>
  <c r="V64" i="71"/>
  <c r="V60" i="71"/>
  <c r="V44" i="71"/>
  <c r="V36" i="71"/>
  <c r="V103" i="71"/>
  <c r="V95" i="71"/>
  <c r="V87" i="71"/>
  <c r="V83" i="71"/>
  <c r="V75" i="71"/>
  <c r="V71" i="71"/>
  <c r="V59" i="71"/>
  <c r="T50" i="71"/>
  <c r="V43" i="71"/>
  <c r="V35" i="71"/>
  <c r="V106" i="71"/>
  <c r="V102" i="71"/>
  <c r="V86" i="71"/>
  <c r="V78" i="71"/>
  <c r="V70" i="71"/>
  <c r="V58" i="71"/>
  <c r="V42" i="71"/>
  <c r="V34" i="71"/>
  <c r="V89" i="71"/>
  <c r="V80" i="71"/>
  <c r="V48" i="71"/>
  <c r="V57" i="71"/>
  <c r="V40" i="71"/>
  <c r="V33" i="71"/>
  <c r="V77" i="71"/>
  <c r="V41" i="71"/>
  <c r="V68" i="71"/>
  <c r="V92" i="71"/>
  <c r="V69" i="71"/>
  <c r="V16" i="65"/>
  <c r="J22" i="65"/>
  <c r="V24" i="65"/>
  <c r="J28" i="65"/>
  <c r="J32" i="65"/>
  <c r="V36" i="65"/>
  <c r="J40" i="65"/>
  <c r="V44" i="65"/>
  <c r="J46" i="65"/>
  <c r="V52" i="65"/>
  <c r="V56" i="65"/>
  <c r="J58" i="65"/>
  <c r="V60" i="65"/>
  <c r="J62" i="65"/>
  <c r="T120" i="66"/>
  <c r="F144" i="69"/>
  <c r="F141" i="69"/>
  <c r="F121" i="69"/>
  <c r="F109" i="69"/>
  <c r="F104" i="69"/>
  <c r="F158" i="69"/>
  <c r="F153" i="69"/>
  <c r="F146" i="69"/>
  <c r="F143" i="69"/>
  <c r="F139" i="69"/>
  <c r="F134" i="69"/>
  <c r="F118" i="69"/>
  <c r="F111" i="69"/>
  <c r="F138" i="69"/>
  <c r="F130" i="69"/>
  <c r="F126" i="69"/>
  <c r="F152" i="69"/>
  <c r="F145" i="69"/>
  <c r="F137" i="69"/>
  <c r="F133" i="69"/>
  <c r="F129" i="69"/>
  <c r="F120" i="69"/>
  <c r="F117" i="69"/>
  <c r="F108" i="69"/>
  <c r="F105" i="69"/>
  <c r="F101" i="69"/>
  <c r="F148" i="69"/>
  <c r="F136" i="69"/>
  <c r="F132" i="69"/>
  <c r="F128" i="69"/>
  <c r="F123" i="69"/>
  <c r="F116" i="69"/>
  <c r="F140" i="69"/>
  <c r="F124" i="69"/>
  <c r="F106" i="69"/>
  <c r="F97" i="69"/>
  <c r="F85" i="69"/>
  <c r="F77" i="69"/>
  <c r="F69" i="69"/>
  <c r="F61" i="69"/>
  <c r="F154" i="69"/>
  <c r="F119" i="69"/>
  <c r="F96" i="69"/>
  <c r="F92" i="69"/>
  <c r="F84" i="69"/>
  <c r="F76" i="69"/>
  <c r="F68" i="69"/>
  <c r="F60" i="69"/>
  <c r="F125" i="69"/>
  <c r="F95" i="69"/>
  <c r="F91" i="69"/>
  <c r="F82" i="69"/>
  <c r="F75" i="69"/>
  <c r="F67" i="69"/>
  <c r="F59" i="69"/>
  <c r="F131" i="69"/>
  <c r="F103" i="69"/>
  <c r="F94" i="69"/>
  <c r="F90" i="69"/>
  <c r="F74" i="69"/>
  <c r="F66" i="69"/>
  <c r="F58" i="69"/>
  <c r="F53" i="69"/>
  <c r="L12" i="69"/>
  <c r="F151" i="69"/>
  <c r="F147" i="69"/>
  <c r="F127" i="69"/>
  <c r="F114" i="69"/>
  <c r="F102" i="69"/>
  <c r="F89" i="69"/>
  <c r="F73" i="69"/>
  <c r="F65" i="69"/>
  <c r="F57" i="69"/>
  <c r="F122" i="69"/>
  <c r="F113" i="69"/>
  <c r="F112" i="69"/>
  <c r="F110" i="69"/>
  <c r="F99" i="69"/>
  <c r="F87" i="69"/>
  <c r="F80" i="69"/>
  <c r="F71" i="69"/>
  <c r="F63" i="69"/>
  <c r="F55" i="69"/>
  <c r="R145" i="69"/>
  <c r="R142" i="69"/>
  <c r="R137" i="69"/>
  <c r="R133" i="69"/>
  <c r="R129" i="69"/>
  <c r="R117" i="69"/>
  <c r="R110" i="69"/>
  <c r="R105" i="69"/>
  <c r="R154" i="69"/>
  <c r="R148" i="69"/>
  <c r="R151" i="69"/>
  <c r="R147" i="69"/>
  <c r="R144" i="69"/>
  <c r="R135" i="69"/>
  <c r="R119" i="69"/>
  <c r="R131" i="69"/>
  <c r="R127" i="69"/>
  <c r="R122" i="69"/>
  <c r="R115" i="69"/>
  <c r="R153" i="69"/>
  <c r="R146" i="69"/>
  <c r="R141" i="69"/>
  <c r="R134" i="69"/>
  <c r="R121" i="69"/>
  <c r="R118" i="69"/>
  <c r="R109" i="69"/>
  <c r="R106" i="69"/>
  <c r="R158" i="69"/>
  <c r="R140" i="69"/>
  <c r="R124" i="69"/>
  <c r="R150" i="69"/>
  <c r="R130" i="69"/>
  <c r="R102" i="69"/>
  <c r="R89" i="69"/>
  <c r="R73" i="69"/>
  <c r="R65" i="69"/>
  <c r="R57" i="69"/>
  <c r="R126" i="69"/>
  <c r="R113" i="69"/>
  <c r="R101" i="69"/>
  <c r="R100" i="69"/>
  <c r="R93" i="69"/>
  <c r="R88" i="69"/>
  <c r="P80" i="69"/>
  <c r="R72" i="69"/>
  <c r="R64" i="69"/>
  <c r="R56" i="69"/>
  <c r="R128" i="69"/>
  <c r="R116" i="69"/>
  <c r="R114" i="69"/>
  <c r="R108" i="69"/>
  <c r="R99" i="69"/>
  <c r="R87" i="69"/>
  <c r="R71" i="69"/>
  <c r="R63" i="69"/>
  <c r="R55" i="69"/>
  <c r="R152" i="69"/>
  <c r="R138" i="69"/>
  <c r="R123" i="69"/>
  <c r="R112" i="69"/>
  <c r="R111" i="69"/>
  <c r="R107" i="69"/>
  <c r="R98" i="69"/>
  <c r="R86" i="69"/>
  <c r="R78" i="69"/>
  <c r="R70" i="69"/>
  <c r="R62" i="69"/>
  <c r="R54" i="69"/>
  <c r="R139" i="69"/>
  <c r="R97" i="69"/>
  <c r="R85" i="69"/>
  <c r="R82" i="69"/>
  <c r="R77" i="69"/>
  <c r="R69" i="69"/>
  <c r="R61" i="69"/>
  <c r="R120" i="69"/>
  <c r="R95" i="69"/>
  <c r="R91" i="69"/>
  <c r="R75" i="69"/>
  <c r="R67" i="69"/>
  <c r="R59" i="69"/>
  <c r="R53" i="69"/>
  <c r="R60" i="69"/>
  <c r="R68" i="69"/>
  <c r="R76" i="69"/>
  <c r="H156" i="69"/>
  <c r="J156" i="69" s="1"/>
  <c r="F98" i="69"/>
  <c r="R14" i="63"/>
  <c r="R18" i="63"/>
  <c r="R21" i="63"/>
  <c r="R33" i="63"/>
  <c r="R42" i="63"/>
  <c r="R45" i="63"/>
  <c r="R54" i="63"/>
  <c r="R57" i="63"/>
  <c r="J27" i="64"/>
  <c r="V31" i="64"/>
  <c r="J35" i="64"/>
  <c r="V39" i="64"/>
  <c r="J43" i="64"/>
  <c r="J49" i="64"/>
  <c r="J51" i="64"/>
  <c r="V55" i="64"/>
  <c r="V59" i="64"/>
  <c r="J63" i="64"/>
  <c r="V67" i="64"/>
  <c r="V71" i="64"/>
  <c r="J75" i="64"/>
  <c r="V79" i="64"/>
  <c r="J81" i="64"/>
  <c r="J87" i="64"/>
  <c r="V91" i="64"/>
  <c r="J95" i="64"/>
  <c r="V99" i="64"/>
  <c r="J15" i="65"/>
  <c r="V17" i="65"/>
  <c r="V21" i="65"/>
  <c r="V25" i="65"/>
  <c r="R26" i="65"/>
  <c r="J29" i="65"/>
  <c r="R31" i="65"/>
  <c r="J33" i="65"/>
  <c r="V37" i="65"/>
  <c r="R38" i="65"/>
  <c r="J41" i="65"/>
  <c r="V45" i="65"/>
  <c r="J49" i="65"/>
  <c r="V53" i="65"/>
  <c r="R54" i="65"/>
  <c r="J55" i="65"/>
  <c r="V57" i="65"/>
  <c r="V61" i="65"/>
  <c r="R65" i="65"/>
  <c r="J67" i="65"/>
  <c r="R71" i="65"/>
  <c r="J74" i="65"/>
  <c r="V115" i="66"/>
  <c r="V122" i="66"/>
  <c r="V120" i="66"/>
  <c r="V110" i="66"/>
  <c r="V38" i="66"/>
  <c r="V46" i="66"/>
  <c r="V62" i="66"/>
  <c r="V74" i="66"/>
  <c r="V82" i="66"/>
  <c r="V94" i="66"/>
  <c r="V98" i="66"/>
  <c r="V102" i="66"/>
  <c r="V106" i="66"/>
  <c r="V78" i="67"/>
  <c r="V72" i="67"/>
  <c r="V66" i="67"/>
  <c r="V65" i="67"/>
  <c r="V61" i="67"/>
  <c r="V49" i="67"/>
  <c r="V41" i="67"/>
  <c r="V29" i="67"/>
  <c r="V25" i="67"/>
  <c r="V21" i="67"/>
  <c r="V76" i="67"/>
  <c r="V74" i="67"/>
  <c r="V70" i="67"/>
  <c r="V54" i="67"/>
  <c r="V46" i="67"/>
  <c r="V38" i="67"/>
  <c r="V34" i="67"/>
  <c r="V26" i="67"/>
  <c r="J25" i="67"/>
  <c r="J43" i="67"/>
  <c r="J46" i="67"/>
  <c r="V50" i="67"/>
  <c r="J52" i="67"/>
  <c r="V53" i="67"/>
  <c r="N58" i="67"/>
  <c r="X64" i="67"/>
  <c r="V67" i="67"/>
  <c r="T156" i="69"/>
  <c r="V156" i="69" s="1"/>
  <c r="F93" i="69"/>
  <c r="N108" i="69"/>
  <c r="L108" i="69"/>
  <c r="R136" i="69"/>
  <c r="R143" i="69"/>
  <c r="V32" i="64"/>
  <c r="V40" i="64"/>
  <c r="T47" i="64"/>
  <c r="V56" i="64"/>
  <c r="V60" i="64"/>
  <c r="V68" i="64"/>
  <c r="J70" i="64"/>
  <c r="V76" i="64"/>
  <c r="X79" i="64"/>
  <c r="Z79" i="64" s="1"/>
  <c r="V80" i="64"/>
  <c r="L81" i="64"/>
  <c r="J84" i="64"/>
  <c r="V88" i="64"/>
  <c r="X91" i="64"/>
  <c r="Z91" i="64" s="1"/>
  <c r="V92" i="64"/>
  <c r="V96" i="64"/>
  <c r="X99" i="64"/>
  <c r="Z99" i="64" s="1"/>
  <c r="V100" i="64"/>
  <c r="V106" i="64"/>
  <c r="N12" i="65"/>
  <c r="L15" i="65"/>
  <c r="X21" i="65"/>
  <c r="V26" i="65"/>
  <c r="R27" i="65"/>
  <c r="J30" i="65"/>
  <c r="J34" i="65"/>
  <c r="V38" i="65"/>
  <c r="R39" i="65"/>
  <c r="V42" i="65"/>
  <c r="R43" i="65"/>
  <c r="J44" i="65"/>
  <c r="R48" i="65"/>
  <c r="V50" i="65"/>
  <c r="R51" i="65"/>
  <c r="J52" i="65"/>
  <c r="V54" i="65"/>
  <c r="L55" i="65"/>
  <c r="L36" i="66"/>
  <c r="N36" i="66" s="1"/>
  <c r="L56" i="66"/>
  <c r="N56" i="66" s="1"/>
  <c r="L84" i="66"/>
  <c r="N84" i="66" s="1"/>
  <c r="X94" i="66"/>
  <c r="Z94" i="66" s="1"/>
  <c r="L96" i="66"/>
  <c r="N96" i="66" s="1"/>
  <c r="L100" i="66"/>
  <c r="N100" i="66" s="1"/>
  <c r="Z64" i="67"/>
  <c r="X69" i="67"/>
  <c r="F62" i="69"/>
  <c r="F70" i="69"/>
  <c r="F78" i="69"/>
  <c r="F83" i="69"/>
  <c r="F107" i="69"/>
  <c r="F135" i="69"/>
  <c r="F142" i="69"/>
  <c r="R48" i="63"/>
  <c r="V25" i="64"/>
  <c r="V33" i="64"/>
  <c r="V41" i="64"/>
  <c r="V47" i="64"/>
  <c r="J53" i="64"/>
  <c r="V57" i="64"/>
  <c r="J59" i="64"/>
  <c r="V61" i="64"/>
  <c r="J65" i="64"/>
  <c r="V69" i="64"/>
  <c r="J73" i="64"/>
  <c r="V77" i="64"/>
  <c r="J79" i="64"/>
  <c r="V85" i="64"/>
  <c r="V89" i="64"/>
  <c r="J91" i="64"/>
  <c r="V93" i="64"/>
  <c r="V97" i="64"/>
  <c r="R19" i="65"/>
  <c r="J21" i="65"/>
  <c r="J23" i="65"/>
  <c r="V27" i="65"/>
  <c r="R28" i="65"/>
  <c r="V31" i="65"/>
  <c r="R32" i="65"/>
  <c r="J35" i="65"/>
  <c r="V39" i="65"/>
  <c r="V43" i="65"/>
  <c r="J47" i="65"/>
  <c r="V51" i="65"/>
  <c r="J59" i="65"/>
  <c r="J63" i="65"/>
  <c r="V65" i="65"/>
  <c r="J69" i="65"/>
  <c r="V111" i="66"/>
  <c r="Z19" i="67"/>
  <c r="L55" i="67"/>
  <c r="N55" i="67" s="1"/>
  <c r="X12" i="69"/>
  <c r="F54" i="69"/>
  <c r="R84" i="69"/>
  <c r="R90" i="69"/>
  <c r="L110" i="69"/>
  <c r="N110" i="69" s="1"/>
  <c r="L113" i="69"/>
  <c r="N113" i="69" s="1"/>
  <c r="R132" i="69"/>
  <c r="V86" i="64"/>
  <c r="V90" i="64"/>
  <c r="V94" i="64"/>
  <c r="J16" i="65"/>
  <c r="T19" i="65"/>
  <c r="J24" i="65"/>
  <c r="V28" i="65"/>
  <c r="V32" i="65"/>
  <c r="J36" i="65"/>
  <c r="V40" i="65"/>
  <c r="J42" i="65"/>
  <c r="J50" i="65"/>
  <c r="J56" i="65"/>
  <c r="R58" i="69"/>
  <c r="R66" i="69"/>
  <c r="R74" i="69"/>
  <c r="N82" i="69"/>
  <c r="F86" i="69"/>
  <c r="R92" i="69"/>
  <c r="R94" i="69"/>
  <c r="F100" i="69"/>
  <c r="L106" i="69"/>
  <c r="T85" i="70"/>
  <c r="V28" i="70"/>
  <c r="Z12" i="69"/>
  <c r="J54" i="69"/>
  <c r="V58" i="69"/>
  <c r="J62" i="69"/>
  <c r="V66" i="69"/>
  <c r="J70" i="69"/>
  <c r="V74" i="69"/>
  <c r="J78" i="69"/>
  <c r="V80" i="69"/>
  <c r="J86" i="69"/>
  <c r="V90" i="69"/>
  <c r="V94" i="69"/>
  <c r="J98" i="69"/>
  <c r="V103" i="69"/>
  <c r="J107" i="69"/>
  <c r="J109" i="69"/>
  <c r="J111" i="69"/>
  <c r="V119" i="69"/>
  <c r="V127" i="69"/>
  <c r="J80" i="70"/>
  <c r="J72" i="70"/>
  <c r="J54" i="70"/>
  <c r="J44" i="70"/>
  <c r="J40" i="70"/>
  <c r="J32" i="70"/>
  <c r="J30" i="70"/>
  <c r="J26" i="70"/>
  <c r="J77" i="70"/>
  <c r="J69" i="70"/>
  <c r="J59" i="70"/>
  <c r="J51" i="70"/>
  <c r="J43" i="70"/>
  <c r="J39" i="70"/>
  <c r="J83" i="70"/>
  <c r="J66" i="70"/>
  <c r="J62" i="70"/>
  <c r="J56" i="70"/>
  <c r="J50" i="70"/>
  <c r="J42" i="70"/>
  <c r="J38" i="70"/>
  <c r="J79" i="70"/>
  <c r="J71" i="70"/>
  <c r="J65" i="70"/>
  <c r="J61" i="70"/>
  <c r="J53" i="70"/>
  <c r="J49" i="70"/>
  <c r="J37" i="70"/>
  <c r="J31" i="70"/>
  <c r="J76" i="70"/>
  <c r="J68" i="70"/>
  <c r="J64" i="70"/>
  <c r="J58" i="70"/>
  <c r="J48" i="70"/>
  <c r="J36" i="70"/>
  <c r="N12" i="70"/>
  <c r="J87" i="70"/>
  <c r="J75" i="70"/>
  <c r="J55" i="70"/>
  <c r="J47" i="70"/>
  <c r="J41" i="70"/>
  <c r="J35" i="70"/>
  <c r="H28" i="70"/>
  <c r="J46" i="70"/>
  <c r="J60" i="70"/>
  <c r="J73" i="70"/>
  <c r="Z102" i="71"/>
  <c r="P105" i="71"/>
  <c r="X105" i="71" s="1"/>
  <c r="Z105" i="71" s="1"/>
  <c r="X106" i="71"/>
  <c r="J39" i="72"/>
  <c r="J32" i="72"/>
  <c r="J14" i="72"/>
  <c r="N12" i="72"/>
  <c r="J27" i="72"/>
  <c r="J21" i="72"/>
  <c r="J30" i="72"/>
  <c r="J23" i="72"/>
  <c r="J15" i="72"/>
  <c r="J34" i="72"/>
  <c r="J22" i="72"/>
  <c r="J20" i="72"/>
  <c r="J25" i="72"/>
  <c r="J18" i="72"/>
  <c r="J29" i="72"/>
  <c r="H18" i="72"/>
  <c r="J16" i="72"/>
  <c r="X29" i="72"/>
  <c r="J158" i="69"/>
  <c r="J153" i="69"/>
  <c r="J146" i="69"/>
  <c r="J140" i="69"/>
  <c r="J134" i="69"/>
  <c r="J124" i="69"/>
  <c r="J118" i="69"/>
  <c r="J112" i="69"/>
  <c r="J106" i="69"/>
  <c r="J143" i="69"/>
  <c r="J150" i="69"/>
  <c r="J138" i="69"/>
  <c r="J130" i="69"/>
  <c r="J126" i="69"/>
  <c r="J120" i="69"/>
  <c r="J114" i="69"/>
  <c r="J108" i="69"/>
  <c r="J152" i="69"/>
  <c r="J145" i="69"/>
  <c r="J137" i="69"/>
  <c r="J133" i="69"/>
  <c r="J129" i="69"/>
  <c r="J123" i="69"/>
  <c r="J117" i="69"/>
  <c r="J148" i="69"/>
  <c r="J142" i="69"/>
  <c r="J136" i="69"/>
  <c r="J132" i="69"/>
  <c r="J128" i="69"/>
  <c r="J116" i="69"/>
  <c r="J110" i="69"/>
  <c r="J154" i="69"/>
  <c r="J147" i="69"/>
  <c r="J135" i="69"/>
  <c r="J125" i="69"/>
  <c r="J119" i="69"/>
  <c r="J56" i="69"/>
  <c r="V60" i="69"/>
  <c r="J64" i="69"/>
  <c r="V68" i="69"/>
  <c r="J72" i="69"/>
  <c r="V76" i="69"/>
  <c r="J80" i="69"/>
  <c r="V84" i="69"/>
  <c r="J88" i="69"/>
  <c r="V92" i="69"/>
  <c r="V96" i="69"/>
  <c r="J100" i="69"/>
  <c r="J101" i="69"/>
  <c r="J113" i="69"/>
  <c r="V117" i="69"/>
  <c r="V129" i="69"/>
  <c r="V131" i="69"/>
  <c r="Z77" i="71"/>
  <c r="X16" i="69"/>
  <c r="V53" i="69"/>
  <c r="J57" i="69"/>
  <c r="V61" i="69"/>
  <c r="J65" i="69"/>
  <c r="V69" i="69"/>
  <c r="J73" i="69"/>
  <c r="V77" i="69"/>
  <c r="J83" i="69"/>
  <c r="V85" i="69"/>
  <c r="J89" i="69"/>
  <c r="V97" i="69"/>
  <c r="J102" i="69"/>
  <c r="V109" i="69"/>
  <c r="J115" i="69"/>
  <c r="J121" i="69"/>
  <c r="L134" i="69"/>
  <c r="N134" i="69" s="1"/>
  <c r="J141" i="69"/>
  <c r="X142" i="69"/>
  <c r="J151" i="69"/>
  <c r="X31" i="70"/>
  <c r="J63" i="70"/>
  <c r="N67" i="70"/>
  <c r="X79" i="70"/>
  <c r="L82" i="70"/>
  <c r="Z33" i="71"/>
  <c r="L79" i="71"/>
  <c r="X86" i="71"/>
  <c r="J26" i="72"/>
  <c r="J36" i="72"/>
  <c r="N12" i="69"/>
  <c r="X53" i="69"/>
  <c r="Z53" i="69" s="1"/>
  <c r="V54" i="69"/>
  <c r="J58" i="69"/>
  <c r="V62" i="69"/>
  <c r="J66" i="69"/>
  <c r="V70" i="69"/>
  <c r="J74" i="69"/>
  <c r="V78" i="69"/>
  <c r="V82" i="69"/>
  <c r="L83" i="69"/>
  <c r="N83" i="69" s="1"/>
  <c r="V86" i="69"/>
  <c r="J90" i="69"/>
  <c r="J94" i="69"/>
  <c r="V98" i="69"/>
  <c r="J103" i="69"/>
  <c r="V106" i="69"/>
  <c r="V107" i="69"/>
  <c r="Z110" i="69"/>
  <c r="V111" i="69"/>
  <c r="X123" i="69"/>
  <c r="Z123" i="69" s="1"/>
  <c r="J127" i="69"/>
  <c r="V135" i="69"/>
  <c r="V138" i="69"/>
  <c r="Z142" i="69"/>
  <c r="N150" i="69"/>
  <c r="V152" i="69"/>
  <c r="L154" i="69"/>
  <c r="D150" i="69"/>
  <c r="L150" i="69" s="1"/>
  <c r="N82" i="70"/>
  <c r="P82" i="70"/>
  <c r="X82" i="70" s="1"/>
  <c r="Z82" i="70" s="1"/>
  <c r="X83" i="70"/>
  <c r="Z83" i="70" s="1"/>
  <c r="N52" i="71"/>
  <c r="N79" i="71"/>
  <c r="J53" i="69"/>
  <c r="V55" i="69"/>
  <c r="J59" i="69"/>
  <c r="V63" i="69"/>
  <c r="J67" i="69"/>
  <c r="V71" i="69"/>
  <c r="J75" i="69"/>
  <c r="V87" i="69"/>
  <c r="J91" i="69"/>
  <c r="J95" i="69"/>
  <c r="V99" i="69"/>
  <c r="N104" i="69"/>
  <c r="V110" i="69"/>
  <c r="V114" i="69"/>
  <c r="N120" i="69"/>
  <c r="L125" i="69"/>
  <c r="N125" i="69" s="1"/>
  <c r="J131" i="69"/>
  <c r="V133" i="69"/>
  <c r="L144" i="69"/>
  <c r="P12" i="70"/>
  <c r="X16" i="70"/>
  <c r="Z31" i="70"/>
  <c r="N52" i="70"/>
  <c r="X58" i="70"/>
  <c r="J82" i="70"/>
  <c r="D12" i="71"/>
  <c r="L16" i="71"/>
  <c r="Z86" i="71"/>
  <c r="P32" i="72"/>
  <c r="X18" i="72"/>
  <c r="V154" i="69"/>
  <c r="V148" i="69"/>
  <c r="V144" i="69"/>
  <c r="V136" i="69"/>
  <c r="V132" i="69"/>
  <c r="V128" i="69"/>
  <c r="V116" i="69"/>
  <c r="V104" i="69"/>
  <c r="V151" i="69"/>
  <c r="V147" i="69"/>
  <c r="V146" i="69"/>
  <c r="V134" i="69"/>
  <c r="V122" i="69"/>
  <c r="V118" i="69"/>
  <c r="V153" i="69"/>
  <c r="V141" i="69"/>
  <c r="V121" i="69"/>
  <c r="V158" i="69"/>
  <c r="V150" i="69"/>
  <c r="V140" i="69"/>
  <c r="V124" i="69"/>
  <c r="V120" i="69"/>
  <c r="V112" i="69"/>
  <c r="V108" i="69"/>
  <c r="V143" i="69"/>
  <c r="V139" i="69"/>
  <c r="V123" i="69"/>
  <c r="V56" i="69"/>
  <c r="J60" i="69"/>
  <c r="V64" i="69"/>
  <c r="J68" i="69"/>
  <c r="V72" i="69"/>
  <c r="J76" i="69"/>
  <c r="J82" i="69"/>
  <c r="J84" i="69"/>
  <c r="V88" i="69"/>
  <c r="J92" i="69"/>
  <c r="J96" i="69"/>
  <c r="V100" i="69"/>
  <c r="V101" i="69"/>
  <c r="J104" i="69"/>
  <c r="J105" i="69"/>
  <c r="V126" i="69"/>
  <c r="Z134" i="69"/>
  <c r="Z58" i="70"/>
  <c r="L60" i="70"/>
  <c r="N60" i="70" s="1"/>
  <c r="L88" i="71"/>
  <c r="N88" i="71" s="1"/>
  <c r="L105" i="71"/>
  <c r="N105" i="71" s="1"/>
  <c r="V31" i="70"/>
  <c r="V39" i="70"/>
  <c r="V43" i="70"/>
  <c r="V51" i="70"/>
  <c r="V59" i="70"/>
  <c r="V71" i="70"/>
  <c r="V79" i="70"/>
  <c r="V83" i="70"/>
  <c r="J38" i="71"/>
  <c r="J46" i="71"/>
  <c r="J52" i="71"/>
  <c r="J54" i="71"/>
  <c r="J62" i="71"/>
  <c r="J66" i="71"/>
  <c r="J74" i="71"/>
  <c r="J82" i="71"/>
  <c r="J88" i="71"/>
  <c r="J94" i="71"/>
  <c r="J98" i="71"/>
  <c r="R36" i="72"/>
  <c r="R26" i="72"/>
  <c r="R34" i="72"/>
  <c r="R29" i="72"/>
  <c r="R21" i="72"/>
  <c r="X12" i="72"/>
  <c r="R27" i="72"/>
  <c r="R24" i="72"/>
  <c r="R18" i="72"/>
  <c r="R14" i="72"/>
  <c r="R22" i="72"/>
  <c r="R25" i="72"/>
  <c r="R30" i="72"/>
  <c r="J83" i="73"/>
  <c r="J77" i="73"/>
  <c r="J86" i="73"/>
  <c r="J79" i="73"/>
  <c r="J74" i="73"/>
  <c r="J68" i="73"/>
  <c r="J64" i="73"/>
  <c r="J60" i="73"/>
  <c r="J54" i="73"/>
  <c r="J46" i="73"/>
  <c r="J40" i="73"/>
  <c r="J28" i="73"/>
  <c r="J20" i="73"/>
  <c r="J71" i="73"/>
  <c r="J67" i="73"/>
  <c r="J63" i="73"/>
  <c r="J51" i="73"/>
  <c r="J39" i="73"/>
  <c r="J27" i="73"/>
  <c r="J19" i="73"/>
  <c r="J73" i="73"/>
  <c r="J59" i="73"/>
  <c r="J53" i="73"/>
  <c r="J45" i="73"/>
  <c r="J37" i="73"/>
  <c r="J33" i="73"/>
  <c r="J69" i="73"/>
  <c r="J65" i="73"/>
  <c r="J55" i="73"/>
  <c r="J47" i="73"/>
  <c r="J43" i="73"/>
  <c r="J31" i="73"/>
  <c r="J25" i="73"/>
  <c r="J17" i="73"/>
  <c r="J81" i="73"/>
  <c r="J72" i="73"/>
  <c r="J58" i="73"/>
  <c r="J52" i="73"/>
  <c r="J42" i="73"/>
  <c r="J30" i="73"/>
  <c r="J22" i="73"/>
  <c r="H22" i="73"/>
  <c r="J24" i="73"/>
  <c r="J61" i="73"/>
  <c r="J62" i="73"/>
  <c r="L21" i="76"/>
  <c r="D90" i="76"/>
  <c r="V32" i="70"/>
  <c r="V40" i="70"/>
  <c r="V44" i="70"/>
  <c r="V56" i="70"/>
  <c r="V72" i="70"/>
  <c r="V80" i="70"/>
  <c r="J33" i="71"/>
  <c r="J39" i="71"/>
  <c r="J47" i="71"/>
  <c r="J55" i="71"/>
  <c r="J63" i="71"/>
  <c r="J67" i="71"/>
  <c r="J77" i="71"/>
  <c r="J91" i="71"/>
  <c r="J99" i="71"/>
  <c r="Z14" i="72"/>
  <c r="T18" i="72"/>
  <c r="X26" i="72"/>
  <c r="N12" i="73"/>
  <c r="J29" i="73"/>
  <c r="J34" i="73"/>
  <c r="J49" i="73"/>
  <c r="J66" i="73"/>
  <c r="V33" i="70"/>
  <c r="V45" i="70"/>
  <c r="V57" i="70"/>
  <c r="V69" i="70"/>
  <c r="V73" i="70"/>
  <c r="V77" i="70"/>
  <c r="J40" i="71"/>
  <c r="J48" i="71"/>
  <c r="J56" i="71"/>
  <c r="J68" i="71"/>
  <c r="J80" i="71"/>
  <c r="J86" i="71"/>
  <c r="J92" i="71"/>
  <c r="J102" i="71"/>
  <c r="J111" i="71"/>
  <c r="J35" i="73"/>
  <c r="J44" i="73"/>
  <c r="J48" i="73"/>
  <c r="J50" i="73"/>
  <c r="Z52" i="73"/>
  <c r="X62" i="73"/>
  <c r="Z62" i="73" s="1"/>
  <c r="J70" i="73"/>
  <c r="N46" i="76"/>
  <c r="V26" i="70"/>
  <c r="V30" i="70"/>
  <c r="V34" i="70"/>
  <c r="V46" i="70"/>
  <c r="V54" i="70"/>
  <c r="V70" i="70"/>
  <c r="V74" i="70"/>
  <c r="V78" i="70"/>
  <c r="J41" i="71"/>
  <c r="H50" i="71"/>
  <c r="J57" i="71"/>
  <c r="J69" i="71"/>
  <c r="J75" i="71"/>
  <c r="J83" i="71"/>
  <c r="J89" i="71"/>
  <c r="J95" i="71"/>
  <c r="J106" i="71"/>
  <c r="L20" i="72"/>
  <c r="T83" i="73"/>
  <c r="X35" i="73"/>
  <c r="Z35" i="73" s="1"/>
  <c r="Z72" i="73"/>
  <c r="Z44" i="76"/>
  <c r="V35" i="70"/>
  <c r="V47" i="70"/>
  <c r="V55" i="70"/>
  <c r="V63" i="70"/>
  <c r="V67" i="70"/>
  <c r="V75" i="70"/>
  <c r="V85" i="70"/>
  <c r="V87" i="70"/>
  <c r="J58" i="71"/>
  <c r="J64" i="71"/>
  <c r="J70" i="71"/>
  <c r="J78" i="71"/>
  <c r="J100" i="71"/>
  <c r="L21" i="72"/>
  <c r="J75" i="73"/>
  <c r="H70" i="74"/>
  <c r="N19" i="74"/>
  <c r="Z50" i="74"/>
  <c r="X50" i="74"/>
  <c r="V36" i="70"/>
  <c r="V48" i="70"/>
  <c r="V52" i="70"/>
  <c r="V60" i="70"/>
  <c r="V64" i="70"/>
  <c r="V68" i="70"/>
  <c r="V76" i="70"/>
  <c r="P12" i="71"/>
  <c r="J35" i="71"/>
  <c r="J43" i="71"/>
  <c r="J53" i="71"/>
  <c r="J59" i="71"/>
  <c r="J71" i="71"/>
  <c r="J81" i="71"/>
  <c r="J87" i="71"/>
  <c r="J93" i="71"/>
  <c r="J103" i="71"/>
  <c r="F25" i="72"/>
  <c r="F20" i="72"/>
  <c r="F29" i="72"/>
  <c r="D18" i="72"/>
  <c r="F16" i="72"/>
  <c r="F36" i="72"/>
  <c r="F26" i="72"/>
  <c r="F23" i="72"/>
  <c r="F15" i="72"/>
  <c r="F21" i="72"/>
  <c r="F22" i="72"/>
  <c r="F24" i="72"/>
  <c r="F27" i="72"/>
  <c r="R32" i="72"/>
  <c r="L13" i="73"/>
  <c r="D12" i="73"/>
  <c r="X14" i="73"/>
  <c r="Z14" i="73" s="1"/>
  <c r="P12" i="73"/>
  <c r="L52" i="73"/>
  <c r="N52" i="73" s="1"/>
  <c r="J57" i="73"/>
  <c r="P70" i="74"/>
  <c r="T53" i="75"/>
  <c r="V26" i="72"/>
  <c r="V30" i="72"/>
  <c r="V36" i="72"/>
  <c r="V18" i="73"/>
  <c r="V26" i="73"/>
  <c r="V34" i="73"/>
  <c r="V38" i="73"/>
  <c r="V50" i="73"/>
  <c r="V62" i="73"/>
  <c r="V66" i="73"/>
  <c r="V70" i="73"/>
  <c r="Z74" i="73"/>
  <c r="V75" i="73"/>
  <c r="N21" i="74"/>
  <c r="Z31" i="74"/>
  <c r="X31" i="74"/>
  <c r="F46" i="74"/>
  <c r="F47" i="74"/>
  <c r="F58" i="74"/>
  <c r="F92" i="76"/>
  <c r="F86" i="76"/>
  <c r="F61" i="76"/>
  <c r="F58" i="76"/>
  <c r="F53" i="76"/>
  <c r="F38" i="76"/>
  <c r="F33" i="76"/>
  <c r="F26" i="76"/>
  <c r="F18" i="76"/>
  <c r="F80" i="76"/>
  <c r="F72" i="76"/>
  <c r="F68" i="76"/>
  <c r="F49" i="76"/>
  <c r="F44" i="76"/>
  <c r="F37" i="76"/>
  <c r="F25" i="76"/>
  <c r="F17" i="76"/>
  <c r="F97" i="76"/>
  <c r="F90" i="76"/>
  <c r="F79" i="76"/>
  <c r="F74" i="76"/>
  <c r="F71" i="76"/>
  <c r="F67" i="76"/>
  <c r="F51" i="76"/>
  <c r="F46" i="76"/>
  <c r="F43" i="76"/>
  <c r="F35" i="76"/>
  <c r="F31" i="76"/>
  <c r="F85" i="76"/>
  <c r="F82" i="76"/>
  <c r="F78" i="76"/>
  <c r="F70" i="76"/>
  <c r="F66" i="76"/>
  <c r="F62" i="76"/>
  <c r="F57" i="76"/>
  <c r="F54" i="76"/>
  <c r="F42" i="76"/>
  <c r="F34" i="76"/>
  <c r="F30" i="76"/>
  <c r="F81" i="76"/>
  <c r="F77" i="76"/>
  <c r="F73" i="76"/>
  <c r="F69" i="76"/>
  <c r="F65" i="76"/>
  <c r="F48" i="76"/>
  <c r="F45" i="76"/>
  <c r="F41" i="76"/>
  <c r="F29" i="76"/>
  <c r="F24" i="76"/>
  <c r="F16" i="76"/>
  <c r="F84" i="76"/>
  <c r="F76" i="76"/>
  <c r="F64" i="76"/>
  <c r="F59" i="76"/>
  <c r="F56" i="76"/>
  <c r="F40" i="76"/>
  <c r="F28" i="76"/>
  <c r="F21" i="76"/>
  <c r="F94" i="76"/>
  <c r="F88" i="76"/>
  <c r="F75" i="76"/>
  <c r="V27" i="76"/>
  <c r="F39" i="76"/>
  <c r="F47" i="76"/>
  <c r="V19" i="73"/>
  <c r="V27" i="73"/>
  <c r="V39" i="73"/>
  <c r="V51" i="73"/>
  <c r="V59" i="73"/>
  <c r="V63" i="73"/>
  <c r="V67" i="73"/>
  <c r="V71" i="73"/>
  <c r="V74" i="73"/>
  <c r="V77" i="73"/>
  <c r="F52" i="74"/>
  <c r="F49" i="74"/>
  <c r="F44" i="74"/>
  <c r="F41" i="74"/>
  <c r="F33" i="74"/>
  <c r="F29" i="74"/>
  <c r="F63" i="74"/>
  <c r="F55" i="74"/>
  <c r="F40" i="74"/>
  <c r="F32" i="74"/>
  <c r="F28" i="74"/>
  <c r="F15" i="74"/>
  <c r="F65" i="74"/>
  <c r="F62" i="74"/>
  <c r="F54" i="74"/>
  <c r="F38" i="74"/>
  <c r="F26" i="74"/>
  <c r="F19" i="74"/>
  <c r="F61" i="74"/>
  <c r="F57" i="74"/>
  <c r="F53" i="74"/>
  <c r="F48" i="74"/>
  <c r="F45" i="74"/>
  <c r="F37" i="74"/>
  <c r="F25" i="74"/>
  <c r="D19" i="74"/>
  <c r="F17" i="74"/>
  <c r="F64" i="74"/>
  <c r="F60" i="74"/>
  <c r="F56" i="74"/>
  <c r="F36" i="74"/>
  <c r="F31" i="74"/>
  <c r="F24" i="74"/>
  <c r="F16" i="74"/>
  <c r="F27" i="74"/>
  <c r="F43" i="74"/>
  <c r="N44" i="74"/>
  <c r="L44" i="74"/>
  <c r="F72" i="74"/>
  <c r="F74" i="74"/>
  <c r="X14" i="75"/>
  <c r="P12" i="75"/>
  <c r="N18" i="75"/>
  <c r="J26" i="75"/>
  <c r="F32" i="76"/>
  <c r="F36" i="76"/>
  <c r="X44" i="76"/>
  <c r="L46" i="76"/>
  <c r="F60" i="76"/>
  <c r="F63" i="76"/>
  <c r="Z68" i="76"/>
  <c r="Z54" i="77"/>
  <c r="V29" i="73"/>
  <c r="V41" i="73"/>
  <c r="V49" i="73"/>
  <c r="V57" i="73"/>
  <c r="V61" i="73"/>
  <c r="X25" i="75"/>
  <c r="V23" i="76"/>
  <c r="V42" i="76"/>
  <c r="V47" i="76"/>
  <c r="Z48" i="76"/>
  <c r="X72" i="76"/>
  <c r="Z72" i="76" s="1"/>
  <c r="N74" i="76"/>
  <c r="V75" i="76"/>
  <c r="X80" i="76"/>
  <c r="Z35" i="77"/>
  <c r="T90" i="76"/>
  <c r="V90" i="76" s="1"/>
  <c r="Z80" i="76"/>
  <c r="L24" i="72"/>
  <c r="L24" i="73"/>
  <c r="N24" i="73" s="1"/>
  <c r="V31" i="73"/>
  <c r="V35" i="73"/>
  <c r="V43" i="73"/>
  <c r="V47" i="73"/>
  <c r="V55" i="73"/>
  <c r="N74" i="73"/>
  <c r="Z46" i="74"/>
  <c r="F51" i="74"/>
  <c r="N52" i="74"/>
  <c r="L52" i="74"/>
  <c r="F70" i="74"/>
  <c r="F77" i="74"/>
  <c r="V22" i="73"/>
  <c r="V32" i="73"/>
  <c r="V36" i="73"/>
  <c r="V44" i="73"/>
  <c r="V52" i="73"/>
  <c r="Z42" i="74"/>
  <c r="X42" i="74"/>
  <c r="F50" i="74"/>
  <c r="V81" i="76"/>
  <c r="V77" i="76"/>
  <c r="V73" i="76"/>
  <c r="V69" i="76"/>
  <c r="V65" i="76"/>
  <c r="V61" i="76"/>
  <c r="V53" i="76"/>
  <c r="V45" i="76"/>
  <c r="V41" i="76"/>
  <c r="V33" i="76"/>
  <c r="V29" i="76"/>
  <c r="V84" i="76"/>
  <c r="V80" i="76"/>
  <c r="V76" i="76"/>
  <c r="V72" i="76"/>
  <c r="V68" i="76"/>
  <c r="V64" i="76"/>
  <c r="V56" i="76"/>
  <c r="V44" i="76"/>
  <c r="V40" i="76"/>
  <c r="V28" i="76"/>
  <c r="V92" i="76"/>
  <c r="V86" i="76"/>
  <c r="V74" i="76"/>
  <c r="V58" i="76"/>
  <c r="V46" i="76"/>
  <c r="V38" i="76"/>
  <c r="V26" i="76"/>
  <c r="V18" i="76"/>
  <c r="V85" i="76"/>
  <c r="V57" i="76"/>
  <c r="V49" i="76"/>
  <c r="V37" i="76"/>
  <c r="V25" i="76"/>
  <c r="V17" i="76"/>
  <c r="V60" i="76"/>
  <c r="V52" i="76"/>
  <c r="V48" i="76"/>
  <c r="V36" i="76"/>
  <c r="V32" i="76"/>
  <c r="V24" i="76"/>
  <c r="V16" i="76"/>
  <c r="V79" i="76"/>
  <c r="V71" i="76"/>
  <c r="V67" i="76"/>
  <c r="V59" i="76"/>
  <c r="V51" i="76"/>
  <c r="V43" i="76"/>
  <c r="V35" i="76"/>
  <c r="V31" i="76"/>
  <c r="V21" i="76"/>
  <c r="V88" i="76"/>
  <c r="V82" i="76"/>
  <c r="V78" i="76"/>
  <c r="V70" i="76"/>
  <c r="V66" i="76"/>
  <c r="V62" i="76"/>
  <c r="N24" i="76"/>
  <c r="L33" i="76"/>
  <c r="N33" i="76" s="1"/>
  <c r="V50" i="76"/>
  <c r="N53" i="76"/>
  <c r="L53" i="76"/>
  <c r="J53" i="76"/>
  <c r="V54" i="76"/>
  <c r="Z55" i="76"/>
  <c r="Z63" i="76"/>
  <c r="Z55" i="77"/>
  <c r="J33" i="76"/>
  <c r="N61" i="76"/>
  <c r="R128" i="77"/>
  <c r="R121" i="77"/>
  <c r="R113" i="77"/>
  <c r="R109" i="77"/>
  <c r="R105" i="77"/>
  <c r="R101" i="77"/>
  <c r="R89" i="77"/>
  <c r="R86" i="77"/>
  <c r="R81" i="77"/>
  <c r="R78" i="77"/>
  <c r="R69" i="77"/>
  <c r="R124" i="77"/>
  <c r="R117" i="77"/>
  <c r="R112" i="77"/>
  <c r="R108" i="77"/>
  <c r="R104" i="77"/>
  <c r="R100" i="77"/>
  <c r="R97" i="77"/>
  <c r="R92" i="77"/>
  <c r="R68" i="77"/>
  <c r="R64" i="77"/>
  <c r="R123" i="77"/>
  <c r="R120" i="77"/>
  <c r="R111" i="77"/>
  <c r="R88" i="77"/>
  <c r="R83" i="77"/>
  <c r="R80" i="77"/>
  <c r="R75" i="77"/>
  <c r="R67" i="77"/>
  <c r="R63" i="77"/>
  <c r="R132" i="77"/>
  <c r="R126" i="77"/>
  <c r="R107" i="77"/>
  <c r="R103" i="77"/>
  <c r="R99" i="77"/>
  <c r="R94" i="77"/>
  <c r="R91" i="77"/>
  <c r="R74" i="77"/>
  <c r="R66" i="77"/>
  <c r="R62" i="77"/>
  <c r="R122" i="77"/>
  <c r="R110" i="77"/>
  <c r="R85" i="77"/>
  <c r="R82" i="77"/>
  <c r="R77" i="77"/>
  <c r="R73" i="77"/>
  <c r="R61" i="77"/>
  <c r="R125" i="77"/>
  <c r="R116" i="77"/>
  <c r="R96" i="77"/>
  <c r="R93" i="77"/>
  <c r="R72" i="77"/>
  <c r="R65" i="77"/>
  <c r="R119" i="77"/>
  <c r="R115" i="77"/>
  <c r="R87" i="77"/>
  <c r="R84" i="77"/>
  <c r="R79" i="77"/>
  <c r="R76" i="77"/>
  <c r="R71" i="77"/>
  <c r="R102" i="77"/>
  <c r="R98" i="77"/>
  <c r="R55" i="77"/>
  <c r="R46" i="77"/>
  <c r="R38" i="77"/>
  <c r="X12" i="77"/>
  <c r="Z12" i="77" s="1"/>
  <c r="R45" i="77"/>
  <c r="R37" i="77"/>
  <c r="R60" i="77"/>
  <c r="P52" i="77"/>
  <c r="R114" i="77"/>
  <c r="R70" i="77"/>
  <c r="R59" i="77"/>
  <c r="R43" i="77"/>
  <c r="R106" i="77"/>
  <c r="R58" i="77"/>
  <c r="R50" i="77"/>
  <c r="R42" i="77"/>
  <c r="R35" i="77"/>
  <c r="R57" i="77"/>
  <c r="R54" i="77"/>
  <c r="R49" i="77"/>
  <c r="R41" i="77"/>
  <c r="R90" i="77"/>
  <c r="R56" i="77"/>
  <c r="R48" i="77"/>
  <c r="R40" i="77"/>
  <c r="R118" i="77"/>
  <c r="R95" i="77"/>
  <c r="R47" i="77"/>
  <c r="R39" i="77"/>
  <c r="R36" i="77"/>
  <c r="R44" i="77"/>
  <c r="Z16" i="80"/>
  <c r="T32" i="80"/>
  <c r="X18" i="81"/>
  <c r="Z18" i="81" s="1"/>
  <c r="J61" i="76"/>
  <c r="D12" i="77"/>
  <c r="H134" i="77"/>
  <c r="J134" i="77" s="1"/>
  <c r="V55" i="77"/>
  <c r="V101" i="77"/>
  <c r="Z125" i="77"/>
  <c r="R65" i="83"/>
  <c r="R61" i="83"/>
  <c r="R57" i="83"/>
  <c r="R37" i="83"/>
  <c r="R64" i="83"/>
  <c r="R56" i="83"/>
  <c r="R53" i="83"/>
  <c r="R48" i="83"/>
  <c r="R45" i="83"/>
  <c r="R36" i="83"/>
  <c r="R24" i="83"/>
  <c r="R21" i="83"/>
  <c r="X12" i="83"/>
  <c r="R84" i="83"/>
  <c r="R78" i="83"/>
  <c r="R71" i="83"/>
  <c r="R60" i="83"/>
  <c r="R35" i="83"/>
  <c r="R31" i="83"/>
  <c r="R23" i="83"/>
  <c r="R16" i="83"/>
  <c r="R73" i="83"/>
  <c r="R69" i="83"/>
  <c r="R41" i="83"/>
  <c r="R33" i="83"/>
  <c r="R29" i="83"/>
  <c r="R22" i="83"/>
  <c r="R82" i="83"/>
  <c r="R76" i="83"/>
  <c r="R75" i="83"/>
  <c r="R72" i="83"/>
  <c r="R63" i="83"/>
  <c r="R46" i="83"/>
  <c r="R38" i="83"/>
  <c r="R30" i="83"/>
  <c r="R28" i="83"/>
  <c r="R27" i="83"/>
  <c r="R74" i="83"/>
  <c r="R43" i="83"/>
  <c r="R39" i="83"/>
  <c r="R87" i="83"/>
  <c r="R58" i="83"/>
  <c r="R54" i="83"/>
  <c r="R44" i="83"/>
  <c r="R40" i="83"/>
  <c r="R32" i="83"/>
  <c r="R66" i="83"/>
  <c r="R62" i="83"/>
  <c r="R59" i="83"/>
  <c r="R51" i="83"/>
  <c r="R42" i="83"/>
  <c r="R34" i="83"/>
  <c r="R67" i="83"/>
  <c r="R52" i="83"/>
  <c r="R49" i="83"/>
  <c r="R68" i="83"/>
  <c r="R50" i="83"/>
  <c r="R47" i="83"/>
  <c r="R70" i="83"/>
  <c r="R19" i="83"/>
  <c r="R17" i="83"/>
  <c r="R80" i="83"/>
  <c r="R55" i="83"/>
  <c r="R25" i="83"/>
  <c r="P19" i="83"/>
  <c r="R26" i="83"/>
  <c r="Z72" i="83"/>
  <c r="X72" i="83"/>
  <c r="R19" i="74"/>
  <c r="J21" i="74"/>
  <c r="J23" i="74"/>
  <c r="V27" i="74"/>
  <c r="R28" i="74"/>
  <c r="V31" i="74"/>
  <c r="R32" i="74"/>
  <c r="J35" i="74"/>
  <c r="V39" i="74"/>
  <c r="R40" i="74"/>
  <c r="V43" i="74"/>
  <c r="J47" i="74"/>
  <c r="V51" i="74"/>
  <c r="J59" i="74"/>
  <c r="R65" i="74"/>
  <c r="D12" i="75"/>
  <c r="V21" i="75"/>
  <c r="V25" i="75"/>
  <c r="V29" i="75"/>
  <c r="J33" i="75"/>
  <c r="J37" i="75"/>
  <c r="V41" i="75"/>
  <c r="J45" i="75"/>
  <c r="V47" i="75"/>
  <c r="J51" i="75"/>
  <c r="V53" i="75"/>
  <c r="H21" i="76"/>
  <c r="J28" i="76"/>
  <c r="J40" i="76"/>
  <c r="J50" i="76"/>
  <c r="J56" i="76"/>
  <c r="X59" i="76"/>
  <c r="Z59" i="76" s="1"/>
  <c r="L61" i="76"/>
  <c r="J64" i="76"/>
  <c r="J76" i="76"/>
  <c r="J84" i="76"/>
  <c r="J88" i="76"/>
  <c r="J130" i="77"/>
  <c r="J122" i="77"/>
  <c r="J116" i="77"/>
  <c r="J110" i="77"/>
  <c r="J96" i="77"/>
  <c r="J82" i="77"/>
  <c r="J72" i="77"/>
  <c r="J125" i="77"/>
  <c r="J119" i="77"/>
  <c r="J115" i="77"/>
  <c r="J93" i="77"/>
  <c r="J87" i="77"/>
  <c r="J79" i="77"/>
  <c r="J71" i="77"/>
  <c r="J65" i="77"/>
  <c r="J118" i="77"/>
  <c r="J114" i="77"/>
  <c r="J106" i="77"/>
  <c r="J102" i="77"/>
  <c r="J98" i="77"/>
  <c r="J90" i="77"/>
  <c r="J84" i="77"/>
  <c r="J76" i="77"/>
  <c r="J70" i="77"/>
  <c r="J121" i="77"/>
  <c r="J113" i="77"/>
  <c r="J109" i="77"/>
  <c r="J105" i="77"/>
  <c r="J101" i="77"/>
  <c r="J95" i="77"/>
  <c r="J89" i="77"/>
  <c r="J81" i="77"/>
  <c r="J69" i="77"/>
  <c r="J128" i="77"/>
  <c r="J124" i="77"/>
  <c r="J112" i="77"/>
  <c r="J108" i="77"/>
  <c r="J104" i="77"/>
  <c r="J100" i="77"/>
  <c r="J92" i="77"/>
  <c r="J86" i="77"/>
  <c r="J78" i="77"/>
  <c r="J68" i="77"/>
  <c r="J64" i="77"/>
  <c r="J123" i="77"/>
  <c r="J117" i="77"/>
  <c r="J111" i="77"/>
  <c r="J97" i="77"/>
  <c r="J83" i="77"/>
  <c r="J75" i="77"/>
  <c r="J67" i="77"/>
  <c r="J63" i="77"/>
  <c r="J132" i="77"/>
  <c r="J126" i="77"/>
  <c r="J120" i="77"/>
  <c r="J94" i="77"/>
  <c r="J88" i="77"/>
  <c r="J80" i="77"/>
  <c r="J74" i="77"/>
  <c r="J66" i="77"/>
  <c r="J36" i="77"/>
  <c r="V40" i="77"/>
  <c r="J44" i="77"/>
  <c r="V48" i="77"/>
  <c r="J52" i="77"/>
  <c r="V56" i="77"/>
  <c r="J60" i="77"/>
  <c r="J62" i="77"/>
  <c r="N120" i="77"/>
  <c r="L120" i="77"/>
  <c r="V121" i="77"/>
  <c r="Z122" i="77"/>
  <c r="X24" i="78"/>
  <c r="Z24" i="78" s="1"/>
  <c r="N26" i="78"/>
  <c r="L26" i="78"/>
  <c r="X14" i="79"/>
  <c r="P12" i="79"/>
  <c r="R19" i="80"/>
  <c r="F96" i="81"/>
  <c r="J16" i="74"/>
  <c r="T19" i="74"/>
  <c r="R22" i="74"/>
  <c r="J24" i="74"/>
  <c r="V28" i="74"/>
  <c r="R29" i="74"/>
  <c r="V32" i="74"/>
  <c r="R33" i="74"/>
  <c r="J36" i="74"/>
  <c r="V40" i="74"/>
  <c r="R41" i="74"/>
  <c r="J42" i="74"/>
  <c r="R46" i="74"/>
  <c r="V48" i="74"/>
  <c r="R49" i="74"/>
  <c r="J50" i="74"/>
  <c r="J56" i="74"/>
  <c r="R58" i="74"/>
  <c r="J60" i="74"/>
  <c r="J64" i="74"/>
  <c r="J68" i="74"/>
  <c r="R70" i="74"/>
  <c r="J74" i="74"/>
  <c r="R77" i="74"/>
  <c r="V30" i="75"/>
  <c r="J34" i="75"/>
  <c r="J38" i="75"/>
  <c r="V42" i="75"/>
  <c r="X47" i="75"/>
  <c r="X16" i="76"/>
  <c r="Z16" i="76" s="1"/>
  <c r="J21" i="76"/>
  <c r="X24" i="76"/>
  <c r="Z24" i="76" s="1"/>
  <c r="J29" i="76"/>
  <c r="J41" i="76"/>
  <c r="J45" i="76"/>
  <c r="X48" i="76"/>
  <c r="L50" i="76"/>
  <c r="N50" i="76" s="1"/>
  <c r="J59" i="76"/>
  <c r="J65" i="76"/>
  <c r="J69" i="76"/>
  <c r="J73" i="76"/>
  <c r="J77" i="76"/>
  <c r="J81" i="76"/>
  <c r="J37" i="77"/>
  <c r="V41" i="77"/>
  <c r="J45" i="77"/>
  <c r="V49" i="77"/>
  <c r="J55" i="77"/>
  <c r="V57" i="77"/>
  <c r="J61" i="77"/>
  <c r="Z97" i="77"/>
  <c r="V109" i="77"/>
  <c r="Z110" i="77"/>
  <c r="Z56" i="79"/>
  <c r="X12" i="74"/>
  <c r="R15" i="74"/>
  <c r="J17" i="74"/>
  <c r="V19" i="74"/>
  <c r="J25" i="74"/>
  <c r="V29" i="74"/>
  <c r="R30" i="74"/>
  <c r="J31" i="74"/>
  <c r="V33" i="74"/>
  <c r="R34" i="74"/>
  <c r="J37" i="74"/>
  <c r="V41" i="74"/>
  <c r="J45" i="74"/>
  <c r="V49" i="74"/>
  <c r="J53" i="74"/>
  <c r="R55" i="74"/>
  <c r="J57" i="74"/>
  <c r="J61" i="74"/>
  <c r="R63" i="74"/>
  <c r="V65" i="74"/>
  <c r="R66" i="74"/>
  <c r="R72" i="74"/>
  <c r="J19" i="75"/>
  <c r="J25" i="75"/>
  <c r="J27" i="75"/>
  <c r="V31" i="75"/>
  <c r="V35" i="75"/>
  <c r="J39" i="75"/>
  <c r="V43" i="75"/>
  <c r="J47" i="75"/>
  <c r="J16" i="76"/>
  <c r="J24" i="76"/>
  <c r="J30" i="76"/>
  <c r="J34" i="76"/>
  <c r="J42" i="76"/>
  <c r="J48" i="76"/>
  <c r="J54" i="76"/>
  <c r="J62" i="76"/>
  <c r="J66" i="76"/>
  <c r="J70" i="76"/>
  <c r="J78" i="76"/>
  <c r="J82" i="76"/>
  <c r="J38" i="77"/>
  <c r="V42" i="77"/>
  <c r="J46" i="77"/>
  <c r="V50" i="77"/>
  <c r="V54" i="77"/>
  <c r="V58" i="77"/>
  <c r="J85" i="77"/>
  <c r="V89" i="77"/>
  <c r="V97" i="77"/>
  <c r="J103" i="77"/>
  <c r="V59" i="77"/>
  <c r="Z76" i="77"/>
  <c r="Z86" i="77"/>
  <c r="N91" i="77"/>
  <c r="J99" i="77"/>
  <c r="Z18" i="80"/>
  <c r="N18" i="81"/>
  <c r="T79" i="82"/>
  <c r="Z77" i="82"/>
  <c r="V15" i="74"/>
  <c r="R16" i="74"/>
  <c r="J19" i="74"/>
  <c r="R21" i="74"/>
  <c r="V23" i="74"/>
  <c r="R24" i="74"/>
  <c r="J27" i="74"/>
  <c r="V35" i="74"/>
  <c r="R36" i="74"/>
  <c r="J39" i="74"/>
  <c r="J43" i="74"/>
  <c r="V47" i="74"/>
  <c r="J51" i="74"/>
  <c r="V55" i="74"/>
  <c r="R56" i="74"/>
  <c r="V59" i="74"/>
  <c r="R60" i="74"/>
  <c r="V63" i="74"/>
  <c r="R64" i="74"/>
  <c r="J65" i="74"/>
  <c r="J21" i="75"/>
  <c r="V23" i="75"/>
  <c r="J29" i="75"/>
  <c r="V33" i="75"/>
  <c r="J35" i="75"/>
  <c r="V37" i="75"/>
  <c r="J41" i="75"/>
  <c r="V45" i="75"/>
  <c r="V49" i="75"/>
  <c r="V51" i="75"/>
  <c r="N12" i="76"/>
  <c r="J32" i="76"/>
  <c r="J36" i="76"/>
  <c r="J46" i="76"/>
  <c r="J52" i="76"/>
  <c r="J60" i="76"/>
  <c r="J74" i="76"/>
  <c r="V124" i="77"/>
  <c r="V120" i="77"/>
  <c r="V112" i="77"/>
  <c r="V108" i="77"/>
  <c r="V104" i="77"/>
  <c r="V100" i="77"/>
  <c r="V92" i="77"/>
  <c r="V88" i="77"/>
  <c r="V80" i="77"/>
  <c r="V68" i="77"/>
  <c r="V64" i="77"/>
  <c r="V123" i="77"/>
  <c r="V111" i="77"/>
  <c r="V107" i="77"/>
  <c r="V103" i="77"/>
  <c r="V99" i="77"/>
  <c r="V91" i="77"/>
  <c r="V83" i="77"/>
  <c r="V75" i="77"/>
  <c r="V67" i="77"/>
  <c r="V63" i="77"/>
  <c r="V132" i="77"/>
  <c r="V126" i="77"/>
  <c r="V122" i="77"/>
  <c r="V110" i="77"/>
  <c r="V94" i="77"/>
  <c r="V82" i="77"/>
  <c r="V74" i="77"/>
  <c r="V66" i="77"/>
  <c r="V62" i="77"/>
  <c r="V125" i="77"/>
  <c r="V93" i="77"/>
  <c r="V85" i="77"/>
  <c r="V77" i="77"/>
  <c r="V73" i="77"/>
  <c r="V65" i="77"/>
  <c r="V61" i="77"/>
  <c r="V116" i="77"/>
  <c r="V96" i="77"/>
  <c r="V84" i="77"/>
  <c r="V76" i="77"/>
  <c r="V72" i="77"/>
  <c r="V119" i="77"/>
  <c r="V115" i="77"/>
  <c r="V95" i="77"/>
  <c r="V87" i="77"/>
  <c r="V79" i="77"/>
  <c r="V71" i="77"/>
  <c r="V128" i="77"/>
  <c r="V118" i="77"/>
  <c r="V114" i="77"/>
  <c r="V106" i="77"/>
  <c r="V102" i="77"/>
  <c r="V98" i="77"/>
  <c r="V90" i="77"/>
  <c r="V86" i="77"/>
  <c r="V78" i="77"/>
  <c r="V70" i="77"/>
  <c r="V36" i="77"/>
  <c r="J40" i="77"/>
  <c r="V44" i="77"/>
  <c r="J48" i="77"/>
  <c r="J54" i="77"/>
  <c r="J56" i="77"/>
  <c r="V60" i="77"/>
  <c r="N78" i="77"/>
  <c r="J91" i="77"/>
  <c r="V113" i="77"/>
  <c r="Z16" i="78"/>
  <c r="X16" i="78"/>
  <c r="N52" i="79"/>
  <c r="L16" i="80"/>
  <c r="D32" i="80"/>
  <c r="R22" i="80"/>
  <c r="F81" i="81"/>
  <c r="F76" i="81"/>
  <c r="F69" i="81"/>
  <c r="F61" i="81"/>
  <c r="F57" i="81"/>
  <c r="F45" i="81"/>
  <c r="F40" i="81"/>
  <c r="F87" i="81"/>
  <c r="F85" i="81"/>
  <c r="F56" i="81"/>
  <c r="F51" i="81"/>
  <c r="F48" i="81"/>
  <c r="F32" i="81"/>
  <c r="F28" i="81"/>
  <c r="F20" i="81"/>
  <c r="F83" i="81"/>
  <c r="F78" i="81"/>
  <c r="F75" i="81"/>
  <c r="F93" i="81"/>
  <c r="F74" i="81"/>
  <c r="F65" i="81"/>
  <c r="F53" i="81"/>
  <c r="F50" i="81"/>
  <c r="F38" i="81"/>
  <c r="F30" i="81"/>
  <c r="F26" i="81"/>
  <c r="F72" i="81"/>
  <c r="F64" i="81"/>
  <c r="F55" i="81"/>
  <c r="F52" i="81"/>
  <c r="F47" i="81"/>
  <c r="F36" i="81"/>
  <c r="F24" i="81"/>
  <c r="F19" i="81"/>
  <c r="F82" i="81"/>
  <c r="F79" i="81"/>
  <c r="F71" i="81"/>
  <c r="F67" i="81"/>
  <c r="F63" i="81"/>
  <c r="F59" i="81"/>
  <c r="F91" i="81"/>
  <c r="F86" i="81"/>
  <c r="F62" i="81"/>
  <c r="F27" i="81"/>
  <c r="F25" i="81"/>
  <c r="F21" i="81"/>
  <c r="F80" i="81"/>
  <c r="F54" i="81"/>
  <c r="F31" i="81"/>
  <c r="F29" i="81"/>
  <c r="F66" i="81"/>
  <c r="F16" i="81"/>
  <c r="F89" i="81"/>
  <c r="F60" i="81"/>
  <c r="F35" i="81"/>
  <c r="F34" i="81"/>
  <c r="F33" i="81"/>
  <c r="D16" i="81"/>
  <c r="F46" i="81"/>
  <c r="F44" i="81"/>
  <c r="F43" i="81"/>
  <c r="F77" i="81"/>
  <c r="F49" i="81"/>
  <c r="L12" i="81"/>
  <c r="F73" i="81"/>
  <c r="F68" i="81"/>
  <c r="F42" i="81"/>
  <c r="F41" i="81"/>
  <c r="F37" i="81"/>
  <c r="F23" i="81"/>
  <c r="F18" i="81"/>
  <c r="F14" i="81"/>
  <c r="J22" i="74"/>
  <c r="V24" i="74"/>
  <c r="R25" i="74"/>
  <c r="J28" i="74"/>
  <c r="J32" i="74"/>
  <c r="V36" i="74"/>
  <c r="R37" i="74"/>
  <c r="J40" i="74"/>
  <c r="R42" i="74"/>
  <c r="V44" i="74"/>
  <c r="R45" i="74"/>
  <c r="J46" i="74"/>
  <c r="R50" i="74"/>
  <c r="V52" i="74"/>
  <c r="R53" i="74"/>
  <c r="V56" i="74"/>
  <c r="R57" i="74"/>
  <c r="J58" i="74"/>
  <c r="V60" i="74"/>
  <c r="R61" i="74"/>
  <c r="R68" i="74"/>
  <c r="J70" i="74"/>
  <c r="V18" i="75"/>
  <c r="H23" i="75"/>
  <c r="V26" i="75"/>
  <c r="J30" i="75"/>
  <c r="V34" i="75"/>
  <c r="P12" i="76"/>
  <c r="J17" i="76"/>
  <c r="J23" i="76"/>
  <c r="J25" i="76"/>
  <c r="J37" i="76"/>
  <c r="J49" i="76"/>
  <c r="J55" i="76"/>
  <c r="J63" i="76"/>
  <c r="J35" i="77"/>
  <c r="V37" i="77"/>
  <c r="J41" i="77"/>
  <c r="V45" i="77"/>
  <c r="J49" i="77"/>
  <c r="T52" i="77"/>
  <c r="J57" i="77"/>
  <c r="V69" i="77"/>
  <c r="J77" i="77"/>
  <c r="X78" i="77"/>
  <c r="Z78" i="77" s="1"/>
  <c r="L80" i="77"/>
  <c r="N80" i="77" s="1"/>
  <c r="V81" i="77"/>
  <c r="V105" i="77"/>
  <c r="L43" i="79"/>
  <c r="R16" i="80"/>
  <c r="R24" i="80"/>
  <c r="R21" i="80"/>
  <c r="P16" i="80"/>
  <c r="R36" i="80"/>
  <c r="R30" i="80"/>
  <c r="R26" i="80"/>
  <c r="R23" i="80"/>
  <c r="R18" i="80"/>
  <c r="R14" i="80"/>
  <c r="R34" i="80"/>
  <c r="R28" i="80"/>
  <c r="R25" i="80"/>
  <c r="R20" i="80"/>
  <c r="X12" i="80"/>
  <c r="R39" i="80"/>
  <c r="R32" i="80"/>
  <c r="N30" i="80"/>
  <c r="L30" i="80"/>
  <c r="Z14" i="81"/>
  <c r="X14" i="81"/>
  <c r="Z47" i="81"/>
  <c r="X47" i="81"/>
  <c r="F58" i="81"/>
  <c r="Z12" i="78"/>
  <c r="F16" i="78"/>
  <c r="V16" i="78"/>
  <c r="R17" i="78"/>
  <c r="H21" i="78"/>
  <c r="F24" i="78"/>
  <c r="V24" i="78"/>
  <c r="R25" i="78"/>
  <c r="J26" i="78"/>
  <c r="J17" i="79"/>
  <c r="F18" i="79"/>
  <c r="D20" i="79"/>
  <c r="T20" i="79"/>
  <c r="J25" i="79"/>
  <c r="F26" i="79"/>
  <c r="V29" i="79"/>
  <c r="V33" i="79"/>
  <c r="J37" i="79"/>
  <c r="F38" i="79"/>
  <c r="V41" i="79"/>
  <c r="J43" i="79"/>
  <c r="F46" i="79"/>
  <c r="J49" i="79"/>
  <c r="V53" i="79"/>
  <c r="J57" i="79"/>
  <c r="F61" i="79"/>
  <c r="V61" i="79"/>
  <c r="J63" i="79"/>
  <c r="V65" i="79"/>
  <c r="V69" i="79"/>
  <c r="V73" i="79"/>
  <c r="J77" i="79"/>
  <c r="F78" i="79"/>
  <c r="J81" i="79"/>
  <c r="V85" i="79"/>
  <c r="J91" i="79"/>
  <c r="J98" i="79"/>
  <c r="F16" i="80"/>
  <c r="V16" i="80"/>
  <c r="V22" i="80"/>
  <c r="J26" i="80"/>
  <c r="J30" i="80"/>
  <c r="J36" i="80"/>
  <c r="J87" i="81"/>
  <c r="J78" i="81"/>
  <c r="J56" i="81"/>
  <c r="J48" i="81"/>
  <c r="J42" i="81"/>
  <c r="J93" i="81"/>
  <c r="J83" i="81"/>
  <c r="J75" i="81"/>
  <c r="J65" i="81"/>
  <c r="J53" i="81"/>
  <c r="J39" i="81"/>
  <c r="J31" i="81"/>
  <c r="J27" i="81"/>
  <c r="J80" i="81"/>
  <c r="J74" i="81"/>
  <c r="J68" i="81"/>
  <c r="J60" i="81"/>
  <c r="J91" i="81"/>
  <c r="J86" i="81"/>
  <c r="J77" i="81"/>
  <c r="J73" i="81"/>
  <c r="J55" i="81"/>
  <c r="J47" i="81"/>
  <c r="J41" i="81"/>
  <c r="J37" i="81"/>
  <c r="J25" i="81"/>
  <c r="J96" i="81"/>
  <c r="J89" i="81"/>
  <c r="J79" i="81"/>
  <c r="J71" i="81"/>
  <c r="J67" i="81"/>
  <c r="J63" i="81"/>
  <c r="J59" i="81"/>
  <c r="J49" i="81"/>
  <c r="J43" i="81"/>
  <c r="J35" i="81"/>
  <c r="J29" i="81"/>
  <c r="J23" i="81"/>
  <c r="J76" i="81"/>
  <c r="J70" i="81"/>
  <c r="J66" i="81"/>
  <c r="J62" i="81"/>
  <c r="J58" i="81"/>
  <c r="J54" i="81"/>
  <c r="J22" i="81"/>
  <c r="V28" i="81"/>
  <c r="R30" i="81"/>
  <c r="R31" i="81"/>
  <c r="J40" i="81"/>
  <c r="V44" i="81"/>
  <c r="J57" i="81"/>
  <c r="J64" i="81"/>
  <c r="J69" i="81"/>
  <c r="R81" i="81"/>
  <c r="J85" i="81"/>
  <c r="R87" i="81"/>
  <c r="N18" i="82"/>
  <c r="H79" i="82"/>
  <c r="Z21" i="83"/>
  <c r="V17" i="78"/>
  <c r="R18" i="78"/>
  <c r="R23" i="78"/>
  <c r="V25" i="78"/>
  <c r="R29" i="78"/>
  <c r="J18" i="79"/>
  <c r="F20" i="79"/>
  <c r="V20" i="79"/>
  <c r="J26" i="79"/>
  <c r="F27" i="79"/>
  <c r="V30" i="79"/>
  <c r="J32" i="79"/>
  <c r="V34" i="79"/>
  <c r="J38" i="79"/>
  <c r="F39" i="79"/>
  <c r="V42" i="79"/>
  <c r="J46" i="79"/>
  <c r="F50" i="79"/>
  <c r="V50" i="79"/>
  <c r="J52" i="79"/>
  <c r="F55" i="79"/>
  <c r="F58" i="79"/>
  <c r="V58" i="79"/>
  <c r="V62" i="79"/>
  <c r="V66" i="79"/>
  <c r="J68" i="79"/>
  <c r="F71" i="79"/>
  <c r="V74" i="79"/>
  <c r="J78" i="79"/>
  <c r="F79" i="79"/>
  <c r="F82" i="79"/>
  <c r="V82" i="79"/>
  <c r="J84" i="79"/>
  <c r="F87" i="79"/>
  <c r="F93" i="79"/>
  <c r="F19" i="80"/>
  <c r="F24" i="80"/>
  <c r="F27" i="80"/>
  <c r="V27" i="80"/>
  <c r="P93" i="81"/>
  <c r="J50" i="81"/>
  <c r="J52" i="81"/>
  <c r="J61" i="81"/>
  <c r="X65" i="81"/>
  <c r="R74" i="81"/>
  <c r="R86" i="81"/>
  <c r="V91" i="81"/>
  <c r="V96" i="81"/>
  <c r="L41" i="82"/>
  <c r="F30" i="83"/>
  <c r="F34" i="83"/>
  <c r="N78" i="83"/>
  <c r="L78" i="83"/>
  <c r="J16" i="78"/>
  <c r="V18" i="78"/>
  <c r="R19" i="78"/>
  <c r="J24" i="78"/>
  <c r="F27" i="78"/>
  <c r="F33" i="78"/>
  <c r="H20" i="79"/>
  <c r="F23" i="79"/>
  <c r="V23" i="79"/>
  <c r="J27" i="79"/>
  <c r="F28" i="79"/>
  <c r="V31" i="79"/>
  <c r="V35" i="79"/>
  <c r="J39" i="79"/>
  <c r="F40" i="79"/>
  <c r="F44" i="79"/>
  <c r="F47" i="79"/>
  <c r="V47" i="79"/>
  <c r="V51" i="79"/>
  <c r="J55" i="79"/>
  <c r="V59" i="79"/>
  <c r="J61" i="79"/>
  <c r="F64" i="79"/>
  <c r="V67" i="79"/>
  <c r="J71" i="79"/>
  <c r="F72" i="79"/>
  <c r="V75" i="79"/>
  <c r="J79" i="79"/>
  <c r="V83" i="79"/>
  <c r="J87" i="79"/>
  <c r="F89" i="79"/>
  <c r="V89" i="79"/>
  <c r="J93" i="79"/>
  <c r="F95" i="79"/>
  <c r="V95" i="79"/>
  <c r="Z12" i="80"/>
  <c r="J16" i="80"/>
  <c r="V20" i="80"/>
  <c r="J24" i="80"/>
  <c r="V28" i="80"/>
  <c r="F32" i="80"/>
  <c r="V32" i="80"/>
  <c r="V34" i="80"/>
  <c r="F39" i="80"/>
  <c r="V39" i="80"/>
  <c r="J36" i="81"/>
  <c r="R38" i="81"/>
  <c r="Z65" i="81"/>
  <c r="J72" i="81"/>
  <c r="V80" i="81"/>
  <c r="L12" i="78"/>
  <c r="N12" i="78" s="1"/>
  <c r="V19" i="78"/>
  <c r="F23" i="78"/>
  <c r="V23" i="78"/>
  <c r="J27" i="78"/>
  <c r="F29" i="78"/>
  <c r="V29" i="78"/>
  <c r="J33" i="78"/>
  <c r="F16" i="79"/>
  <c r="V16" i="79"/>
  <c r="J20" i="79"/>
  <c r="V24" i="79"/>
  <c r="J28" i="79"/>
  <c r="F29" i="79"/>
  <c r="F33" i="79"/>
  <c r="V36" i="79"/>
  <c r="J40" i="79"/>
  <c r="F41" i="79"/>
  <c r="J44" i="79"/>
  <c r="V48" i="79"/>
  <c r="J50" i="79"/>
  <c r="F53" i="79"/>
  <c r="F56" i="79"/>
  <c r="V56" i="79"/>
  <c r="J58" i="79"/>
  <c r="V60" i="79"/>
  <c r="J64" i="79"/>
  <c r="F65" i="79"/>
  <c r="F69" i="79"/>
  <c r="J72" i="79"/>
  <c r="F73" i="79"/>
  <c r="V76" i="79"/>
  <c r="F80" i="79"/>
  <c r="V80" i="79"/>
  <c r="J82" i="79"/>
  <c r="F85" i="79"/>
  <c r="J19" i="80"/>
  <c r="F22" i="80"/>
  <c r="F25" i="80"/>
  <c r="V25" i="80"/>
  <c r="J27" i="80"/>
  <c r="H32" i="80"/>
  <c r="R91" i="81"/>
  <c r="R82" i="81"/>
  <c r="R77" i="81"/>
  <c r="R73" i="81"/>
  <c r="R41" i="81"/>
  <c r="R37" i="81"/>
  <c r="R96" i="81"/>
  <c r="R89" i="81"/>
  <c r="R72" i="81"/>
  <c r="R64" i="81"/>
  <c r="R52" i="81"/>
  <c r="R49" i="81"/>
  <c r="R36" i="81"/>
  <c r="R29" i="81"/>
  <c r="R24" i="81"/>
  <c r="R79" i="81"/>
  <c r="R76" i="81"/>
  <c r="R71" i="81"/>
  <c r="R67" i="81"/>
  <c r="R63" i="81"/>
  <c r="R59" i="81"/>
  <c r="R85" i="81"/>
  <c r="R70" i="81"/>
  <c r="R66" i="81"/>
  <c r="R62" i="81"/>
  <c r="R58" i="81"/>
  <c r="R54" i="81"/>
  <c r="R51" i="81"/>
  <c r="R46" i="81"/>
  <c r="R34" i="81"/>
  <c r="R93" i="81"/>
  <c r="R65" i="81"/>
  <c r="R56" i="81"/>
  <c r="R53" i="81"/>
  <c r="R48" i="81"/>
  <c r="R32" i="81"/>
  <c r="R28" i="81"/>
  <c r="R20" i="81"/>
  <c r="R83" i="81"/>
  <c r="R80" i="81"/>
  <c r="R75" i="81"/>
  <c r="R68" i="81"/>
  <c r="R60" i="81"/>
  <c r="T16" i="81"/>
  <c r="X16" i="81" s="1"/>
  <c r="V21" i="81"/>
  <c r="R22" i="81"/>
  <c r="R23" i="81"/>
  <c r="V37" i="81"/>
  <c r="V38" i="81"/>
  <c r="R40" i="81"/>
  <c r="V41" i="81"/>
  <c r="J45" i="81"/>
  <c r="J46" i="81"/>
  <c r="L49" i="81"/>
  <c r="J51" i="81"/>
  <c r="Z53" i="81"/>
  <c r="L55" i="81"/>
  <c r="R57" i="81"/>
  <c r="R61" i="81"/>
  <c r="R69" i="81"/>
  <c r="V73" i="81"/>
  <c r="R78" i="81"/>
  <c r="F17" i="78"/>
  <c r="P21" i="78"/>
  <c r="F25" i="78"/>
  <c r="R26" i="78"/>
  <c r="J23" i="79"/>
  <c r="V25" i="79"/>
  <c r="J29" i="79"/>
  <c r="F30" i="79"/>
  <c r="J33" i="79"/>
  <c r="F34" i="79"/>
  <c r="V37" i="79"/>
  <c r="J41" i="79"/>
  <c r="F42" i="79"/>
  <c r="F45" i="79"/>
  <c r="V45" i="79"/>
  <c r="J47" i="79"/>
  <c r="V49" i="79"/>
  <c r="J53" i="79"/>
  <c r="V57" i="79"/>
  <c r="F62" i="79"/>
  <c r="J65" i="79"/>
  <c r="F66" i="79"/>
  <c r="J69" i="79"/>
  <c r="J73" i="79"/>
  <c r="F74" i="79"/>
  <c r="V77" i="79"/>
  <c r="V81" i="79"/>
  <c r="J85" i="79"/>
  <c r="J89" i="79"/>
  <c r="J95" i="79"/>
  <c r="F14" i="80"/>
  <c r="V14" i="80"/>
  <c r="F18" i="80"/>
  <c r="V18" i="80"/>
  <c r="J22" i="80"/>
  <c r="V26" i="80"/>
  <c r="J32" i="80"/>
  <c r="J39" i="80"/>
  <c r="V76" i="81"/>
  <c r="V72" i="81"/>
  <c r="V64" i="81"/>
  <c r="V52" i="81"/>
  <c r="V40" i="81"/>
  <c r="V36" i="81"/>
  <c r="V85" i="81"/>
  <c r="V79" i="81"/>
  <c r="V71" i="81"/>
  <c r="V67" i="81"/>
  <c r="V63" i="81"/>
  <c r="V59" i="81"/>
  <c r="V51" i="81"/>
  <c r="V43" i="81"/>
  <c r="V35" i="81"/>
  <c r="V23" i="81"/>
  <c r="V78" i="81"/>
  <c r="V70" i="81"/>
  <c r="V66" i="81"/>
  <c r="V62" i="81"/>
  <c r="V58" i="81"/>
  <c r="V54" i="81"/>
  <c r="V93" i="81"/>
  <c r="V87" i="81"/>
  <c r="V81" i="81"/>
  <c r="V69" i="81"/>
  <c r="V65" i="81"/>
  <c r="V61" i="81"/>
  <c r="V57" i="81"/>
  <c r="V53" i="81"/>
  <c r="V45" i="81"/>
  <c r="V33" i="81"/>
  <c r="V83" i="81"/>
  <c r="V75" i="81"/>
  <c r="V55" i="81"/>
  <c r="V47" i="81"/>
  <c r="V39" i="81"/>
  <c r="V31" i="81"/>
  <c r="V27" i="81"/>
  <c r="V19" i="81"/>
  <c r="V86" i="81"/>
  <c r="V82" i="81"/>
  <c r="V74" i="81"/>
  <c r="V16" i="81"/>
  <c r="V22" i="81"/>
  <c r="J32" i="81"/>
  <c r="J33" i="81"/>
  <c r="J34" i="81"/>
  <c r="J44" i="81"/>
  <c r="V48" i="81"/>
  <c r="R50" i="81"/>
  <c r="V56" i="81"/>
  <c r="X54" i="82"/>
  <c r="X49" i="85"/>
  <c r="Z49" i="85" s="1"/>
  <c r="V49" i="85"/>
  <c r="L84" i="77"/>
  <c r="J17" i="78"/>
  <c r="F18" i="78"/>
  <c r="R21" i="78"/>
  <c r="J23" i="78"/>
  <c r="J25" i="78"/>
  <c r="J29" i="78"/>
  <c r="J16" i="79"/>
  <c r="V18" i="79"/>
  <c r="F22" i="79"/>
  <c r="V22" i="79"/>
  <c r="V26" i="79"/>
  <c r="J30" i="79"/>
  <c r="F31" i="79"/>
  <c r="J34" i="79"/>
  <c r="F35" i="79"/>
  <c r="V38" i="79"/>
  <c r="J42" i="79"/>
  <c r="V46" i="79"/>
  <c r="F51" i="79"/>
  <c r="F54" i="79"/>
  <c r="V54" i="79"/>
  <c r="J56" i="79"/>
  <c r="F59" i="79"/>
  <c r="J62" i="79"/>
  <c r="J66" i="79"/>
  <c r="F67" i="79"/>
  <c r="F70" i="79"/>
  <c r="V70" i="79"/>
  <c r="J74" i="79"/>
  <c r="F75" i="79"/>
  <c r="V78" i="79"/>
  <c r="J80" i="79"/>
  <c r="F83" i="79"/>
  <c r="F86" i="79"/>
  <c r="V86" i="79"/>
  <c r="L12" i="80"/>
  <c r="F20" i="80"/>
  <c r="F23" i="80"/>
  <c r="V23" i="80"/>
  <c r="J25" i="80"/>
  <c r="F28" i="80"/>
  <c r="F34" i="80"/>
  <c r="X12" i="81"/>
  <c r="H16" i="81"/>
  <c r="J28" i="81"/>
  <c r="J30" i="81"/>
  <c r="R42" i="81"/>
  <c r="R43" i="81"/>
  <c r="V50" i="81"/>
  <c r="V68" i="81"/>
  <c r="J81" i="81"/>
  <c r="V89" i="81"/>
  <c r="F84" i="83"/>
  <c r="F78" i="83"/>
  <c r="F73" i="83"/>
  <c r="F69" i="83"/>
  <c r="F60" i="83"/>
  <c r="F41" i="83"/>
  <c r="F33" i="83"/>
  <c r="F82" i="83"/>
  <c r="F76" i="83"/>
  <c r="F68" i="83"/>
  <c r="F63" i="83"/>
  <c r="F55" i="83"/>
  <c r="F52" i="83"/>
  <c r="F47" i="83"/>
  <c r="F44" i="83"/>
  <c r="F40" i="83"/>
  <c r="F28" i="83"/>
  <c r="F67" i="83"/>
  <c r="F59" i="83"/>
  <c r="F39" i="83"/>
  <c r="F27" i="83"/>
  <c r="F22" i="83"/>
  <c r="F87" i="83"/>
  <c r="F80" i="83"/>
  <c r="F72" i="83"/>
  <c r="F65" i="83"/>
  <c r="F61" i="83"/>
  <c r="F57" i="83"/>
  <c r="F37" i="83"/>
  <c r="F32" i="83"/>
  <c r="F25" i="83"/>
  <c r="D19" i="83"/>
  <c r="F17" i="83"/>
  <c r="F75" i="83"/>
  <c r="F51" i="83"/>
  <c r="F50" i="83"/>
  <c r="F48" i="83"/>
  <c r="F36" i="83"/>
  <c r="F23" i="83"/>
  <c r="F49" i="83"/>
  <c r="F24" i="83"/>
  <c r="F71" i="83"/>
  <c r="F70" i="83"/>
  <c r="F56" i="83"/>
  <c r="F26" i="83"/>
  <c r="F19" i="83"/>
  <c r="F64" i="83"/>
  <c r="F46" i="83"/>
  <c r="F38" i="83"/>
  <c r="F21" i="83"/>
  <c r="F16" i="83"/>
  <c r="F74" i="83"/>
  <c r="F58" i="83"/>
  <c r="F54" i="83"/>
  <c r="F45" i="83"/>
  <c r="L12" i="83"/>
  <c r="F66" i="83"/>
  <c r="F62" i="83"/>
  <c r="F43" i="83"/>
  <c r="F92" i="85"/>
  <c r="F89" i="85"/>
  <c r="F85" i="85"/>
  <c r="F76" i="85"/>
  <c r="F64" i="85"/>
  <c r="F61" i="85"/>
  <c r="F95" i="85"/>
  <c r="F88" i="85"/>
  <c r="F84" i="85"/>
  <c r="F91" i="85"/>
  <c r="F83" i="85"/>
  <c r="F78" i="85"/>
  <c r="F75" i="85"/>
  <c r="F70" i="85"/>
  <c r="F66" i="85"/>
  <c r="F63" i="85"/>
  <c r="F94" i="85"/>
  <c r="F82" i="85"/>
  <c r="F74" i="85"/>
  <c r="F80" i="85"/>
  <c r="F51" i="85"/>
  <c r="F48" i="85"/>
  <c r="F44" i="85"/>
  <c r="F32" i="85"/>
  <c r="F102" i="85"/>
  <c r="F86" i="85"/>
  <c r="F81" i="85"/>
  <c r="F59" i="85"/>
  <c r="F43" i="85"/>
  <c r="F31" i="85"/>
  <c r="F26" i="85"/>
  <c r="F18" i="85"/>
  <c r="F93" i="85"/>
  <c r="F87" i="85"/>
  <c r="F53" i="85"/>
  <c r="F50" i="85"/>
  <c r="F42" i="85"/>
  <c r="F30" i="85"/>
  <c r="F96" i="85"/>
  <c r="F62" i="85"/>
  <c r="F56" i="85"/>
  <c r="F41" i="85"/>
  <c r="F36" i="85"/>
  <c r="F29" i="85"/>
  <c r="D23" i="85"/>
  <c r="F21" i="85"/>
  <c r="F90" i="85"/>
  <c r="F52" i="85"/>
  <c r="F47" i="85"/>
  <c r="F40" i="85"/>
  <c r="F28" i="85"/>
  <c r="F20" i="85"/>
  <c r="L12" i="85"/>
  <c r="N12" i="85" s="1"/>
  <c r="F98" i="85"/>
  <c r="F73" i="85"/>
  <c r="F72" i="85"/>
  <c r="F71" i="85"/>
  <c r="F58" i="85"/>
  <c r="F55" i="85"/>
  <c r="F39" i="85"/>
  <c r="F35" i="85"/>
  <c r="F27" i="85"/>
  <c r="F19" i="85"/>
  <c r="F54" i="85"/>
  <c r="F79" i="85"/>
  <c r="F69" i="85"/>
  <c r="F65" i="85"/>
  <c r="F60" i="85"/>
  <c r="F49" i="85"/>
  <c r="F45" i="85"/>
  <c r="F37" i="85"/>
  <c r="F67" i="85"/>
  <c r="F46" i="85"/>
  <c r="F38" i="85"/>
  <c r="F33" i="85"/>
  <c r="F77" i="85"/>
  <c r="F57" i="85"/>
  <c r="F34" i="85"/>
  <c r="R16" i="78"/>
  <c r="F19" i="78"/>
  <c r="D21" i="78"/>
  <c r="T21" i="78"/>
  <c r="R24" i="78"/>
  <c r="R27" i="78"/>
  <c r="L12" i="79"/>
  <c r="F24" i="79"/>
  <c r="V27" i="79"/>
  <c r="J31" i="79"/>
  <c r="J35" i="79"/>
  <c r="F36" i="79"/>
  <c r="V39" i="79"/>
  <c r="F43" i="79"/>
  <c r="V43" i="79"/>
  <c r="J45" i="79"/>
  <c r="F48" i="79"/>
  <c r="J51" i="79"/>
  <c r="V55" i="79"/>
  <c r="J59" i="79"/>
  <c r="F60" i="79"/>
  <c r="F63" i="79"/>
  <c r="V63" i="79"/>
  <c r="J67" i="79"/>
  <c r="V71" i="79"/>
  <c r="J75" i="79"/>
  <c r="F76" i="79"/>
  <c r="V79" i="79"/>
  <c r="V87" i="79"/>
  <c r="F91" i="79"/>
  <c r="V91" i="79"/>
  <c r="V93" i="79"/>
  <c r="J14" i="80"/>
  <c r="J18" i="80"/>
  <c r="J20" i="80"/>
  <c r="V24" i="80"/>
  <c r="J28" i="80"/>
  <c r="F30" i="80"/>
  <c r="V30" i="80"/>
  <c r="Z12" i="81"/>
  <c r="R14" i="81"/>
  <c r="J16" i="81"/>
  <c r="R18" i="81"/>
  <c r="J19" i="81"/>
  <c r="J26" i="81"/>
  <c r="R35" i="81"/>
  <c r="L40" i="81"/>
  <c r="R44" i="81"/>
  <c r="R45" i="81"/>
  <c r="V46" i="81"/>
  <c r="R47" i="81"/>
  <c r="V49" i="81"/>
  <c r="R55" i="81"/>
  <c r="J82" i="81"/>
  <c r="N20" i="82"/>
  <c r="X77" i="82"/>
  <c r="N21" i="83"/>
  <c r="N70" i="84"/>
  <c r="L70" i="84"/>
  <c r="F16" i="82"/>
  <c r="D18" i="82"/>
  <c r="R21" i="82"/>
  <c r="F24" i="82"/>
  <c r="R28" i="82"/>
  <c r="R32" i="82"/>
  <c r="F36" i="82"/>
  <c r="R40" i="82"/>
  <c r="F44" i="82"/>
  <c r="R45" i="82"/>
  <c r="F56" i="82"/>
  <c r="R57" i="82"/>
  <c r="F59" i="82"/>
  <c r="R60" i="82"/>
  <c r="F68" i="82"/>
  <c r="F72" i="82"/>
  <c r="J75" i="82"/>
  <c r="F77" i="82"/>
  <c r="J82" i="83"/>
  <c r="J76" i="83"/>
  <c r="J68" i="83"/>
  <c r="J52" i="83"/>
  <c r="J44" i="83"/>
  <c r="J40" i="83"/>
  <c r="J67" i="83"/>
  <c r="J59" i="83"/>
  <c r="J49" i="83"/>
  <c r="J39" i="83"/>
  <c r="J27" i="83"/>
  <c r="J19" i="83"/>
  <c r="J87" i="83"/>
  <c r="J80" i="83"/>
  <c r="J72" i="83"/>
  <c r="J66" i="83"/>
  <c r="J62" i="83"/>
  <c r="J58" i="83"/>
  <c r="J54" i="83"/>
  <c r="J46" i="83"/>
  <c r="J38" i="83"/>
  <c r="J32" i="83"/>
  <c r="J26" i="83"/>
  <c r="H19" i="83"/>
  <c r="J64" i="83"/>
  <c r="J56" i="83"/>
  <c r="J48" i="83"/>
  <c r="J36" i="83"/>
  <c r="J24" i="83"/>
  <c r="N12" i="83"/>
  <c r="J33" i="83"/>
  <c r="J34" i="83"/>
  <c r="J35" i="83"/>
  <c r="J41" i="83"/>
  <c r="J42" i="83"/>
  <c r="L45" i="83"/>
  <c r="J51" i="83"/>
  <c r="J78" i="83"/>
  <c r="F81" i="84"/>
  <c r="F75" i="84"/>
  <c r="F70" i="84"/>
  <c r="F66" i="84"/>
  <c r="F63" i="84"/>
  <c r="F43" i="84"/>
  <c r="F35" i="84"/>
  <c r="F31" i="84"/>
  <c r="F57" i="84"/>
  <c r="F54" i="84"/>
  <c r="F49" i="84"/>
  <c r="F46" i="84"/>
  <c r="F42" i="84"/>
  <c r="F30" i="84"/>
  <c r="F17" i="84"/>
  <c r="F72" i="84"/>
  <c r="F69" i="84"/>
  <c r="F65" i="84"/>
  <c r="F60" i="84"/>
  <c r="F41" i="84"/>
  <c r="F29" i="84"/>
  <c r="F24" i="84"/>
  <c r="F86" i="84"/>
  <c r="F79" i="84"/>
  <c r="F68" i="84"/>
  <c r="F74" i="84"/>
  <c r="F71" i="84"/>
  <c r="F67" i="84"/>
  <c r="F62" i="84"/>
  <c r="F59" i="84"/>
  <c r="F39" i="84"/>
  <c r="F34" i="84"/>
  <c r="F27" i="84"/>
  <c r="D21" i="84"/>
  <c r="F19" i="84"/>
  <c r="F58" i="84"/>
  <c r="F53" i="84"/>
  <c r="F50" i="84"/>
  <c r="F45" i="84"/>
  <c r="F38" i="84"/>
  <c r="F26" i="84"/>
  <c r="F18" i="84"/>
  <c r="L12" i="84"/>
  <c r="P21" i="84"/>
  <c r="R28" i="84"/>
  <c r="F32" i="84"/>
  <c r="F33" i="84"/>
  <c r="R36" i="84"/>
  <c r="R41" i="84"/>
  <c r="L47" i="84"/>
  <c r="Z64" i="84"/>
  <c r="X64" i="84"/>
  <c r="N47" i="85"/>
  <c r="L28" i="88"/>
  <c r="N28" i="88"/>
  <c r="V86" i="82"/>
  <c r="V81" i="82"/>
  <c r="V79" i="82"/>
  <c r="J16" i="82"/>
  <c r="F18" i="82"/>
  <c r="V18" i="82"/>
  <c r="J24" i="82"/>
  <c r="F25" i="82"/>
  <c r="V28" i="82"/>
  <c r="R29" i="82"/>
  <c r="J30" i="82"/>
  <c r="V32" i="82"/>
  <c r="R33" i="82"/>
  <c r="J36" i="82"/>
  <c r="F37" i="82"/>
  <c r="V40" i="82"/>
  <c r="J44" i="82"/>
  <c r="F48" i="82"/>
  <c r="V48" i="82"/>
  <c r="R49" i="82"/>
  <c r="J50" i="82"/>
  <c r="F53" i="82"/>
  <c r="R54" i="82"/>
  <c r="J56" i="82"/>
  <c r="V60" i="82"/>
  <c r="R61" i="82"/>
  <c r="F64" i="82"/>
  <c r="V64" i="82"/>
  <c r="R65" i="82"/>
  <c r="J68" i="82"/>
  <c r="F69" i="82"/>
  <c r="J72" i="82"/>
  <c r="F73" i="82"/>
  <c r="R74" i="82"/>
  <c r="R79" i="82"/>
  <c r="R81" i="82"/>
  <c r="L32" i="83"/>
  <c r="J53" i="83"/>
  <c r="J61" i="83"/>
  <c r="J65" i="83"/>
  <c r="J72" i="84"/>
  <c r="J60" i="84"/>
  <c r="J54" i="84"/>
  <c r="J46" i="84"/>
  <c r="J42" i="84"/>
  <c r="J30" i="84"/>
  <c r="J24" i="84"/>
  <c r="J86" i="84"/>
  <c r="J79" i="84"/>
  <c r="J69" i="84"/>
  <c r="J65" i="84"/>
  <c r="J51" i="84"/>
  <c r="J41" i="84"/>
  <c r="J29" i="84"/>
  <c r="J21" i="84"/>
  <c r="J74" i="84"/>
  <c r="J68" i="84"/>
  <c r="J62" i="84"/>
  <c r="J56" i="84"/>
  <c r="J48" i="84"/>
  <c r="J40" i="84"/>
  <c r="J34" i="84"/>
  <c r="J28" i="84"/>
  <c r="H21" i="84"/>
  <c r="J71" i="84"/>
  <c r="J67" i="84"/>
  <c r="J64" i="84"/>
  <c r="J58" i="84"/>
  <c r="J50" i="84"/>
  <c r="J38" i="84"/>
  <c r="J26" i="84"/>
  <c r="J18" i="84"/>
  <c r="N12" i="84"/>
  <c r="J83" i="84"/>
  <c r="J77" i="84"/>
  <c r="J73" i="84"/>
  <c r="J61" i="84"/>
  <c r="J55" i="84"/>
  <c r="J47" i="84"/>
  <c r="J37" i="84"/>
  <c r="J33" i="84"/>
  <c r="J25" i="84"/>
  <c r="J23" i="84"/>
  <c r="J17" i="84"/>
  <c r="J31" i="84"/>
  <c r="J32" i="84"/>
  <c r="R34" i="84"/>
  <c r="R40" i="84"/>
  <c r="F44" i="84"/>
  <c r="F47" i="84"/>
  <c r="F51" i="84"/>
  <c r="L55" i="84"/>
  <c r="R57" i="84"/>
  <c r="F61" i="84"/>
  <c r="L76" i="85"/>
  <c r="N76" i="85" s="1"/>
  <c r="X87" i="85"/>
  <c r="Z87" i="85" s="1"/>
  <c r="V87" i="85"/>
  <c r="R71" i="84"/>
  <c r="R67" i="84"/>
  <c r="R64" i="84"/>
  <c r="R59" i="84"/>
  <c r="R39" i="84"/>
  <c r="R27" i="84"/>
  <c r="R19" i="84"/>
  <c r="R77" i="84"/>
  <c r="R58" i="84"/>
  <c r="R55" i="84"/>
  <c r="R50" i="84"/>
  <c r="R47" i="84"/>
  <c r="R38" i="84"/>
  <c r="R26" i="84"/>
  <c r="R23" i="84"/>
  <c r="R18" i="84"/>
  <c r="X12" i="84"/>
  <c r="R73" i="84"/>
  <c r="R70" i="84"/>
  <c r="R66" i="84"/>
  <c r="R61" i="84"/>
  <c r="R37" i="84"/>
  <c r="R33" i="84"/>
  <c r="R25" i="84"/>
  <c r="R81" i="84"/>
  <c r="R75" i="84"/>
  <c r="R72" i="84"/>
  <c r="R63" i="84"/>
  <c r="R60" i="84"/>
  <c r="R43" i="84"/>
  <c r="R35" i="84"/>
  <c r="R31" i="84"/>
  <c r="R24" i="84"/>
  <c r="R54" i="84"/>
  <c r="R51" i="84"/>
  <c r="R46" i="84"/>
  <c r="R42" i="84"/>
  <c r="R30" i="84"/>
  <c r="R21" i="84"/>
  <c r="R62" i="84"/>
  <c r="R68" i="84"/>
  <c r="X25" i="85"/>
  <c r="Z25" i="85" s="1"/>
  <c r="L51" i="85"/>
  <c r="N51" i="85" s="1"/>
  <c r="L52" i="92"/>
  <c r="N52" i="92" s="1"/>
  <c r="R20" i="82"/>
  <c r="R23" i="82"/>
  <c r="F27" i="82"/>
  <c r="F31" i="82"/>
  <c r="V34" i="82"/>
  <c r="R35" i="82"/>
  <c r="J38" i="82"/>
  <c r="F39" i="82"/>
  <c r="J42" i="82"/>
  <c r="V46" i="82"/>
  <c r="R47" i="82"/>
  <c r="J48" i="82"/>
  <c r="F51" i="82"/>
  <c r="R52" i="82"/>
  <c r="F54" i="82"/>
  <c r="V54" i="82"/>
  <c r="R55" i="82"/>
  <c r="V58" i="82"/>
  <c r="V62" i="82"/>
  <c r="R63" i="82"/>
  <c r="J64" i="82"/>
  <c r="V66" i="82"/>
  <c r="R67" i="82"/>
  <c r="J70" i="82"/>
  <c r="V74" i="82"/>
  <c r="R75" i="82"/>
  <c r="V83" i="82"/>
  <c r="J28" i="83"/>
  <c r="J29" i="83"/>
  <c r="J30" i="83"/>
  <c r="J31" i="83"/>
  <c r="J45" i="83"/>
  <c r="J55" i="83"/>
  <c r="L72" i="83"/>
  <c r="J75" i="83"/>
  <c r="F23" i="84"/>
  <c r="J52" i="84"/>
  <c r="F56" i="84"/>
  <c r="J59" i="84"/>
  <c r="N66" i="84"/>
  <c r="L66" i="84"/>
  <c r="F73" i="84"/>
  <c r="V25" i="85"/>
  <c r="J51" i="85"/>
  <c r="X62" i="85"/>
  <c r="D83" i="86"/>
  <c r="L83" i="86" s="1"/>
  <c r="L84" i="86"/>
  <c r="F86" i="82"/>
  <c r="F79" i="82"/>
  <c r="F15" i="82"/>
  <c r="R16" i="82"/>
  <c r="R24" i="82"/>
  <c r="F28" i="82"/>
  <c r="F32" i="82"/>
  <c r="R36" i="82"/>
  <c r="F40" i="82"/>
  <c r="R41" i="82"/>
  <c r="F43" i="82"/>
  <c r="R44" i="82"/>
  <c r="R56" i="82"/>
  <c r="F60" i="82"/>
  <c r="V63" i="82"/>
  <c r="V67" i="82"/>
  <c r="R68" i="82"/>
  <c r="F71" i="82"/>
  <c r="V71" i="82"/>
  <c r="R72" i="82"/>
  <c r="V75" i="82"/>
  <c r="J25" i="83"/>
  <c r="J37" i="83"/>
  <c r="R32" i="84"/>
  <c r="F36" i="84"/>
  <c r="F37" i="84"/>
  <c r="R74" i="84"/>
  <c r="Z58" i="85"/>
  <c r="V58" i="85"/>
  <c r="Z62" i="85"/>
  <c r="V62" i="85"/>
  <c r="V16" i="82"/>
  <c r="F20" i="82"/>
  <c r="V20" i="82"/>
  <c r="V24" i="82"/>
  <c r="R25" i="82"/>
  <c r="J28" i="82"/>
  <c r="F29" i="82"/>
  <c r="R30" i="82"/>
  <c r="J32" i="82"/>
  <c r="F33" i="82"/>
  <c r="V36" i="82"/>
  <c r="R37" i="82"/>
  <c r="J40" i="82"/>
  <c r="V44" i="82"/>
  <c r="F49" i="82"/>
  <c r="R50" i="82"/>
  <c r="F52" i="82"/>
  <c r="V52" i="82"/>
  <c r="R53" i="82"/>
  <c r="J54" i="82"/>
  <c r="V56" i="82"/>
  <c r="J60" i="82"/>
  <c r="F61" i="82"/>
  <c r="F65" i="82"/>
  <c r="V68" i="82"/>
  <c r="R69" i="82"/>
  <c r="V72" i="82"/>
  <c r="R73" i="82"/>
  <c r="J74" i="82"/>
  <c r="J79" i="82"/>
  <c r="F81" i="82"/>
  <c r="F83" i="82"/>
  <c r="J16" i="83"/>
  <c r="J17" i="83"/>
  <c r="J21" i="83"/>
  <c r="J47" i="83"/>
  <c r="J69" i="83"/>
  <c r="J70" i="83"/>
  <c r="J71" i="83"/>
  <c r="X75" i="83"/>
  <c r="R17" i="84"/>
  <c r="F28" i="84"/>
  <c r="J35" i="84"/>
  <c r="J36" i="84"/>
  <c r="R44" i="84"/>
  <c r="X45" i="84"/>
  <c r="R48" i="84"/>
  <c r="J57" i="84"/>
  <c r="J63" i="84"/>
  <c r="F64" i="84"/>
  <c r="R65" i="84"/>
  <c r="L77" i="84"/>
  <c r="N49" i="85"/>
  <c r="T37" i="89"/>
  <c r="L12" i="82"/>
  <c r="P18" i="82"/>
  <c r="F22" i="82"/>
  <c r="R26" i="82"/>
  <c r="F34" i="82"/>
  <c r="V37" i="82"/>
  <c r="R38" i="82"/>
  <c r="F41" i="82"/>
  <c r="V41" i="82"/>
  <c r="R42" i="82"/>
  <c r="J43" i="82"/>
  <c r="F46" i="82"/>
  <c r="J49" i="82"/>
  <c r="V53" i="82"/>
  <c r="F58" i="82"/>
  <c r="R59" i="82"/>
  <c r="J61" i="82"/>
  <c r="F62" i="82"/>
  <c r="J65" i="82"/>
  <c r="F66" i="82"/>
  <c r="V69" i="82"/>
  <c r="R70" i="82"/>
  <c r="J71" i="82"/>
  <c r="V73" i="82"/>
  <c r="J81" i="82"/>
  <c r="L16" i="83"/>
  <c r="L53" i="83"/>
  <c r="J84" i="83"/>
  <c r="F21" i="84"/>
  <c r="L34" i="84"/>
  <c r="F40" i="84"/>
  <c r="R45" i="84"/>
  <c r="R52" i="84"/>
  <c r="X53" i="84"/>
  <c r="R56" i="84"/>
  <c r="F77" i="84"/>
  <c r="F83" i="84"/>
  <c r="N20" i="86"/>
  <c r="H86" i="86"/>
  <c r="V75" i="83"/>
  <c r="J88" i="85"/>
  <c r="J84" i="85"/>
  <c r="J78" i="85"/>
  <c r="J70" i="85"/>
  <c r="J66" i="85"/>
  <c r="J91" i="85"/>
  <c r="J83" i="85"/>
  <c r="J98" i="85"/>
  <c r="J94" i="85"/>
  <c r="J82" i="85"/>
  <c r="J74" i="85"/>
  <c r="J93" i="85"/>
  <c r="J87" i="85"/>
  <c r="J81" i="85"/>
  <c r="J77" i="85"/>
  <c r="J73" i="85"/>
  <c r="J34" i="85"/>
  <c r="J38" i="85"/>
  <c r="J46" i="85"/>
  <c r="J54" i="85"/>
  <c r="J60" i="85"/>
  <c r="J67" i="85"/>
  <c r="J68" i="85"/>
  <c r="J69" i="85"/>
  <c r="L90" i="85"/>
  <c r="T20" i="86"/>
  <c r="Z22" i="86"/>
  <c r="Z23" i="86"/>
  <c r="X23" i="86"/>
  <c r="V77" i="86"/>
  <c r="Z21" i="87"/>
  <c r="X21" i="87"/>
  <c r="T62" i="88"/>
  <c r="H62" i="88"/>
  <c r="V49" i="91"/>
  <c r="V45" i="91"/>
  <c r="V52" i="91"/>
  <c r="V48" i="91"/>
  <c r="V44" i="91"/>
  <c r="V51" i="91"/>
  <c r="V53" i="91"/>
  <c r="V56" i="91"/>
  <c r="V54" i="91"/>
  <c r="V37" i="91"/>
  <c r="V29" i="91"/>
  <c r="V25" i="91"/>
  <c r="T16" i="91"/>
  <c r="V62" i="91"/>
  <c r="V50" i="91"/>
  <c r="V41" i="91"/>
  <c r="V40" i="91"/>
  <c r="V36" i="91"/>
  <c r="V24" i="91"/>
  <c r="V65" i="91"/>
  <c r="V46" i="91"/>
  <c r="V33" i="91"/>
  <c r="V21" i="91"/>
  <c r="V47" i="91"/>
  <c r="V32" i="91"/>
  <c r="V28" i="91"/>
  <c r="V20" i="91"/>
  <c r="Z12" i="91"/>
  <c r="V27" i="91"/>
  <c r="V60" i="91"/>
  <c r="V42" i="91"/>
  <c r="V39" i="91"/>
  <c r="V22" i="91"/>
  <c r="V38" i="91"/>
  <c r="V31" i="91"/>
  <c r="V30" i="91"/>
  <c r="V23" i="91"/>
  <c r="V43" i="91"/>
  <c r="V19" i="91"/>
  <c r="V14" i="91"/>
  <c r="T19" i="83"/>
  <c r="V28" i="83"/>
  <c r="V32" i="83"/>
  <c r="V40" i="83"/>
  <c r="V44" i="83"/>
  <c r="V52" i="83"/>
  <c r="V68" i="83"/>
  <c r="V72" i="83"/>
  <c r="V76" i="83"/>
  <c r="V80" i="83"/>
  <c r="V82" i="83"/>
  <c r="V87" i="83"/>
  <c r="T21" i="84"/>
  <c r="V30" i="84"/>
  <c r="V34" i="84"/>
  <c r="V42" i="84"/>
  <c r="V46" i="84"/>
  <c r="V54" i="84"/>
  <c r="V62" i="84"/>
  <c r="V74" i="84"/>
  <c r="J19" i="85"/>
  <c r="J25" i="85"/>
  <c r="J27" i="85"/>
  <c r="V31" i="85"/>
  <c r="J35" i="85"/>
  <c r="J39" i="85"/>
  <c r="V43" i="85"/>
  <c r="V47" i="85"/>
  <c r="J49" i="85"/>
  <c r="J55" i="85"/>
  <c r="V59" i="85"/>
  <c r="J61" i="85"/>
  <c r="J71" i="85"/>
  <c r="J72" i="85"/>
  <c r="V74" i="85"/>
  <c r="V75" i="85"/>
  <c r="J89" i="85"/>
  <c r="P12" i="86"/>
  <c r="V20" i="86"/>
  <c r="V23" i="86"/>
  <c r="V34" i="86"/>
  <c r="Z14" i="88"/>
  <c r="X12" i="91"/>
  <c r="N42" i="91"/>
  <c r="L42" i="91"/>
  <c r="T100" i="85"/>
  <c r="V100" i="85" s="1"/>
  <c r="V79" i="86"/>
  <c r="V75" i="86"/>
  <c r="V67" i="86"/>
  <c r="V63" i="86"/>
  <c r="V51" i="86"/>
  <c r="V47" i="86"/>
  <c r="V35" i="86"/>
  <c r="V78" i="86"/>
  <c r="V74" i="86"/>
  <c r="V66" i="86"/>
  <c r="V50" i="86"/>
  <c r="V42" i="86"/>
  <c r="V71" i="86"/>
  <c r="V59" i="86"/>
  <c r="V55" i="86"/>
  <c r="V43" i="86"/>
  <c r="V39" i="86"/>
  <c r="V70" i="86"/>
  <c r="V62" i="86"/>
  <c r="V58" i="86"/>
  <c r="V54" i="86"/>
  <c r="V46" i="86"/>
  <c r="V38" i="86"/>
  <c r="V90" i="86"/>
  <c r="V65" i="86"/>
  <c r="V61" i="86"/>
  <c r="V56" i="86"/>
  <c r="V53" i="86"/>
  <c r="V52" i="86"/>
  <c r="V32" i="86"/>
  <c r="V28" i="86"/>
  <c r="V83" i="86"/>
  <c r="V69" i="86"/>
  <c r="V64" i="86"/>
  <c r="V60" i="86"/>
  <c r="V49" i="86"/>
  <c r="V41" i="86"/>
  <c r="V27" i="86"/>
  <c r="V93" i="86"/>
  <c r="V76" i="86"/>
  <c r="V68" i="86"/>
  <c r="V48" i="86"/>
  <c r="V44" i="86"/>
  <c r="V40" i="86"/>
  <c r="V26" i="86"/>
  <c r="V22" i="86"/>
  <c r="V18" i="86"/>
  <c r="V84" i="86"/>
  <c r="V81" i="86"/>
  <c r="V80" i="86"/>
  <c r="V25" i="86"/>
  <c r="V17" i="86"/>
  <c r="V86" i="86"/>
  <c r="V24" i="86"/>
  <c r="V16" i="86"/>
  <c r="Z12" i="86"/>
  <c r="V33" i="86"/>
  <c r="L47" i="86"/>
  <c r="N47" i="86" s="1"/>
  <c r="V88" i="86"/>
  <c r="F23" i="87"/>
  <c r="D18" i="87"/>
  <c r="F18" i="87" s="1"/>
  <c r="L12" i="87"/>
  <c r="F30" i="87"/>
  <c r="F24" i="87"/>
  <c r="F22" i="87"/>
  <c r="F21" i="87"/>
  <c r="F16" i="87"/>
  <c r="F26" i="87"/>
  <c r="F20" i="87"/>
  <c r="L14" i="88"/>
  <c r="D16" i="88"/>
  <c r="V22" i="83"/>
  <c r="V30" i="83"/>
  <c r="V34" i="83"/>
  <c r="V42" i="83"/>
  <c r="V50" i="83"/>
  <c r="V70" i="83"/>
  <c r="V74" i="83"/>
  <c r="V24" i="84"/>
  <c r="V32" i="84"/>
  <c r="V36" i="84"/>
  <c r="V44" i="84"/>
  <c r="V52" i="84"/>
  <c r="V60" i="84"/>
  <c r="V72" i="84"/>
  <c r="P12" i="85"/>
  <c r="J21" i="85"/>
  <c r="V23" i="85"/>
  <c r="J29" i="85"/>
  <c r="V33" i="85"/>
  <c r="V37" i="85"/>
  <c r="J41" i="85"/>
  <c r="V45" i="85"/>
  <c r="J47" i="85"/>
  <c r="V53" i="85"/>
  <c r="V57" i="85"/>
  <c r="N62" i="85"/>
  <c r="V67" i="85"/>
  <c r="V69" i="85"/>
  <c r="J90" i="85"/>
  <c r="J92" i="85"/>
  <c r="J95" i="85"/>
  <c r="J96" i="85"/>
  <c r="V31" i="86"/>
  <c r="X66" i="86"/>
  <c r="Z14" i="89"/>
  <c r="N23" i="89"/>
  <c r="L23" i="89"/>
  <c r="V16" i="91"/>
  <c r="V18" i="91"/>
  <c r="V26" i="91"/>
  <c r="L29" i="91"/>
  <c r="N29" i="91" s="1"/>
  <c r="V23" i="83"/>
  <c r="V31" i="83"/>
  <c r="V35" i="83"/>
  <c r="V47" i="83"/>
  <c r="V55" i="83"/>
  <c r="V63" i="83"/>
  <c r="V71" i="83"/>
  <c r="V17" i="84"/>
  <c r="V25" i="84"/>
  <c r="V33" i="84"/>
  <c r="V37" i="84"/>
  <c r="V49" i="84"/>
  <c r="V57" i="84"/>
  <c r="V61" i="84"/>
  <c r="V73" i="84"/>
  <c r="V102" i="85"/>
  <c r="V96" i="85"/>
  <c r="V92" i="85"/>
  <c r="V80" i="85"/>
  <c r="V76" i="85"/>
  <c r="V72" i="85"/>
  <c r="V68" i="85"/>
  <c r="V64" i="85"/>
  <c r="V95" i="85"/>
  <c r="V79" i="85"/>
  <c r="V86" i="85"/>
  <c r="V78" i="85"/>
  <c r="V70" i="85"/>
  <c r="V66" i="85"/>
  <c r="V89" i="85"/>
  <c r="V85" i="85"/>
  <c r="V18" i="85"/>
  <c r="H23" i="85"/>
  <c r="V26" i="85"/>
  <c r="J30" i="85"/>
  <c r="V34" i="85"/>
  <c r="J36" i="85"/>
  <c r="V38" i="85"/>
  <c r="J42" i="85"/>
  <c r="V46" i="85"/>
  <c r="J50" i="85"/>
  <c r="V54" i="85"/>
  <c r="J56" i="85"/>
  <c r="J62" i="85"/>
  <c r="J63" i="85"/>
  <c r="Z66" i="85"/>
  <c r="V71" i="85"/>
  <c r="Z78" i="85"/>
  <c r="V83" i="85"/>
  <c r="N87" i="85"/>
  <c r="L92" i="85"/>
  <c r="X16" i="86"/>
  <c r="D86" i="86"/>
  <c r="L20" i="86"/>
  <c r="V30" i="86"/>
  <c r="V37" i="86"/>
  <c r="V57" i="86"/>
  <c r="L60" i="86"/>
  <c r="N60" i="86"/>
  <c r="Z16" i="88"/>
  <c r="D40" i="90"/>
  <c r="X20" i="90"/>
  <c r="Z20" i="90"/>
  <c r="X16" i="91"/>
  <c r="V36" i="83"/>
  <c r="V48" i="83"/>
  <c r="V56" i="83"/>
  <c r="V60" i="83"/>
  <c r="V64" i="83"/>
  <c r="V78" i="83"/>
  <c r="V38" i="84"/>
  <c r="V50" i="84"/>
  <c r="V58" i="84"/>
  <c r="V66" i="84"/>
  <c r="J31" i="85"/>
  <c r="V35" i="85"/>
  <c r="V39" i="85"/>
  <c r="J43" i="85"/>
  <c r="V51" i="85"/>
  <c r="J53" i="85"/>
  <c r="V55" i="85"/>
  <c r="J59" i="85"/>
  <c r="V60" i="85"/>
  <c r="V61" i="85"/>
  <c r="Z70" i="85"/>
  <c r="J75" i="85"/>
  <c r="V82" i="85"/>
  <c r="J85" i="85"/>
  <c r="J86" i="85"/>
  <c r="V91" i="85"/>
  <c r="V94" i="85"/>
  <c r="V98" i="85"/>
  <c r="J102" i="85"/>
  <c r="V29" i="86"/>
  <c r="V36" i="86"/>
  <c r="V73" i="86"/>
  <c r="D30" i="89"/>
  <c r="X28" i="90"/>
  <c r="Z28" i="90"/>
  <c r="X35" i="90"/>
  <c r="P62" i="91"/>
  <c r="V34" i="91"/>
  <c r="V35" i="91"/>
  <c r="V58" i="91"/>
  <c r="T91" i="92"/>
  <c r="V91" i="92" s="1"/>
  <c r="V25" i="92"/>
  <c r="J28" i="86"/>
  <c r="F29" i="86"/>
  <c r="F33" i="86"/>
  <c r="J43" i="86"/>
  <c r="J47" i="86"/>
  <c r="J53" i="86"/>
  <c r="F57" i="86"/>
  <c r="J61" i="86"/>
  <c r="F62" i="86"/>
  <c r="N63" i="86"/>
  <c r="L63" i="86"/>
  <c r="J64" i="86"/>
  <c r="J65" i="86"/>
  <c r="L16" i="87"/>
  <c r="N19" i="88"/>
  <c r="R21" i="88"/>
  <c r="R22" i="88"/>
  <c r="R29" i="88"/>
  <c r="F34" i="88"/>
  <c r="Z41" i="88"/>
  <c r="R46" i="88"/>
  <c r="R50" i="88"/>
  <c r="N53" i="88"/>
  <c r="L53" i="88"/>
  <c r="F23" i="89"/>
  <c r="F20" i="89"/>
  <c r="L12" i="89"/>
  <c r="F37" i="89"/>
  <c r="F30" i="89"/>
  <c r="F18" i="89"/>
  <c r="F14" i="89"/>
  <c r="F24" i="89"/>
  <c r="F19" i="89"/>
  <c r="F34" i="89"/>
  <c r="F28" i="89"/>
  <c r="F16" i="89"/>
  <c r="H34" i="89"/>
  <c r="N19" i="89"/>
  <c r="R30" i="89"/>
  <c r="X32" i="90"/>
  <c r="L14" i="91"/>
  <c r="X14" i="91"/>
  <c r="L18" i="91"/>
  <c r="N18" i="91" s="1"/>
  <c r="X19" i="91"/>
  <c r="Z19" i="91" s="1"/>
  <c r="J22" i="91"/>
  <c r="J29" i="91"/>
  <c r="J46" i="91"/>
  <c r="J60" i="91"/>
  <c r="X14" i="92"/>
  <c r="Z14" i="92" s="1"/>
  <c r="P12" i="92"/>
  <c r="F72" i="86"/>
  <c r="F63" i="86"/>
  <c r="F47" i="86"/>
  <c r="F44" i="86"/>
  <c r="F40" i="86"/>
  <c r="F84" i="86"/>
  <c r="F71" i="86"/>
  <c r="F66" i="86"/>
  <c r="F59" i="86"/>
  <c r="F55" i="86"/>
  <c r="F50" i="86"/>
  <c r="F39" i="86"/>
  <c r="F88" i="86"/>
  <c r="F76" i="86"/>
  <c r="F68" i="86"/>
  <c r="F64" i="86"/>
  <c r="F48" i="86"/>
  <c r="F43" i="86"/>
  <c r="F79" i="86"/>
  <c r="F75" i="86"/>
  <c r="F67" i="86"/>
  <c r="F54" i="86"/>
  <c r="F51" i="86"/>
  <c r="J23" i="86"/>
  <c r="J29" i="86"/>
  <c r="F30" i="86"/>
  <c r="J33" i="86"/>
  <c r="F34" i="86"/>
  <c r="J50" i="86"/>
  <c r="N56" i="86"/>
  <c r="J57" i="86"/>
  <c r="F58" i="86"/>
  <c r="X83" i="86"/>
  <c r="P12" i="87"/>
  <c r="H18" i="87"/>
  <c r="N23" i="87"/>
  <c r="L23" i="87"/>
  <c r="F44" i="88"/>
  <c r="F39" i="88"/>
  <c r="F32" i="88"/>
  <c r="F20" i="88"/>
  <c r="L12" i="88"/>
  <c r="F56" i="88"/>
  <c r="F50" i="88"/>
  <c r="F47" i="88"/>
  <c r="F31" i="88"/>
  <c r="F27" i="88"/>
  <c r="F18" i="88"/>
  <c r="F14" i="88"/>
  <c r="F60" i="88"/>
  <c r="F55" i="88"/>
  <c r="F53" i="88"/>
  <c r="F43" i="88"/>
  <c r="F40" i="88"/>
  <c r="F36" i="88"/>
  <c r="F24" i="88"/>
  <c r="F19" i="88"/>
  <c r="F51" i="88"/>
  <c r="F46" i="88"/>
  <c r="F35" i="88"/>
  <c r="F23" i="88"/>
  <c r="F16" i="88"/>
  <c r="F54" i="88"/>
  <c r="L56" i="88"/>
  <c r="N56" i="88" s="1"/>
  <c r="R22" i="89"/>
  <c r="J35" i="90"/>
  <c r="J29" i="90"/>
  <c r="J21" i="90"/>
  <c r="J19" i="90"/>
  <c r="J26" i="90"/>
  <c r="J14" i="90"/>
  <c r="N12" i="90"/>
  <c r="J33" i="90"/>
  <c r="J25" i="90"/>
  <c r="J17" i="90"/>
  <c r="J42" i="90"/>
  <c r="J36" i="90"/>
  <c r="J30" i="90"/>
  <c r="J24" i="90"/>
  <c r="H17" i="90"/>
  <c r="J15" i="90"/>
  <c r="J23" i="90"/>
  <c r="J27" i="90"/>
  <c r="J40" i="90"/>
  <c r="J27" i="91"/>
  <c r="J40" i="91"/>
  <c r="T98" i="94"/>
  <c r="Z56" i="94"/>
  <c r="X56" i="94"/>
  <c r="V56" i="94"/>
  <c r="J84" i="86"/>
  <c r="J77" i="86"/>
  <c r="J71" i="86"/>
  <c r="J59" i="86"/>
  <c r="J55" i="86"/>
  <c r="J39" i="86"/>
  <c r="J90" i="86"/>
  <c r="J80" i="86"/>
  <c r="J70" i="86"/>
  <c r="J62" i="86"/>
  <c r="J58" i="86"/>
  <c r="J52" i="86"/>
  <c r="J46" i="86"/>
  <c r="J38" i="86"/>
  <c r="J83" i="86"/>
  <c r="J79" i="86"/>
  <c r="J75" i="86"/>
  <c r="J67" i="86"/>
  <c r="J51" i="86"/>
  <c r="J45" i="86"/>
  <c r="J93" i="86"/>
  <c r="J86" i="86"/>
  <c r="J78" i="86"/>
  <c r="J74" i="86"/>
  <c r="J60" i="86"/>
  <c r="J56" i="86"/>
  <c r="J42" i="86"/>
  <c r="J16" i="86"/>
  <c r="F22" i="86"/>
  <c r="J30" i="86"/>
  <c r="F31" i="86"/>
  <c r="J34" i="86"/>
  <c r="F35" i="86"/>
  <c r="F36" i="86"/>
  <c r="F37" i="86"/>
  <c r="J54" i="86"/>
  <c r="J66" i="86"/>
  <c r="F73" i="86"/>
  <c r="J88" i="86"/>
  <c r="F45" i="88"/>
  <c r="F48" i="88"/>
  <c r="F49" i="88"/>
  <c r="F62" i="88"/>
  <c r="N28" i="90"/>
  <c r="J34" i="90"/>
  <c r="J38" i="90"/>
  <c r="H16" i="91"/>
  <c r="F89" i="94"/>
  <c r="F85" i="94"/>
  <c r="F76" i="94"/>
  <c r="F92" i="94"/>
  <c r="F84" i="94"/>
  <c r="F96" i="94"/>
  <c r="F88" i="94"/>
  <c r="F81" i="94"/>
  <c r="F77" i="94"/>
  <c r="F73" i="94"/>
  <c r="F91" i="94"/>
  <c r="F80" i="94"/>
  <c r="F83" i="94"/>
  <c r="F82" i="94"/>
  <c r="F72" i="94"/>
  <c r="F66" i="94"/>
  <c r="F63" i="94"/>
  <c r="F58" i="94"/>
  <c r="F55" i="94"/>
  <c r="F50" i="94"/>
  <c r="F47" i="94"/>
  <c r="F39" i="94"/>
  <c r="F35" i="94"/>
  <c r="F27" i="94"/>
  <c r="F19" i="94"/>
  <c r="F94" i="94"/>
  <c r="F90" i="94"/>
  <c r="F46" i="94"/>
  <c r="F38" i="94"/>
  <c r="F34" i="94"/>
  <c r="F25" i="94"/>
  <c r="F93" i="94"/>
  <c r="F79" i="94"/>
  <c r="F78" i="94"/>
  <c r="F65" i="94"/>
  <c r="F60" i="94"/>
  <c r="F57" i="94"/>
  <c r="F52" i="94"/>
  <c r="F49" i="94"/>
  <c r="F45" i="94"/>
  <c r="F33" i="94"/>
  <c r="F74" i="94"/>
  <c r="F71" i="94"/>
  <c r="F44" i="94"/>
  <c r="F32" i="94"/>
  <c r="F75" i="94"/>
  <c r="F70" i="94"/>
  <c r="F69" i="94"/>
  <c r="F68" i="94"/>
  <c r="F62" i="94"/>
  <c r="F59" i="94"/>
  <c r="F54" i="94"/>
  <c r="F51" i="94"/>
  <c r="F43" i="94"/>
  <c r="F31" i="94"/>
  <c r="F26" i="94"/>
  <c r="F18" i="94"/>
  <c r="F67" i="94"/>
  <c r="F42" i="94"/>
  <c r="F37" i="94"/>
  <c r="F30" i="94"/>
  <c r="F23" i="94"/>
  <c r="F86" i="94"/>
  <c r="F61" i="94"/>
  <c r="F56" i="94"/>
  <c r="F28" i="94"/>
  <c r="D23" i="94"/>
  <c r="F87" i="94"/>
  <c r="F53" i="94"/>
  <c r="F48" i="94"/>
  <c r="F29" i="94"/>
  <c r="L12" i="94"/>
  <c r="F36" i="94"/>
  <c r="F40" i="94"/>
  <c r="F20" i="94"/>
  <c r="F64" i="94"/>
  <c r="F24" i="86"/>
  <c r="J31" i="86"/>
  <c r="J35" i="86"/>
  <c r="J36" i="86"/>
  <c r="J37" i="86"/>
  <c r="F38" i="86"/>
  <c r="J72" i="86"/>
  <c r="J73" i="86"/>
  <c r="F74" i="86"/>
  <c r="L80" i="86"/>
  <c r="R33" i="88"/>
  <c r="R34" i="88"/>
  <c r="F37" i="88"/>
  <c r="F41" i="88"/>
  <c r="F42" i="88"/>
  <c r="R24" i="89"/>
  <c r="R21" i="89"/>
  <c r="P16" i="89"/>
  <c r="R25" i="89"/>
  <c r="R20" i="89"/>
  <c r="X12" i="89"/>
  <c r="X14" i="89"/>
  <c r="R16" i="89"/>
  <c r="R18" i="89"/>
  <c r="R19" i="89"/>
  <c r="Z21" i="89"/>
  <c r="X21" i="89"/>
  <c r="F32" i="89"/>
  <c r="R37" i="89"/>
  <c r="X19" i="90"/>
  <c r="Z19" i="90" s="1"/>
  <c r="J20" i="90"/>
  <c r="J28" i="90"/>
  <c r="N30" i="90"/>
  <c r="J31" i="90"/>
  <c r="J47" i="90"/>
  <c r="J51" i="91"/>
  <c r="J65" i="91"/>
  <c r="J58" i="91"/>
  <c r="J53" i="91"/>
  <c r="J47" i="91"/>
  <c r="J43" i="91"/>
  <c r="J49" i="91"/>
  <c r="J45" i="91"/>
  <c r="J62" i="91"/>
  <c r="J56" i="91"/>
  <c r="J52" i="91"/>
  <c r="J42" i="91"/>
  <c r="J48" i="91"/>
  <c r="J33" i="91"/>
  <c r="J21" i="91"/>
  <c r="J32" i="91"/>
  <c r="J28" i="91"/>
  <c r="J20" i="91"/>
  <c r="J18" i="91"/>
  <c r="J14" i="91"/>
  <c r="N12" i="91"/>
  <c r="J50" i="91"/>
  <c r="J41" i="91"/>
  <c r="J37" i="91"/>
  <c r="J25" i="91"/>
  <c r="J19" i="91"/>
  <c r="J36" i="91"/>
  <c r="J24" i="91"/>
  <c r="J16" i="91"/>
  <c r="J26" i="91"/>
  <c r="J35" i="91"/>
  <c r="N12" i="86"/>
  <c r="F17" i="86"/>
  <c r="J22" i="86"/>
  <c r="J24" i="86"/>
  <c r="F25" i="86"/>
  <c r="F32" i="86"/>
  <c r="Z45" i="86"/>
  <c r="X45" i="86"/>
  <c r="X50" i="86"/>
  <c r="F80" i="86"/>
  <c r="F81" i="86"/>
  <c r="F86" i="86"/>
  <c r="R60" i="88"/>
  <c r="R40" i="88"/>
  <c r="R36" i="88"/>
  <c r="R24" i="88"/>
  <c r="P16" i="88"/>
  <c r="R65" i="88"/>
  <c r="R58" i="88"/>
  <c r="R51" i="88"/>
  <c r="R48" i="88"/>
  <c r="R35" i="88"/>
  <c r="R28" i="88"/>
  <c r="R23" i="88"/>
  <c r="R56" i="88"/>
  <c r="R44" i="88"/>
  <c r="R41" i="88"/>
  <c r="R32" i="88"/>
  <c r="R20" i="88"/>
  <c r="X12" i="88"/>
  <c r="R62" i="88"/>
  <c r="R47" i="88"/>
  <c r="R31" i="88"/>
  <c r="R27" i="88"/>
  <c r="X14" i="88"/>
  <c r="F22" i="88"/>
  <c r="F28" i="88"/>
  <c r="F30" i="88"/>
  <c r="F38" i="88"/>
  <c r="N39" i="88"/>
  <c r="L39" i="88"/>
  <c r="N46" i="88"/>
  <c r="N48" i="88"/>
  <c r="R55" i="88"/>
  <c r="R14" i="89"/>
  <c r="Z28" i="89"/>
  <c r="V33" i="90"/>
  <c r="V25" i="90"/>
  <c r="V47" i="90"/>
  <c r="V42" i="90"/>
  <c r="V40" i="90"/>
  <c r="V36" i="90"/>
  <c r="V32" i="90"/>
  <c r="V24" i="90"/>
  <c r="V29" i="90"/>
  <c r="V21" i="90"/>
  <c r="V44" i="90"/>
  <c r="V38" i="90"/>
  <c r="V28" i="90"/>
  <c r="V20" i="90"/>
  <c r="Z12" i="90"/>
  <c r="T17" i="90"/>
  <c r="V22" i="90"/>
  <c r="L12" i="91"/>
  <c r="X40" i="91"/>
  <c r="V22" i="87"/>
  <c r="J28" i="87"/>
  <c r="J35" i="87"/>
  <c r="V16" i="88"/>
  <c r="V26" i="88"/>
  <c r="V30" i="88"/>
  <c r="J34" i="88"/>
  <c r="V38" i="88"/>
  <c r="J42" i="88"/>
  <c r="V46" i="88"/>
  <c r="J48" i="88"/>
  <c r="J58" i="88"/>
  <c r="J65" i="88"/>
  <c r="V16" i="89"/>
  <c r="V22" i="89"/>
  <c r="V28" i="89"/>
  <c r="V34" i="89"/>
  <c r="F28" i="90"/>
  <c r="F33" i="90"/>
  <c r="F38" i="90"/>
  <c r="F44" i="90"/>
  <c r="F37" i="91"/>
  <c r="F41" i="91"/>
  <c r="Z53" i="91"/>
  <c r="Z37" i="92"/>
  <c r="Z56" i="92"/>
  <c r="X66" i="92"/>
  <c r="Z66" i="92" s="1"/>
  <c r="N16" i="93"/>
  <c r="H24" i="93"/>
  <c r="N50" i="94"/>
  <c r="L50" i="94"/>
  <c r="Z52" i="94"/>
  <c r="J21" i="87"/>
  <c r="V19" i="88"/>
  <c r="J23" i="88"/>
  <c r="V27" i="88"/>
  <c r="V31" i="88"/>
  <c r="J35" i="88"/>
  <c r="V43" i="88"/>
  <c r="V47" i="88"/>
  <c r="J51" i="88"/>
  <c r="V53" i="88"/>
  <c r="V19" i="89"/>
  <c r="J21" i="89"/>
  <c r="F34" i="90"/>
  <c r="R35" i="90"/>
  <c r="F60" i="91"/>
  <c r="F54" i="91"/>
  <c r="F48" i="91"/>
  <c r="F44" i="91"/>
  <c r="F51" i="91"/>
  <c r="F53" i="91"/>
  <c r="F50" i="91"/>
  <c r="F46" i="91"/>
  <c r="F49" i="91"/>
  <c r="F45" i="91"/>
  <c r="F26" i="91"/>
  <c r="F30" i="91"/>
  <c r="F38" i="91"/>
  <c r="F42" i="91"/>
  <c r="F62" i="91"/>
  <c r="N50" i="92"/>
  <c r="Z52" i="92"/>
  <c r="N62" i="92"/>
  <c r="X70" i="92"/>
  <c r="Z70" i="92" s="1"/>
  <c r="J16" i="87"/>
  <c r="J20" i="87"/>
  <c r="J22" i="87"/>
  <c r="J26" i="87"/>
  <c r="V14" i="88"/>
  <c r="V18" i="88"/>
  <c r="V22" i="88"/>
  <c r="J26" i="88"/>
  <c r="J30" i="88"/>
  <c r="V34" i="88"/>
  <c r="J38" i="88"/>
  <c r="V42" i="88"/>
  <c r="V50" i="88"/>
  <c r="V54" i="88"/>
  <c r="J62" i="88"/>
  <c r="V14" i="89"/>
  <c r="N16" i="89"/>
  <c r="V18" i="89"/>
  <c r="J22" i="89"/>
  <c r="V26" i="89"/>
  <c r="V30" i="89"/>
  <c r="V32" i="89"/>
  <c r="V37" i="89"/>
  <c r="P17" i="90"/>
  <c r="F21" i="90"/>
  <c r="R25" i="90"/>
  <c r="F29" i="90"/>
  <c r="R30" i="90"/>
  <c r="F32" i="90"/>
  <c r="R33" i="90"/>
  <c r="F40" i="90"/>
  <c r="F47" i="90"/>
  <c r="F21" i="91"/>
  <c r="F33" i="91"/>
  <c r="F40" i="91"/>
  <c r="F47" i="91"/>
  <c r="N48" i="91"/>
  <c r="Z51" i="91"/>
  <c r="D12" i="92"/>
  <c r="N58" i="92"/>
  <c r="Z60" i="92"/>
  <c r="X14" i="94"/>
  <c r="Z14" i="94" s="1"/>
  <c r="P12" i="94"/>
  <c r="T18" i="87"/>
  <c r="V23" i="88"/>
  <c r="J27" i="88"/>
  <c r="J31" i="88"/>
  <c r="V35" i="88"/>
  <c r="V39" i="88"/>
  <c r="J41" i="88"/>
  <c r="J47" i="88"/>
  <c r="R17" i="90"/>
  <c r="R50" i="91"/>
  <c r="R46" i="91"/>
  <c r="R62" i="91"/>
  <c r="R56" i="91"/>
  <c r="R49" i="91"/>
  <c r="R45" i="91"/>
  <c r="R42" i="91"/>
  <c r="R52" i="91"/>
  <c r="R60" i="91"/>
  <c r="R54" i="91"/>
  <c r="R51" i="91"/>
  <c r="R65" i="91"/>
  <c r="R58" i="91"/>
  <c r="R41" i="91"/>
  <c r="D16" i="91"/>
  <c r="R19" i="91"/>
  <c r="F22" i="91"/>
  <c r="R26" i="91"/>
  <c r="F29" i="91"/>
  <c r="R30" i="91"/>
  <c r="F34" i="91"/>
  <c r="R38" i="91"/>
  <c r="R43" i="91"/>
  <c r="N53" i="91"/>
  <c r="X25" i="92"/>
  <c r="Z25" i="92" s="1"/>
  <c r="Z48" i="92"/>
  <c r="L75" i="92"/>
  <c r="N75" i="92" s="1"/>
  <c r="X14" i="93"/>
  <c r="P16" i="93"/>
  <c r="J98" i="92"/>
  <c r="J91" i="92"/>
  <c r="J95" i="92"/>
  <c r="J89" i="92"/>
  <c r="V30" i="92"/>
  <c r="J34" i="92"/>
  <c r="J38" i="92"/>
  <c r="V42" i="92"/>
  <c r="J46" i="92"/>
  <c r="V50" i="92"/>
  <c r="J52" i="92"/>
  <c r="V58" i="92"/>
  <c r="J60" i="92"/>
  <c r="V66" i="92"/>
  <c r="V70" i="92"/>
  <c r="J74" i="92"/>
  <c r="J78" i="92"/>
  <c r="V82" i="92"/>
  <c r="J84" i="92"/>
  <c r="X37" i="94"/>
  <c r="Z37" i="94" s="1"/>
  <c r="N88" i="94"/>
  <c r="D19" i="95"/>
  <c r="L16" i="95"/>
  <c r="Z66" i="95"/>
  <c r="H80" i="97"/>
  <c r="J19" i="92"/>
  <c r="J25" i="92"/>
  <c r="J27" i="92"/>
  <c r="V31" i="92"/>
  <c r="J35" i="92"/>
  <c r="J39" i="92"/>
  <c r="V43" i="92"/>
  <c r="J47" i="92"/>
  <c r="V51" i="92"/>
  <c r="J55" i="92"/>
  <c r="V59" i="92"/>
  <c r="J63" i="92"/>
  <c r="V67" i="92"/>
  <c r="V71" i="92"/>
  <c r="V75" i="92"/>
  <c r="J79" i="92"/>
  <c r="V83" i="92"/>
  <c r="J87" i="92"/>
  <c r="X89" i="92"/>
  <c r="J93" i="92"/>
  <c r="N26" i="94"/>
  <c r="N58" i="94"/>
  <c r="L58" i="94"/>
  <c r="Z64" i="94"/>
  <c r="X64" i="94"/>
  <c r="X48" i="95"/>
  <c r="Z48" i="95" s="1"/>
  <c r="J21" i="92"/>
  <c r="V23" i="92"/>
  <c r="J29" i="92"/>
  <c r="V33" i="92"/>
  <c r="V37" i="92"/>
  <c r="J41" i="92"/>
  <c r="V45" i="92"/>
  <c r="V49" i="92"/>
  <c r="J53" i="92"/>
  <c r="V57" i="92"/>
  <c r="J61" i="92"/>
  <c r="V65" i="92"/>
  <c r="V69" i="92"/>
  <c r="V73" i="92"/>
  <c r="J75" i="92"/>
  <c r="V77" i="92"/>
  <c r="J81" i="92"/>
  <c r="J85" i="92"/>
  <c r="N62" i="94"/>
  <c r="L66" i="94"/>
  <c r="N66" i="94" s="1"/>
  <c r="V93" i="92"/>
  <c r="V87" i="92"/>
  <c r="V18" i="92"/>
  <c r="H23" i="92"/>
  <c r="V26" i="92"/>
  <c r="J30" i="92"/>
  <c r="V34" i="92"/>
  <c r="V38" i="92"/>
  <c r="J42" i="92"/>
  <c r="V46" i="92"/>
  <c r="J48" i="92"/>
  <c r="V54" i="92"/>
  <c r="J56" i="92"/>
  <c r="V62" i="92"/>
  <c r="J64" i="92"/>
  <c r="V74" i="92"/>
  <c r="V78" i="92"/>
  <c r="J82" i="92"/>
  <c r="V86" i="92"/>
  <c r="Z26" i="94"/>
  <c r="X48" i="94"/>
  <c r="Z48" i="94" s="1"/>
  <c r="P12" i="97"/>
  <c r="X13" i="97"/>
  <c r="Z13" i="97" s="1"/>
  <c r="X54" i="97"/>
  <c r="Z54" i="97" s="1"/>
  <c r="V19" i="92"/>
  <c r="J23" i="92"/>
  <c r="V27" i="92"/>
  <c r="J31" i="92"/>
  <c r="V35" i="92"/>
  <c r="J37" i="92"/>
  <c r="V39" i="92"/>
  <c r="J43" i="92"/>
  <c r="V47" i="92"/>
  <c r="J51" i="92"/>
  <c r="V55" i="92"/>
  <c r="J59" i="92"/>
  <c r="V63" i="92"/>
  <c r="J67" i="92"/>
  <c r="J71" i="92"/>
  <c r="V79" i="92"/>
  <c r="J83" i="92"/>
  <c r="V19" i="95"/>
  <c r="T86" i="95"/>
  <c r="X60" i="95"/>
  <c r="Z60" i="95" s="1"/>
  <c r="X22" i="96"/>
  <c r="P20" i="96"/>
  <c r="X20" i="96" s="1"/>
  <c r="X16" i="97"/>
  <c r="X45" i="97"/>
  <c r="Z45" i="97" s="1"/>
  <c r="J19" i="93"/>
  <c r="V23" i="94"/>
  <c r="J29" i="94"/>
  <c r="V33" i="94"/>
  <c r="V37" i="94"/>
  <c r="J41" i="94"/>
  <c r="V45" i="94"/>
  <c r="V49" i="94"/>
  <c r="J53" i="94"/>
  <c r="V57" i="94"/>
  <c r="J61" i="94"/>
  <c r="V65" i="94"/>
  <c r="Z78" i="94"/>
  <c r="J86" i="94"/>
  <c r="J88" i="94"/>
  <c r="V93" i="94"/>
  <c r="Z22" i="95"/>
  <c r="N50" i="95"/>
  <c r="N62" i="95"/>
  <c r="L62" i="95"/>
  <c r="X16" i="96"/>
  <c r="L14" i="97"/>
  <c r="N14" i="97" s="1"/>
  <c r="D12" i="97"/>
  <c r="N21" i="97"/>
  <c r="L21" i="97"/>
  <c r="V35" i="97"/>
  <c r="F14" i="93"/>
  <c r="V14" i="93"/>
  <c r="F18" i="93"/>
  <c r="V18" i="93"/>
  <c r="R22" i="93"/>
  <c r="J24" i="93"/>
  <c r="R28" i="93"/>
  <c r="J31" i="93"/>
  <c r="V80" i="94"/>
  <c r="V76" i="94"/>
  <c r="V72" i="94"/>
  <c r="V68" i="94"/>
  <c r="V87" i="94"/>
  <c r="V79" i="94"/>
  <c r="V96" i="94"/>
  <c r="V92" i="94"/>
  <c r="V88" i="94"/>
  <c r="V84" i="94"/>
  <c r="V91" i="94"/>
  <c r="V83" i="94"/>
  <c r="V18" i="94"/>
  <c r="H23" i="94"/>
  <c r="V26" i="94"/>
  <c r="J30" i="94"/>
  <c r="V34" i="94"/>
  <c r="V38" i="94"/>
  <c r="J42" i="94"/>
  <c r="V46" i="94"/>
  <c r="J48" i="94"/>
  <c r="V54" i="94"/>
  <c r="J56" i="94"/>
  <c r="V62" i="94"/>
  <c r="J64" i="94"/>
  <c r="J67" i="94"/>
  <c r="V78" i="94"/>
  <c r="J85" i="94"/>
  <c r="V89" i="94"/>
  <c r="V90" i="94"/>
  <c r="V100" i="94"/>
  <c r="X52" i="95"/>
  <c r="Z52" i="95" s="1"/>
  <c r="Z58" i="95"/>
  <c r="X64" i="95"/>
  <c r="Z64" i="95" s="1"/>
  <c r="J21" i="97"/>
  <c r="V63" i="97"/>
  <c r="J51" i="94"/>
  <c r="V55" i="94"/>
  <c r="J59" i="94"/>
  <c r="V63" i="94"/>
  <c r="J68" i="94"/>
  <c r="J69" i="94"/>
  <c r="J70" i="94"/>
  <c r="V71" i="94"/>
  <c r="V81" i="94"/>
  <c r="V82" i="94"/>
  <c r="V78" i="97"/>
  <c r="V66" i="97"/>
  <c r="V58" i="97"/>
  <c r="V50" i="97"/>
  <c r="V42" i="97"/>
  <c r="V68" i="97"/>
  <c r="V71" i="97"/>
  <c r="V69" i="97"/>
  <c r="V59" i="97"/>
  <c r="V57" i="97"/>
  <c r="V40" i="97"/>
  <c r="V32" i="97"/>
  <c r="V28" i="97"/>
  <c r="V56" i="97"/>
  <c r="V53" i="97"/>
  <c r="V52" i="97"/>
  <c r="V48" i="97"/>
  <c r="V47" i="97"/>
  <c r="V39" i="97"/>
  <c r="V27" i="97"/>
  <c r="T18" i="97"/>
  <c r="V62" i="97"/>
  <c r="V61" i="97"/>
  <c r="V60" i="97"/>
  <c r="V44" i="97"/>
  <c r="V38" i="97"/>
  <c r="V26" i="97"/>
  <c r="V65" i="97"/>
  <c r="V43" i="97"/>
  <c r="V37" i="97"/>
  <c r="V25" i="97"/>
  <c r="V49" i="97"/>
  <c r="V36" i="97"/>
  <c r="V24" i="97"/>
  <c r="V20" i="97"/>
  <c r="V16" i="97"/>
  <c r="V46" i="97"/>
  <c r="V41" i="97"/>
  <c r="V74" i="97"/>
  <c r="V51" i="97"/>
  <c r="V31" i="97"/>
  <c r="V70" i="97"/>
  <c r="V54" i="97"/>
  <c r="V33" i="97"/>
  <c r="V67" i="97"/>
  <c r="V34" i="97"/>
  <c r="V55" i="97"/>
  <c r="V45" i="97"/>
  <c r="V29" i="97"/>
  <c r="V22" i="97"/>
  <c r="N12" i="93"/>
  <c r="J14" i="93"/>
  <c r="R16" i="93"/>
  <c r="J18" i="93"/>
  <c r="J20" i="93"/>
  <c r="F22" i="93"/>
  <c r="V22" i="93"/>
  <c r="J26" i="93"/>
  <c r="F28" i="93"/>
  <c r="V28" i="93"/>
  <c r="L16" i="94"/>
  <c r="J18" i="94"/>
  <c r="V20" i="94"/>
  <c r="J26" i="94"/>
  <c r="V28" i="94"/>
  <c r="J32" i="94"/>
  <c r="V36" i="94"/>
  <c r="V40" i="94"/>
  <c r="J44" i="94"/>
  <c r="V52" i="94"/>
  <c r="J54" i="94"/>
  <c r="V60" i="94"/>
  <c r="J62" i="94"/>
  <c r="J73" i="94"/>
  <c r="J74" i="94"/>
  <c r="J76" i="94"/>
  <c r="J77" i="94"/>
  <c r="X44" i="95"/>
  <c r="Z44" i="95" s="1"/>
  <c r="N54" i="95"/>
  <c r="L54" i="95"/>
  <c r="N66" i="95"/>
  <c r="N20" i="97"/>
  <c r="D16" i="93"/>
  <c r="T16" i="93"/>
  <c r="R19" i="93"/>
  <c r="V21" i="94"/>
  <c r="V25" i="94"/>
  <c r="V29" i="94"/>
  <c r="J33" i="94"/>
  <c r="V41" i="94"/>
  <c r="J45" i="94"/>
  <c r="J49" i="94"/>
  <c r="V53" i="94"/>
  <c r="J57" i="94"/>
  <c r="V61" i="94"/>
  <c r="J65" i="94"/>
  <c r="Z66" i="94"/>
  <c r="L76" i="94"/>
  <c r="V85" i="94"/>
  <c r="V86" i="94"/>
  <c r="Z91" i="94"/>
  <c r="X16" i="95"/>
  <c r="Z16" i="95" s="1"/>
  <c r="L22" i="95"/>
  <c r="V44" i="95"/>
  <c r="F31" i="96"/>
  <c r="F24" i="96"/>
  <c r="F22" i="96"/>
  <c r="F20" i="96"/>
  <c r="F16" i="96"/>
  <c r="F28" i="96"/>
  <c r="F18" i="96"/>
  <c r="F21" i="96"/>
  <c r="L12" i="96"/>
  <c r="F26" i="96"/>
  <c r="F14" i="96"/>
  <c r="L18" i="96"/>
  <c r="V21" i="97"/>
  <c r="J22" i="93"/>
  <c r="R24" i="93"/>
  <c r="J102" i="94"/>
  <c r="J96" i="94"/>
  <c r="J92" i="94"/>
  <c r="J84" i="94"/>
  <c r="J78" i="94"/>
  <c r="J83" i="94"/>
  <c r="J75" i="94"/>
  <c r="J100" i="94"/>
  <c r="J94" i="94"/>
  <c r="J105" i="94"/>
  <c r="J98" i="94"/>
  <c r="J80" i="94"/>
  <c r="J72" i="94"/>
  <c r="J93" i="94"/>
  <c r="J87" i="94"/>
  <c r="J79" i="94"/>
  <c r="V30" i="94"/>
  <c r="J34" i="94"/>
  <c r="J38" i="94"/>
  <c r="V42" i="94"/>
  <c r="J46" i="94"/>
  <c r="V50" i="94"/>
  <c r="J52" i="94"/>
  <c r="V58" i="94"/>
  <c r="J60" i="94"/>
  <c r="V66" i="94"/>
  <c r="V67" i="94"/>
  <c r="V69" i="94"/>
  <c r="V70" i="94"/>
  <c r="V75" i="94"/>
  <c r="J90" i="94"/>
  <c r="N93" i="94"/>
  <c r="V98" i="94"/>
  <c r="X14" i="95"/>
  <c r="P12" i="95"/>
  <c r="V16" i="95"/>
  <c r="N22" i="95"/>
  <c r="N46" i="95"/>
  <c r="L46" i="95"/>
  <c r="L58" i="95"/>
  <c r="N58" i="95" s="1"/>
  <c r="Z81" i="95"/>
  <c r="V23" i="97"/>
  <c r="V30" i="97"/>
  <c r="F26" i="95"/>
  <c r="V29" i="95"/>
  <c r="F33" i="95"/>
  <c r="V33" i="95"/>
  <c r="J37" i="95"/>
  <c r="F38" i="95"/>
  <c r="V41" i="95"/>
  <c r="V45" i="95"/>
  <c r="J49" i="95"/>
  <c r="V53" i="95"/>
  <c r="J57" i="95"/>
  <c r="V61" i="95"/>
  <c r="J65" i="95"/>
  <c r="J69" i="95"/>
  <c r="F77" i="95"/>
  <c r="N78" i="95"/>
  <c r="X81" i="95"/>
  <c r="X20" i="97"/>
  <c r="Z20" i="97" s="1"/>
  <c r="X49" i="97"/>
  <c r="Z49" i="97" s="1"/>
  <c r="V84" i="95"/>
  <c r="V77" i="95"/>
  <c r="V80" i="95"/>
  <c r="V76" i="95"/>
  <c r="V88" i="95"/>
  <c r="V86" i="95"/>
  <c r="V82" i="95"/>
  <c r="V78" i="95"/>
  <c r="V74" i="95"/>
  <c r="H19" i="95"/>
  <c r="F22" i="95"/>
  <c r="V22" i="95"/>
  <c r="J26" i="95"/>
  <c r="F27" i="95"/>
  <c r="V30" i="95"/>
  <c r="V34" i="95"/>
  <c r="J38" i="95"/>
  <c r="F39" i="95"/>
  <c r="V42" i="95"/>
  <c r="J44" i="95"/>
  <c r="F47" i="95"/>
  <c r="F50" i="95"/>
  <c r="V50" i="95"/>
  <c r="J52" i="95"/>
  <c r="F55" i="95"/>
  <c r="F58" i="95"/>
  <c r="V58" i="95"/>
  <c r="J60" i="95"/>
  <c r="F63" i="95"/>
  <c r="F66" i="95"/>
  <c r="V66" i="95"/>
  <c r="F70" i="95"/>
  <c r="V70" i="95"/>
  <c r="V72" i="95"/>
  <c r="V73" i="95"/>
  <c r="F76" i="95"/>
  <c r="J77" i="95"/>
  <c r="V79" i="95"/>
  <c r="J18" i="97"/>
  <c r="N32" i="97"/>
  <c r="Z68" i="97"/>
  <c r="X20" i="98"/>
  <c r="X21" i="98"/>
  <c r="L34" i="99"/>
  <c r="J22" i="95"/>
  <c r="V24" i="95"/>
  <c r="J28" i="95"/>
  <c r="F29" i="95"/>
  <c r="V32" i="95"/>
  <c r="V36" i="95"/>
  <c r="J40" i="95"/>
  <c r="F41" i="95"/>
  <c r="F45" i="95"/>
  <c r="F48" i="95"/>
  <c r="V48" i="95"/>
  <c r="J50" i="95"/>
  <c r="F53" i="95"/>
  <c r="F56" i="95"/>
  <c r="V56" i="95"/>
  <c r="J58" i="95"/>
  <c r="F61" i="95"/>
  <c r="V64" i="95"/>
  <c r="J66" i="95"/>
  <c r="V68" i="95"/>
  <c r="J70" i="95"/>
  <c r="J75" i="95"/>
  <c r="V81" i="95"/>
  <c r="J20" i="96"/>
  <c r="J16" i="96"/>
  <c r="J22" i="96"/>
  <c r="H16" i="96"/>
  <c r="J28" i="96"/>
  <c r="J26" i="96"/>
  <c r="J21" i="96"/>
  <c r="J18" i="96"/>
  <c r="J14" i="96"/>
  <c r="N12" i="96"/>
  <c r="Z16" i="96"/>
  <c r="T24" i="96"/>
  <c r="J24" i="96"/>
  <c r="F90" i="95"/>
  <c r="F84" i="95"/>
  <c r="F79" i="95"/>
  <c r="F75" i="95"/>
  <c r="F88" i="95"/>
  <c r="F82" i="95"/>
  <c r="F93" i="95"/>
  <c r="F86" i="95"/>
  <c r="F78" i="95"/>
  <c r="F71" i="95"/>
  <c r="V17" i="95"/>
  <c r="F21" i="95"/>
  <c r="V21" i="95"/>
  <c r="V25" i="95"/>
  <c r="J29" i="95"/>
  <c r="F30" i="95"/>
  <c r="F34" i="95"/>
  <c r="V37" i="95"/>
  <c r="J41" i="95"/>
  <c r="F42" i="95"/>
  <c r="J45" i="95"/>
  <c r="V49" i="95"/>
  <c r="J53" i="95"/>
  <c r="V57" i="95"/>
  <c r="J61" i="95"/>
  <c r="V65" i="95"/>
  <c r="V69" i="95"/>
  <c r="F72" i="95"/>
  <c r="F73" i="95"/>
  <c r="X78" i="95"/>
  <c r="Z78" i="95" s="1"/>
  <c r="F80" i="95"/>
  <c r="D20" i="96"/>
  <c r="L20" i="96" s="1"/>
  <c r="J31" i="96"/>
  <c r="Z43" i="97"/>
  <c r="X33" i="98"/>
  <c r="J88" i="95"/>
  <c r="J82" i="95"/>
  <c r="J74" i="95"/>
  <c r="J93" i="95"/>
  <c r="J86" i="95"/>
  <c r="J78" i="95"/>
  <c r="J16" i="95"/>
  <c r="F23" i="95"/>
  <c r="V26" i="95"/>
  <c r="J30" i="95"/>
  <c r="F31" i="95"/>
  <c r="J34" i="95"/>
  <c r="F35" i="95"/>
  <c r="V38" i="95"/>
  <c r="J42" i="95"/>
  <c r="F43" i="95"/>
  <c r="F46" i="95"/>
  <c r="V46" i="95"/>
  <c r="J48" i="95"/>
  <c r="F51" i="95"/>
  <c r="F54" i="95"/>
  <c r="V54" i="95"/>
  <c r="J56" i="95"/>
  <c r="F59" i="95"/>
  <c r="F62" i="95"/>
  <c r="V62" i="95"/>
  <c r="J64" i="95"/>
  <c r="F67" i="95"/>
  <c r="J71" i="95"/>
  <c r="J72" i="95"/>
  <c r="J73" i="95"/>
  <c r="F74" i="95"/>
  <c r="J80" i="95"/>
  <c r="F81" i="95"/>
  <c r="L84" i="95"/>
  <c r="J90" i="95"/>
  <c r="R21" i="96"/>
  <c r="R18" i="96"/>
  <c r="R14" i="96"/>
  <c r="R26" i="96"/>
  <c r="X12" i="96"/>
  <c r="R31" i="96"/>
  <c r="R24" i="96"/>
  <c r="R20" i="96"/>
  <c r="R16" i="96"/>
  <c r="N45" i="97"/>
  <c r="N56" i="97"/>
  <c r="V22" i="96"/>
  <c r="V28" i="96"/>
  <c r="J28" i="97"/>
  <c r="J40" i="97"/>
  <c r="J45" i="97"/>
  <c r="J48" i="97"/>
  <c r="J57" i="97"/>
  <c r="J71" i="97"/>
  <c r="N73" i="97"/>
  <c r="X15" i="99"/>
  <c r="J16" i="99"/>
  <c r="R31" i="99"/>
  <c r="V33" i="100"/>
  <c r="N54" i="97"/>
  <c r="J58" i="97"/>
  <c r="J63" i="97"/>
  <c r="J73" i="97"/>
  <c r="J34" i="99"/>
  <c r="J31" i="99"/>
  <c r="J27" i="99"/>
  <c r="J21" i="99"/>
  <c r="J18" i="99"/>
  <c r="J22" i="99"/>
  <c r="N12" i="99"/>
  <c r="L12" i="99"/>
  <c r="J24" i="99"/>
  <c r="V16" i="96"/>
  <c r="V20" i="96"/>
  <c r="J68" i="97"/>
  <c r="J62" i="97"/>
  <c r="J52" i="97"/>
  <c r="J46" i="97"/>
  <c r="J80" i="97"/>
  <c r="J70" i="97"/>
  <c r="J64" i="97"/>
  <c r="J60" i="97"/>
  <c r="J67" i="97"/>
  <c r="J59" i="97"/>
  <c r="J76" i="97"/>
  <c r="J16" i="97"/>
  <c r="J20" i="97"/>
  <c r="J22" i="97"/>
  <c r="J30" i="97"/>
  <c r="J34" i="97"/>
  <c r="J42" i="97"/>
  <c r="J49" i="97"/>
  <c r="Z52" i="97"/>
  <c r="J54" i="97"/>
  <c r="J69" i="97"/>
  <c r="J34" i="98"/>
  <c r="J31" i="98"/>
  <c r="J27" i="98"/>
  <c r="J24" i="98"/>
  <c r="J18" i="98"/>
  <c r="J36" i="98"/>
  <c r="J33" i="98"/>
  <c r="J29" i="98"/>
  <c r="J25" i="98"/>
  <c r="H18" i="98"/>
  <c r="J15" i="98"/>
  <c r="X25" i="98"/>
  <c r="R36" i="99"/>
  <c r="R33" i="99"/>
  <c r="R29" i="99"/>
  <c r="R25" i="99"/>
  <c r="P18" i="99"/>
  <c r="R15" i="99"/>
  <c r="X12" i="99"/>
  <c r="R20" i="99"/>
  <c r="R16" i="99"/>
  <c r="R24" i="99"/>
  <c r="R21" i="99"/>
  <c r="J25" i="99"/>
  <c r="R27" i="99"/>
  <c r="J23" i="97"/>
  <c r="J31" i="97"/>
  <c r="J35" i="97"/>
  <c r="J55" i="97"/>
  <c r="N12" i="98"/>
  <c r="X15" i="98"/>
  <c r="J20" i="98"/>
  <c r="Z15" i="99"/>
  <c r="R22" i="99"/>
  <c r="Z12" i="96"/>
  <c r="V24" i="96"/>
  <c r="V26" i="96"/>
  <c r="J24" i="97"/>
  <c r="J36" i="97"/>
  <c r="J43" i="97"/>
  <c r="J50" i="97"/>
  <c r="J51" i="97"/>
  <c r="J65" i="97"/>
  <c r="L68" i="97"/>
  <c r="N68" i="97" s="1"/>
  <c r="X70" i="97"/>
  <c r="Z70" i="97" s="1"/>
  <c r="X13" i="98"/>
  <c r="L24" i="98"/>
  <c r="X29" i="98"/>
  <c r="L15" i="99"/>
  <c r="D18" i="99"/>
  <c r="V34" i="100"/>
  <c r="V31" i="100"/>
  <c r="V27" i="100"/>
  <c r="V21" i="100"/>
  <c r="V18" i="100"/>
  <c r="V36" i="100"/>
  <c r="V22" i="100"/>
  <c r="V21" i="98"/>
  <c r="R27" i="98"/>
  <c r="R31" i="98"/>
  <c r="R34" i="98"/>
  <c r="R15" i="100"/>
  <c r="P18" i="100"/>
  <c r="R25" i="100"/>
  <c r="J27" i="100"/>
  <c r="R29" i="100"/>
  <c r="J31" i="100"/>
  <c r="R33" i="100"/>
  <c r="J34" i="100"/>
  <c r="R36" i="100"/>
  <c r="V24" i="98"/>
  <c r="J16" i="100"/>
  <c r="R18" i="100"/>
  <c r="J20" i="100"/>
  <c r="F22" i="100"/>
  <c r="X74" i="97"/>
  <c r="Z74" i="97" s="1"/>
  <c r="Z12" i="98"/>
  <c r="F16" i="98"/>
  <c r="V16" i="98"/>
  <c r="F20" i="98"/>
  <c r="V20" i="98"/>
  <c r="R22" i="98"/>
  <c r="N12" i="100"/>
  <c r="F18" i="100"/>
  <c r="J22" i="100"/>
  <c r="R24" i="100"/>
  <c r="R15" i="98"/>
  <c r="P18" i="98"/>
  <c r="R25" i="98"/>
  <c r="R29" i="98"/>
  <c r="R33" i="98"/>
  <c r="R36" i="98"/>
  <c r="J15" i="100"/>
  <c r="H18" i="100"/>
  <c r="L18" i="100" s="1"/>
  <c r="J25" i="100"/>
  <c r="R27" i="100"/>
  <c r="J29" i="100"/>
  <c r="R31" i="100"/>
  <c r="J33" i="100"/>
  <c r="R34" i="100"/>
  <c r="J36" i="100"/>
  <c r="L12" i="98"/>
  <c r="F15" i="98"/>
  <c r="V15" i="98"/>
  <c r="D18" i="98"/>
  <c r="T18" i="98"/>
  <c r="F25" i="98"/>
  <c r="V25" i="98"/>
  <c r="F29" i="98"/>
  <c r="V29" i="98"/>
  <c r="F33" i="98"/>
  <c r="V33" i="98"/>
  <c r="F27" i="100"/>
  <c r="F31" i="100"/>
  <c r="H27" i="99" l="1"/>
  <c r="Z18" i="25"/>
  <c r="H31" i="47"/>
  <c r="N31" i="47" s="1"/>
  <c r="H27" i="28"/>
  <c r="Z27" i="25"/>
  <c r="N27" i="52"/>
  <c r="N18" i="52"/>
  <c r="Z18" i="22"/>
  <c r="X18" i="22"/>
  <c r="Z27" i="22"/>
  <c r="T31" i="23"/>
  <c r="Z31" i="23" s="1"/>
  <c r="N18" i="5"/>
  <c r="N18" i="11"/>
  <c r="Z18" i="23"/>
  <c r="N27" i="11"/>
  <c r="L18" i="53"/>
  <c r="X27" i="40"/>
  <c r="L18" i="22"/>
  <c r="X18" i="44"/>
  <c r="N18" i="53"/>
  <c r="L18" i="13"/>
  <c r="Z18" i="40"/>
  <c r="Z18" i="99"/>
  <c r="Z18" i="35"/>
  <c r="X18" i="19"/>
  <c r="X18" i="31"/>
  <c r="N18" i="7"/>
  <c r="T27" i="53"/>
  <c r="T31" i="53" s="1"/>
  <c r="N18" i="38"/>
  <c r="X18" i="40"/>
  <c r="N18" i="32"/>
  <c r="Z18" i="28"/>
  <c r="X18" i="5"/>
  <c r="L18" i="38"/>
  <c r="N18" i="34"/>
  <c r="H31" i="32"/>
  <c r="N31" i="32" s="1"/>
  <c r="H27" i="34"/>
  <c r="Z18" i="5"/>
  <c r="D27" i="53"/>
  <c r="L27" i="53" s="1"/>
  <c r="N27" i="7"/>
  <c r="L18" i="7"/>
  <c r="D27" i="38"/>
  <c r="N31" i="7"/>
  <c r="X18" i="25"/>
  <c r="T31" i="5"/>
  <c r="Z27" i="5"/>
  <c r="Z18" i="34"/>
  <c r="T27" i="34"/>
  <c r="T27" i="100"/>
  <c r="Z18" i="100"/>
  <c r="D31" i="100"/>
  <c r="N27" i="99"/>
  <c r="H31" i="99"/>
  <c r="F71" i="97"/>
  <c r="F58" i="97"/>
  <c r="F55" i="97"/>
  <c r="F74" i="97"/>
  <c r="F68" i="97"/>
  <c r="F61" i="97"/>
  <c r="F64" i="97"/>
  <c r="F60" i="97"/>
  <c r="F69" i="97"/>
  <c r="F78" i="97"/>
  <c r="F66" i="97"/>
  <c r="F56" i="97"/>
  <c r="F52" i="97"/>
  <c r="F37" i="97"/>
  <c r="F32" i="97"/>
  <c r="F25" i="97"/>
  <c r="F67" i="97"/>
  <c r="F51" i="97"/>
  <c r="F50" i="97"/>
  <c r="F47" i="97"/>
  <c r="F36" i="97"/>
  <c r="F24" i="97"/>
  <c r="D18" i="97"/>
  <c r="L12" i="97"/>
  <c r="N12" i="97" s="1"/>
  <c r="F65" i="97"/>
  <c r="F46" i="97"/>
  <c r="F43" i="97"/>
  <c r="F35" i="97"/>
  <c r="F31" i="97"/>
  <c r="F23" i="97"/>
  <c r="F70" i="97"/>
  <c r="F59" i="97"/>
  <c r="F42" i="97"/>
  <c r="F34" i="97"/>
  <c r="F30" i="97"/>
  <c r="F22" i="97"/>
  <c r="F54" i="97"/>
  <c r="F49" i="97"/>
  <c r="F41" i="97"/>
  <c r="F33" i="97"/>
  <c r="F29" i="97"/>
  <c r="F20" i="97"/>
  <c r="F16" i="97"/>
  <c r="F63" i="97"/>
  <c r="F39" i="97"/>
  <c r="F21" i="97"/>
  <c r="F57" i="97"/>
  <c r="F45" i="97"/>
  <c r="F40" i="97"/>
  <c r="F26" i="97"/>
  <c r="F48" i="97"/>
  <c r="F27" i="97"/>
  <c r="F28" i="97"/>
  <c r="F73" i="97"/>
  <c r="F53" i="97"/>
  <c r="F38" i="97"/>
  <c r="F44" i="97"/>
  <c r="F62" i="97"/>
  <c r="H83" i="97"/>
  <c r="D24" i="96"/>
  <c r="H28" i="93"/>
  <c r="N24" i="93"/>
  <c r="P30" i="89"/>
  <c r="X16" i="89"/>
  <c r="D58" i="88"/>
  <c r="L16" i="88"/>
  <c r="L21" i="84"/>
  <c r="D79" i="84"/>
  <c r="N19" i="83"/>
  <c r="H80" i="83"/>
  <c r="L18" i="82"/>
  <c r="D79" i="82"/>
  <c r="H83" i="82"/>
  <c r="T91" i="79"/>
  <c r="Z20" i="79"/>
  <c r="H31" i="78"/>
  <c r="T94" i="76"/>
  <c r="P74" i="74"/>
  <c r="P36" i="72"/>
  <c r="T109" i="71"/>
  <c r="D156" i="69"/>
  <c r="T81" i="67"/>
  <c r="R118" i="66"/>
  <c r="R117" i="66"/>
  <c r="R111" i="66"/>
  <c r="R113" i="66"/>
  <c r="R112" i="66"/>
  <c r="R107" i="66"/>
  <c r="R103" i="66"/>
  <c r="R90" i="66"/>
  <c r="R78" i="66"/>
  <c r="R70" i="66"/>
  <c r="R66" i="66"/>
  <c r="R58" i="66"/>
  <c r="R50" i="66"/>
  <c r="R42" i="66"/>
  <c r="R93" i="66"/>
  <c r="R89" i="66"/>
  <c r="R86" i="66"/>
  <c r="R77" i="66"/>
  <c r="R69" i="66"/>
  <c r="R65" i="66"/>
  <c r="R49" i="66"/>
  <c r="R41" i="66"/>
  <c r="R110" i="66"/>
  <c r="R92" i="66"/>
  <c r="R80" i="66"/>
  <c r="R76" i="66"/>
  <c r="R64" i="66"/>
  <c r="R57" i="66"/>
  <c r="R48" i="66"/>
  <c r="R40" i="66"/>
  <c r="X12" i="66"/>
  <c r="Z12" i="66" s="1"/>
  <c r="R99" i="66"/>
  <c r="R95" i="66"/>
  <c r="R88" i="66"/>
  <c r="R83" i="66"/>
  <c r="R75" i="66"/>
  <c r="R68" i="66"/>
  <c r="R63" i="66"/>
  <c r="R47" i="66"/>
  <c r="R39" i="66"/>
  <c r="R106" i="66"/>
  <c r="R102" i="66"/>
  <c r="R98" i="66"/>
  <c r="R91" i="66"/>
  <c r="R82" i="66"/>
  <c r="R79" i="66"/>
  <c r="R74" i="66"/>
  <c r="R62" i="66"/>
  <c r="P54" i="66"/>
  <c r="R54" i="66" s="1"/>
  <c r="R46" i="66"/>
  <c r="R38" i="66"/>
  <c r="R122" i="66"/>
  <c r="R116" i="66"/>
  <c r="R108" i="66"/>
  <c r="R104" i="66"/>
  <c r="R81" i="66"/>
  <c r="R72" i="66"/>
  <c r="R60" i="66"/>
  <c r="R52" i="66"/>
  <c r="R44" i="66"/>
  <c r="R109" i="66"/>
  <c r="R73" i="66"/>
  <c r="R84" i="66"/>
  <c r="R61" i="66"/>
  <c r="R100" i="66"/>
  <c r="R94" i="66"/>
  <c r="R71" i="66"/>
  <c r="R59" i="66"/>
  <c r="R43" i="66"/>
  <c r="R37" i="66"/>
  <c r="R101" i="66"/>
  <c r="R87" i="66"/>
  <c r="R85" i="66"/>
  <c r="R67" i="66"/>
  <c r="R115" i="66"/>
  <c r="R105" i="66"/>
  <c r="R97" i="66"/>
  <c r="R51" i="66"/>
  <c r="R45" i="66"/>
  <c r="R36" i="66"/>
  <c r="R56" i="66"/>
  <c r="R96" i="66"/>
  <c r="D63" i="63"/>
  <c r="L16" i="63"/>
  <c r="P75" i="59"/>
  <c r="P74" i="57"/>
  <c r="X17" i="57"/>
  <c r="T27" i="50"/>
  <c r="Z18" i="50"/>
  <c r="P70" i="63"/>
  <c r="Z18" i="52"/>
  <c r="T27" i="52"/>
  <c r="H87" i="56"/>
  <c r="N27" i="53"/>
  <c r="H31" i="53"/>
  <c r="P27" i="49"/>
  <c r="X18" i="49"/>
  <c r="H27" i="40"/>
  <c r="L27" i="40" s="1"/>
  <c r="N18" i="40"/>
  <c r="L18" i="32"/>
  <c r="D27" i="32"/>
  <c r="X18" i="29"/>
  <c r="P27" i="29"/>
  <c r="Z27" i="41"/>
  <c r="T31" i="41"/>
  <c r="T130" i="39"/>
  <c r="H95" i="33"/>
  <c r="F220" i="15"/>
  <c r="F216" i="15"/>
  <c r="F192" i="15"/>
  <c r="F187" i="15"/>
  <c r="F180" i="15"/>
  <c r="F176" i="15"/>
  <c r="F171" i="15"/>
  <c r="F164" i="15"/>
  <c r="F155" i="15"/>
  <c r="F148" i="15"/>
  <c r="F136" i="15"/>
  <c r="D130" i="15"/>
  <c r="F128" i="15"/>
  <c r="F120" i="15"/>
  <c r="F112" i="15"/>
  <c r="F104" i="15"/>
  <c r="F96" i="15"/>
  <c r="F88" i="15"/>
  <c r="L12" i="15"/>
  <c r="N12" i="15" s="1"/>
  <c r="F236" i="15"/>
  <c r="F227" i="15"/>
  <c r="F223" i="15"/>
  <c r="F215" i="15"/>
  <c r="F206" i="15"/>
  <c r="F183" i="15"/>
  <c r="F179" i="15"/>
  <c r="F167" i="15"/>
  <c r="F163" i="15"/>
  <c r="F147" i="15"/>
  <c r="F143" i="15"/>
  <c r="F135" i="15"/>
  <c r="F127" i="15"/>
  <c r="F119" i="15"/>
  <c r="F111" i="15"/>
  <c r="F103" i="15"/>
  <c r="F95" i="15"/>
  <c r="F87" i="15"/>
  <c r="F233" i="15"/>
  <c r="F231" i="15"/>
  <c r="F226" i="15"/>
  <c r="F214" i="15"/>
  <c r="F209" i="15"/>
  <c r="F201" i="15"/>
  <c r="F189" i="15"/>
  <c r="F186" i="15"/>
  <c r="F173" i="15"/>
  <c r="F170" i="15"/>
  <c r="F166" i="15"/>
  <c r="F157" i="15"/>
  <c r="F154" i="15"/>
  <c r="F146" i="15"/>
  <c r="F142" i="15"/>
  <c r="F134" i="15"/>
  <c r="F126" i="15"/>
  <c r="F118" i="15"/>
  <c r="F110" i="15"/>
  <c r="F102" i="15"/>
  <c r="F94" i="15"/>
  <c r="F86" i="15"/>
  <c r="F229" i="15"/>
  <c r="F225" i="15"/>
  <c r="F213" i="15"/>
  <c r="F205" i="15"/>
  <c r="F196" i="15"/>
  <c r="F185" i="15"/>
  <c r="F169" i="15"/>
  <c r="F160" i="15"/>
  <c r="F153" i="15"/>
  <c r="F145" i="15"/>
  <c r="F141" i="15"/>
  <c r="F132" i="15"/>
  <c r="F125" i="15"/>
  <c r="F117" i="15"/>
  <c r="F109" i="15"/>
  <c r="F101" i="15"/>
  <c r="F93" i="15"/>
  <c r="F85" i="15"/>
  <c r="F80" i="15"/>
  <c r="F240" i="15"/>
  <c r="F235" i="15"/>
  <c r="F219" i="15"/>
  <c r="F212" i="15"/>
  <c r="F208" i="15"/>
  <c r="F204" i="15"/>
  <c r="F200" i="15"/>
  <c r="F191" i="15"/>
  <c r="F188" i="15"/>
  <c r="F175" i="15"/>
  <c r="F172" i="15"/>
  <c r="F156" i="15"/>
  <c r="F152" i="15"/>
  <c r="F140" i="15"/>
  <c r="F124" i="15"/>
  <c r="F116" i="15"/>
  <c r="F108" i="15"/>
  <c r="F100" i="15"/>
  <c r="F92" i="15"/>
  <c r="F84" i="15"/>
  <c r="F232" i="15"/>
  <c r="F222" i="15"/>
  <c r="F211" i="15"/>
  <c r="F207" i="15"/>
  <c r="F203" i="15"/>
  <c r="F199" i="15"/>
  <c r="F195" i="15"/>
  <c r="F182" i="15"/>
  <c r="F178" i="15"/>
  <c r="F162" i="15"/>
  <c r="F159" i="15"/>
  <c r="F151" i="15"/>
  <c r="F139" i="15"/>
  <c r="F123" i="15"/>
  <c r="F115" i="15"/>
  <c r="F107" i="15"/>
  <c r="F99" i="15"/>
  <c r="F91" i="15"/>
  <c r="F83" i="15"/>
  <c r="F218" i="15"/>
  <c r="F210" i="15"/>
  <c r="F202" i="15"/>
  <c r="F198" i="15"/>
  <c r="F194" i="15"/>
  <c r="F190" i="15"/>
  <c r="F174" i="15"/>
  <c r="F165" i="15"/>
  <c r="F158" i="15"/>
  <c r="F150" i="15"/>
  <c r="F138" i="15"/>
  <c r="F133" i="15"/>
  <c r="F122" i="15"/>
  <c r="F114" i="15"/>
  <c r="F106" i="15"/>
  <c r="F98" i="15"/>
  <c r="F90" i="15"/>
  <c r="F82" i="15"/>
  <c r="F234" i="15"/>
  <c r="F228" i="15"/>
  <c r="F224" i="15"/>
  <c r="F221" i="15"/>
  <c r="F217" i="15"/>
  <c r="F197" i="15"/>
  <c r="F193" i="15"/>
  <c r="F184" i="15"/>
  <c r="F181" i="15"/>
  <c r="F177" i="15"/>
  <c r="F168" i="15"/>
  <c r="F161" i="15"/>
  <c r="F149" i="15"/>
  <c r="F144" i="15"/>
  <c r="F137" i="15"/>
  <c r="F130" i="15"/>
  <c r="F121" i="15"/>
  <c r="F113" i="15"/>
  <c r="F105" i="15"/>
  <c r="F97" i="15"/>
  <c r="F89" i="15"/>
  <c r="F81" i="15"/>
  <c r="H27" i="16"/>
  <c r="N18" i="16"/>
  <c r="L18" i="17"/>
  <c r="D27" i="17"/>
  <c r="X18" i="8"/>
  <c r="P27" i="8"/>
  <c r="L18" i="11"/>
  <c r="D27" i="11"/>
  <c r="X134" i="12"/>
  <c r="P245" i="12"/>
  <c r="X18" i="11"/>
  <c r="P27" i="11"/>
  <c r="H104" i="9"/>
  <c r="N17" i="9"/>
  <c r="P27" i="13"/>
  <c r="X18" i="13"/>
  <c r="T27" i="98"/>
  <c r="Z18" i="98"/>
  <c r="D27" i="98"/>
  <c r="L18" i="98"/>
  <c r="H91" i="92"/>
  <c r="N23" i="92"/>
  <c r="P24" i="93"/>
  <c r="X16" i="93"/>
  <c r="R81" i="94"/>
  <c r="R77" i="94"/>
  <c r="R73" i="94"/>
  <c r="R69" i="94"/>
  <c r="R93" i="94"/>
  <c r="R80" i="94"/>
  <c r="R72" i="94"/>
  <c r="R96" i="94"/>
  <c r="R89" i="94"/>
  <c r="R85" i="94"/>
  <c r="R78" i="94"/>
  <c r="R92" i="94"/>
  <c r="R84" i="94"/>
  <c r="R74" i="94"/>
  <c r="R68" i="94"/>
  <c r="R64" i="94"/>
  <c r="R59" i="94"/>
  <c r="R56" i="94"/>
  <c r="R51" i="94"/>
  <c r="R48" i="94"/>
  <c r="R43" i="94"/>
  <c r="R31" i="94"/>
  <c r="P23" i="94"/>
  <c r="R75" i="94"/>
  <c r="R70" i="94"/>
  <c r="R67" i="94"/>
  <c r="R42" i="94"/>
  <c r="R30" i="94"/>
  <c r="R86" i="94"/>
  <c r="R66" i="94"/>
  <c r="R61" i="94"/>
  <c r="R58" i="94"/>
  <c r="R53" i="94"/>
  <c r="R50" i="94"/>
  <c r="R41" i="94"/>
  <c r="R29" i="94"/>
  <c r="R21" i="94"/>
  <c r="R91" i="94"/>
  <c r="R88" i="94"/>
  <c r="R87" i="94"/>
  <c r="R40" i="94"/>
  <c r="R36" i="94"/>
  <c r="R28" i="94"/>
  <c r="R25" i="94"/>
  <c r="R20" i="94"/>
  <c r="X12" i="94"/>
  <c r="Z12" i="94" s="1"/>
  <c r="R82" i="94"/>
  <c r="R63" i="94"/>
  <c r="R60" i="94"/>
  <c r="R55" i="94"/>
  <c r="R52" i="94"/>
  <c r="R47" i="94"/>
  <c r="R39" i="94"/>
  <c r="R35" i="94"/>
  <c r="R27" i="94"/>
  <c r="R19" i="94"/>
  <c r="R100" i="94"/>
  <c r="R90" i="94"/>
  <c r="R83" i="94"/>
  <c r="R71" i="94"/>
  <c r="R46" i="94"/>
  <c r="R38" i="94"/>
  <c r="R34" i="94"/>
  <c r="R62" i="94"/>
  <c r="R79" i="94"/>
  <c r="R57" i="94"/>
  <c r="R32" i="94"/>
  <c r="R26" i="94"/>
  <c r="R76" i="94"/>
  <c r="R49" i="94"/>
  <c r="R37" i="94"/>
  <c r="R45" i="94"/>
  <c r="R33" i="94"/>
  <c r="R65" i="94"/>
  <c r="R44" i="94"/>
  <c r="R18" i="94"/>
  <c r="R23" i="94"/>
  <c r="R94" i="94"/>
  <c r="R54" i="94"/>
  <c r="P65" i="91"/>
  <c r="H100" i="85"/>
  <c r="Z19" i="83"/>
  <c r="T80" i="83"/>
  <c r="T31" i="78"/>
  <c r="V21" i="78"/>
  <c r="D91" i="79"/>
  <c r="L20" i="79"/>
  <c r="X16" i="80"/>
  <c r="P32" i="80"/>
  <c r="F43" i="75"/>
  <c r="F31" i="75"/>
  <c r="F26" i="75"/>
  <c r="F18" i="75"/>
  <c r="F42" i="75"/>
  <c r="F30" i="75"/>
  <c r="F23" i="75"/>
  <c r="F40" i="75"/>
  <c r="F35" i="75"/>
  <c r="F28" i="75"/>
  <c r="F20" i="75"/>
  <c r="L12" i="75"/>
  <c r="N12" i="75" s="1"/>
  <c r="F39" i="75"/>
  <c r="F27" i="75"/>
  <c r="F19" i="75"/>
  <c r="F47" i="75"/>
  <c r="F38" i="75"/>
  <c r="F34" i="75"/>
  <c r="F25" i="75"/>
  <c r="F51" i="75"/>
  <c r="F45" i="75"/>
  <c r="F44" i="75"/>
  <c r="F41" i="75"/>
  <c r="F29" i="75"/>
  <c r="F21" i="75"/>
  <c r="F37" i="75"/>
  <c r="F36" i="75"/>
  <c r="D23" i="75"/>
  <c r="F33" i="75"/>
  <c r="F32" i="75"/>
  <c r="H137" i="77"/>
  <c r="P130" i="77"/>
  <c r="X52" i="77"/>
  <c r="D32" i="72"/>
  <c r="L18" i="72"/>
  <c r="J50" i="71"/>
  <c r="H109" i="71"/>
  <c r="T32" i="72"/>
  <c r="X32" i="72" s="1"/>
  <c r="Z18" i="72"/>
  <c r="R65" i="70"/>
  <c r="R61" i="70"/>
  <c r="R58" i="70"/>
  <c r="R53" i="70"/>
  <c r="R49" i="70"/>
  <c r="R37" i="70"/>
  <c r="R28" i="70"/>
  <c r="R76" i="70"/>
  <c r="R68" i="70"/>
  <c r="R64" i="70"/>
  <c r="R48" i="70"/>
  <c r="R41" i="70"/>
  <c r="R36" i="70"/>
  <c r="P28" i="70"/>
  <c r="X12" i="70"/>
  <c r="Z12" i="70" s="1"/>
  <c r="R87" i="70"/>
  <c r="R82" i="70"/>
  <c r="R75" i="70"/>
  <c r="R60" i="70"/>
  <c r="R55" i="70"/>
  <c r="R52" i="70"/>
  <c r="R47" i="70"/>
  <c r="R35" i="70"/>
  <c r="R78" i="70"/>
  <c r="R74" i="70"/>
  <c r="R70" i="70"/>
  <c r="R67" i="70"/>
  <c r="R63" i="70"/>
  <c r="R46" i="70"/>
  <c r="R34" i="70"/>
  <c r="R73" i="70"/>
  <c r="R57" i="70"/>
  <c r="R54" i="70"/>
  <c r="R45" i="70"/>
  <c r="R33" i="70"/>
  <c r="R30" i="70"/>
  <c r="R26" i="70"/>
  <c r="R80" i="70"/>
  <c r="R77" i="70"/>
  <c r="R72" i="70"/>
  <c r="R69" i="70"/>
  <c r="R44" i="70"/>
  <c r="R40" i="70"/>
  <c r="R32" i="70"/>
  <c r="R39" i="70"/>
  <c r="R83" i="70"/>
  <c r="R66" i="70"/>
  <c r="R79" i="70"/>
  <c r="R62" i="70"/>
  <c r="R31" i="70"/>
  <c r="R59" i="70"/>
  <c r="R56" i="70"/>
  <c r="R71" i="70"/>
  <c r="R51" i="70"/>
  <c r="R43" i="70"/>
  <c r="R38" i="70"/>
  <c r="R50" i="70"/>
  <c r="R42" i="70"/>
  <c r="T67" i="65"/>
  <c r="V19" i="65"/>
  <c r="T124" i="66"/>
  <c r="N16" i="59"/>
  <c r="H71" i="59"/>
  <c r="L18" i="52"/>
  <c r="D27" i="52"/>
  <c r="D81" i="58"/>
  <c r="L77" i="58"/>
  <c r="L18" i="49"/>
  <c r="D27" i="49"/>
  <c r="L18" i="37"/>
  <c r="D27" i="37"/>
  <c r="X18" i="37"/>
  <c r="P27" i="37"/>
  <c r="H36" i="47"/>
  <c r="N36" i="47" s="1"/>
  <c r="H27" i="35"/>
  <c r="N18" i="35"/>
  <c r="P36" i="44"/>
  <c r="T31" i="40"/>
  <c r="Z27" i="40"/>
  <c r="P36" i="31"/>
  <c r="P31" i="19"/>
  <c r="R172" i="30"/>
  <c r="R160" i="30"/>
  <c r="R156" i="30"/>
  <c r="R149" i="30"/>
  <c r="R128" i="30"/>
  <c r="R125" i="30"/>
  <c r="R116" i="30"/>
  <c r="R104" i="30"/>
  <c r="R96" i="30"/>
  <c r="R92" i="30"/>
  <c r="R85" i="30"/>
  <c r="R76" i="30"/>
  <c r="R68" i="30"/>
  <c r="R60" i="30"/>
  <c r="R53" i="30"/>
  <c r="R177" i="30"/>
  <c r="R159" i="30"/>
  <c r="R155" i="30"/>
  <c r="R131" i="30"/>
  <c r="R112" i="30"/>
  <c r="R107" i="30"/>
  <c r="R103" i="30"/>
  <c r="R91" i="30"/>
  <c r="R169" i="30"/>
  <c r="R162" i="30"/>
  <c r="R154" i="30"/>
  <c r="R127" i="30"/>
  <c r="R118" i="30"/>
  <c r="R115" i="30"/>
  <c r="R102" i="30"/>
  <c r="R95" i="30"/>
  <c r="R90" i="30"/>
  <c r="R171" i="30"/>
  <c r="R165" i="30"/>
  <c r="R158" i="30"/>
  <c r="R153" i="30"/>
  <c r="R145" i="30"/>
  <c r="R141" i="30"/>
  <c r="R137" i="30"/>
  <c r="R133" i="30"/>
  <c r="R130" i="30"/>
  <c r="R121" i="30"/>
  <c r="R109" i="30"/>
  <c r="R106" i="30"/>
  <c r="R101" i="30"/>
  <c r="R89" i="30"/>
  <c r="R164" i="30"/>
  <c r="R161" i="30"/>
  <c r="R152" i="30"/>
  <c r="R148" i="30"/>
  <c r="R144" i="30"/>
  <c r="R140" i="30"/>
  <c r="R136" i="30"/>
  <c r="R124" i="30"/>
  <c r="R120" i="30"/>
  <c r="R117" i="30"/>
  <c r="R100" i="30"/>
  <c r="R88" i="30"/>
  <c r="R80" i="30"/>
  <c r="R72" i="30"/>
  <c r="R64" i="30"/>
  <c r="R56" i="30"/>
  <c r="R173" i="30"/>
  <c r="R167" i="30"/>
  <c r="R151" i="30"/>
  <c r="R147" i="30"/>
  <c r="R143" i="30"/>
  <c r="R139" i="30"/>
  <c r="R135" i="30"/>
  <c r="R132" i="30"/>
  <c r="R123" i="30"/>
  <c r="R111" i="30"/>
  <c r="R108" i="30"/>
  <c r="R99" i="30"/>
  <c r="R87" i="30"/>
  <c r="R84" i="30"/>
  <c r="R79" i="30"/>
  <c r="R170" i="30"/>
  <c r="R163" i="30"/>
  <c r="R150" i="30"/>
  <c r="R126" i="30"/>
  <c r="R119" i="30"/>
  <c r="R114" i="30"/>
  <c r="R98" i="30"/>
  <c r="R166" i="30"/>
  <c r="R157" i="30"/>
  <c r="R146" i="30"/>
  <c r="R142" i="30"/>
  <c r="R138" i="30"/>
  <c r="R134" i="30"/>
  <c r="R129" i="30"/>
  <c r="R122" i="30"/>
  <c r="R113" i="30"/>
  <c r="R110" i="30"/>
  <c r="R105" i="30"/>
  <c r="R97" i="30"/>
  <c r="R93" i="30"/>
  <c r="R77" i="30"/>
  <c r="R75" i="30"/>
  <c r="R74" i="30"/>
  <c r="R71" i="30"/>
  <c r="R70" i="30"/>
  <c r="R67" i="30"/>
  <c r="R66" i="30"/>
  <c r="R63" i="30"/>
  <c r="R62" i="30"/>
  <c r="R59" i="30"/>
  <c r="R58" i="30"/>
  <c r="R55" i="30"/>
  <c r="R54" i="30"/>
  <c r="R94" i="30"/>
  <c r="R73" i="30"/>
  <c r="R69" i="30"/>
  <c r="R65" i="30"/>
  <c r="R61" i="30"/>
  <c r="R57" i="30"/>
  <c r="R78" i="30"/>
  <c r="R86" i="30"/>
  <c r="P82" i="30"/>
  <c r="X12" i="30"/>
  <c r="Z12" i="30" s="1"/>
  <c r="P88" i="33"/>
  <c r="X30" i="33"/>
  <c r="Z18" i="29"/>
  <c r="T27" i="29"/>
  <c r="H121" i="27"/>
  <c r="H27" i="29"/>
  <c r="L27" i="29" s="1"/>
  <c r="N18" i="29"/>
  <c r="P27" i="28"/>
  <c r="X18" i="28"/>
  <c r="H27" i="20"/>
  <c r="N18" i="20"/>
  <c r="T238" i="15"/>
  <c r="X18" i="14"/>
  <c r="P27" i="14"/>
  <c r="H245" i="12"/>
  <c r="H27" i="10"/>
  <c r="N18" i="10"/>
  <c r="J134" i="12"/>
  <c r="H27" i="4"/>
  <c r="N18" i="4"/>
  <c r="H26" i="6"/>
  <c r="N22" i="6"/>
  <c r="T111" i="9"/>
  <c r="L18" i="99"/>
  <c r="D27" i="99"/>
  <c r="X18" i="98"/>
  <c r="P27" i="98"/>
  <c r="H27" i="98"/>
  <c r="N18" i="98"/>
  <c r="T76" i="97"/>
  <c r="V18" i="97"/>
  <c r="P24" i="96"/>
  <c r="Z17" i="90"/>
  <c r="T40" i="90"/>
  <c r="H58" i="91"/>
  <c r="N16" i="91"/>
  <c r="N18" i="87"/>
  <c r="H28" i="87"/>
  <c r="H90" i="86"/>
  <c r="D31" i="78"/>
  <c r="L21" i="78"/>
  <c r="N21" i="78" s="1"/>
  <c r="F21" i="78"/>
  <c r="D80" i="83"/>
  <c r="L19" i="83"/>
  <c r="R82" i="76"/>
  <c r="R78" i="76"/>
  <c r="R70" i="76"/>
  <c r="R66" i="76"/>
  <c r="R62" i="76"/>
  <c r="R59" i="76"/>
  <c r="R54" i="76"/>
  <c r="R42" i="76"/>
  <c r="R34" i="76"/>
  <c r="R30" i="76"/>
  <c r="R21" i="76"/>
  <c r="R94" i="76"/>
  <c r="R88" i="76"/>
  <c r="R81" i="76"/>
  <c r="R77" i="76"/>
  <c r="R73" i="76"/>
  <c r="R69" i="76"/>
  <c r="R65" i="76"/>
  <c r="R50" i="76"/>
  <c r="R45" i="76"/>
  <c r="R41" i="76"/>
  <c r="R29" i="76"/>
  <c r="P21" i="76"/>
  <c r="R80" i="76"/>
  <c r="R75" i="76"/>
  <c r="R72" i="76"/>
  <c r="R68" i="76"/>
  <c r="R47" i="76"/>
  <c r="R44" i="76"/>
  <c r="R39" i="76"/>
  <c r="R27" i="76"/>
  <c r="R19" i="76"/>
  <c r="R92" i="76"/>
  <c r="R86" i="76"/>
  <c r="R83" i="76"/>
  <c r="R63" i="76"/>
  <c r="R58" i="76"/>
  <c r="R55" i="76"/>
  <c r="R38" i="76"/>
  <c r="R26" i="76"/>
  <c r="R23" i="76"/>
  <c r="R18" i="76"/>
  <c r="R97" i="76"/>
  <c r="R90" i="76"/>
  <c r="R74" i="76"/>
  <c r="R49" i="76"/>
  <c r="R46" i="76"/>
  <c r="R37" i="76"/>
  <c r="R25" i="76"/>
  <c r="R17" i="76"/>
  <c r="R85" i="76"/>
  <c r="R60" i="76"/>
  <c r="R57" i="76"/>
  <c r="R52" i="76"/>
  <c r="R36" i="76"/>
  <c r="R32" i="76"/>
  <c r="X12" i="76"/>
  <c r="Z12" i="76" s="1"/>
  <c r="R79" i="76"/>
  <c r="R71" i="76"/>
  <c r="R67" i="76"/>
  <c r="R76" i="76"/>
  <c r="R16" i="76"/>
  <c r="R35" i="76"/>
  <c r="R31" i="76"/>
  <c r="R28" i="76"/>
  <c r="R64" i="76"/>
  <c r="R56" i="76"/>
  <c r="R51" i="76"/>
  <c r="R84" i="76"/>
  <c r="R61" i="76"/>
  <c r="R40" i="76"/>
  <c r="R33" i="76"/>
  <c r="R24" i="76"/>
  <c r="R53" i="76"/>
  <c r="R43" i="76"/>
  <c r="R48" i="76"/>
  <c r="F120" i="77"/>
  <c r="F88" i="77"/>
  <c r="F85" i="77"/>
  <c r="F80" i="77"/>
  <c r="F77" i="77"/>
  <c r="F73" i="77"/>
  <c r="F116" i="77"/>
  <c r="F107" i="77"/>
  <c r="F103" i="77"/>
  <c r="F99" i="77"/>
  <c r="F96" i="77"/>
  <c r="F91" i="77"/>
  <c r="F72" i="77"/>
  <c r="F122" i="77"/>
  <c r="F119" i="77"/>
  <c r="F115" i="77"/>
  <c r="F110" i="77"/>
  <c r="F87" i="77"/>
  <c r="F82" i="77"/>
  <c r="F79" i="77"/>
  <c r="F71" i="77"/>
  <c r="F125" i="77"/>
  <c r="F118" i="77"/>
  <c r="F114" i="77"/>
  <c r="F106" i="77"/>
  <c r="F102" i="77"/>
  <c r="F98" i="77"/>
  <c r="F93" i="77"/>
  <c r="F90" i="77"/>
  <c r="F70" i="77"/>
  <c r="F65" i="77"/>
  <c r="F121" i="77"/>
  <c r="F113" i="77"/>
  <c r="F109" i="77"/>
  <c r="F105" i="77"/>
  <c r="F101" i="77"/>
  <c r="F89" i="77"/>
  <c r="F84" i="77"/>
  <c r="F81" i="77"/>
  <c r="F76" i="77"/>
  <c r="F69" i="77"/>
  <c r="F124" i="77"/>
  <c r="F112" i="77"/>
  <c r="F108" i="77"/>
  <c r="F104" i="77"/>
  <c r="F100" i="77"/>
  <c r="F95" i="77"/>
  <c r="F92" i="77"/>
  <c r="F68" i="77"/>
  <c r="F64" i="77"/>
  <c r="F128" i="77"/>
  <c r="F123" i="77"/>
  <c r="F111" i="77"/>
  <c r="F86" i="77"/>
  <c r="F83" i="77"/>
  <c r="F78" i="77"/>
  <c r="F75" i="77"/>
  <c r="F67" i="77"/>
  <c r="F63" i="77"/>
  <c r="F58" i="77"/>
  <c r="D52" i="77"/>
  <c r="F50" i="77"/>
  <c r="F42" i="77"/>
  <c r="F94" i="77"/>
  <c r="F74" i="77"/>
  <c r="F66" i="77"/>
  <c r="F57" i="77"/>
  <c r="F49" i="77"/>
  <c r="F41" i="77"/>
  <c r="F56" i="77"/>
  <c r="F54" i="77"/>
  <c r="F47" i="77"/>
  <c r="F39" i="77"/>
  <c r="F132" i="77"/>
  <c r="F126" i="77"/>
  <c r="F46" i="77"/>
  <c r="F38" i="77"/>
  <c r="L12" i="77"/>
  <c r="N12" i="77" s="1"/>
  <c r="F61" i="77"/>
  <c r="F45" i="77"/>
  <c r="F37" i="77"/>
  <c r="F62" i="77"/>
  <c r="F60" i="77"/>
  <c r="F55" i="77"/>
  <c r="F44" i="77"/>
  <c r="F36" i="77"/>
  <c r="F117" i="77"/>
  <c r="F97" i="77"/>
  <c r="F59" i="77"/>
  <c r="F52" i="77"/>
  <c r="F43" i="77"/>
  <c r="F35" i="77"/>
  <c r="F48" i="77"/>
  <c r="F40" i="77"/>
  <c r="H74" i="74"/>
  <c r="D94" i="76"/>
  <c r="H85" i="70"/>
  <c r="J28" i="70"/>
  <c r="T104" i="64"/>
  <c r="V50" i="71"/>
  <c r="Z16" i="63"/>
  <c r="T63" i="63"/>
  <c r="T71" i="59"/>
  <c r="Z16" i="59"/>
  <c r="P34" i="55"/>
  <c r="X16" i="55"/>
  <c r="X18" i="52"/>
  <c r="P27" i="52"/>
  <c r="H27" i="44"/>
  <c r="N18" i="44"/>
  <c r="H36" i="52"/>
  <c r="N36" i="52" s="1"/>
  <c r="N31" i="52"/>
  <c r="H76" i="48"/>
  <c r="J18" i="48"/>
  <c r="H27" i="46"/>
  <c r="N18" i="46"/>
  <c r="H27" i="37"/>
  <c r="N18" i="37"/>
  <c r="F102" i="51"/>
  <c r="F99" i="51"/>
  <c r="F91" i="51"/>
  <c r="F86" i="51"/>
  <c r="F67" i="51"/>
  <c r="F63" i="51"/>
  <c r="F55" i="51"/>
  <c r="F47" i="51"/>
  <c r="F39" i="51"/>
  <c r="F98" i="51"/>
  <c r="F94" i="51"/>
  <c r="F82" i="51"/>
  <c r="F77" i="51"/>
  <c r="F74" i="51"/>
  <c r="F66" i="51"/>
  <c r="F62" i="51"/>
  <c r="F54" i="51"/>
  <c r="F46" i="51"/>
  <c r="F38" i="51"/>
  <c r="F33" i="51"/>
  <c r="F101" i="51"/>
  <c r="F97" i="51"/>
  <c r="F88" i="51"/>
  <c r="F85" i="51"/>
  <c r="F73" i="51"/>
  <c r="F65" i="51"/>
  <c r="F61" i="51"/>
  <c r="F52" i="51"/>
  <c r="F45" i="51"/>
  <c r="F37" i="51"/>
  <c r="F107" i="51"/>
  <c r="F105" i="51"/>
  <c r="F96" i="51"/>
  <c r="F84" i="51"/>
  <c r="F79" i="51"/>
  <c r="F76" i="51"/>
  <c r="F72" i="51"/>
  <c r="F60" i="51"/>
  <c r="F44" i="51"/>
  <c r="F36" i="51"/>
  <c r="F103" i="51"/>
  <c r="F90" i="51"/>
  <c r="F87" i="51"/>
  <c r="F71" i="51"/>
  <c r="F59" i="51"/>
  <c r="F43" i="51"/>
  <c r="F35" i="51"/>
  <c r="F93" i="51"/>
  <c r="F81" i="51"/>
  <c r="F78" i="51"/>
  <c r="F70" i="51"/>
  <c r="F58" i="51"/>
  <c r="F53" i="51"/>
  <c r="F42" i="51"/>
  <c r="F34" i="51"/>
  <c r="L12" i="51"/>
  <c r="N12" i="51" s="1"/>
  <c r="F111" i="51"/>
  <c r="F106" i="51"/>
  <c r="F100" i="51"/>
  <c r="F89" i="51"/>
  <c r="F69" i="51"/>
  <c r="F64" i="51"/>
  <c r="F57" i="51"/>
  <c r="F41" i="51"/>
  <c r="F80" i="51"/>
  <c r="F75" i="51"/>
  <c r="F68" i="51"/>
  <c r="F95" i="51"/>
  <c r="F56" i="51"/>
  <c r="F83" i="51"/>
  <c r="F40" i="51"/>
  <c r="D50" i="51"/>
  <c r="F50" i="51" s="1"/>
  <c r="F92" i="51"/>
  <c r="F48" i="51"/>
  <c r="Z18" i="37"/>
  <c r="T27" i="37"/>
  <c r="P27" i="38"/>
  <c r="X18" i="38"/>
  <c r="P27" i="34"/>
  <c r="X18" i="34"/>
  <c r="R122" i="36"/>
  <c r="H27" i="25"/>
  <c r="N18" i="25"/>
  <c r="P31" i="25"/>
  <c r="X27" i="25"/>
  <c r="T27" i="19"/>
  <c r="Z18" i="19"/>
  <c r="T108" i="24"/>
  <c r="T113" i="21"/>
  <c r="T36" i="25"/>
  <c r="Z36" i="25" s="1"/>
  <c r="Z31" i="25"/>
  <c r="D36" i="23"/>
  <c r="F253" i="18"/>
  <c r="X50" i="24"/>
  <c r="Z50" i="24" s="1"/>
  <c r="P108" i="24"/>
  <c r="R240" i="15"/>
  <c r="R232" i="15"/>
  <c r="R212" i="15"/>
  <c r="R208" i="15"/>
  <c r="R204" i="15"/>
  <c r="R200" i="15"/>
  <c r="R188" i="15"/>
  <c r="R172" i="15"/>
  <c r="R165" i="15"/>
  <c r="R156" i="15"/>
  <c r="R152" i="15"/>
  <c r="R140" i="15"/>
  <c r="R133" i="15"/>
  <c r="R124" i="15"/>
  <c r="R116" i="15"/>
  <c r="R108" i="15"/>
  <c r="R100" i="15"/>
  <c r="R92" i="15"/>
  <c r="R84" i="15"/>
  <c r="R228" i="15"/>
  <c r="R224" i="15"/>
  <c r="R211" i="15"/>
  <c r="R207" i="15"/>
  <c r="R203" i="15"/>
  <c r="R199" i="15"/>
  <c r="R195" i="15"/>
  <c r="R184" i="15"/>
  <c r="R168" i="15"/>
  <c r="R159" i="15"/>
  <c r="R151" i="15"/>
  <c r="R144" i="15"/>
  <c r="R139" i="15"/>
  <c r="R123" i="15"/>
  <c r="R115" i="15"/>
  <c r="R107" i="15"/>
  <c r="R99" i="15"/>
  <c r="R91" i="15"/>
  <c r="R83" i="15"/>
  <c r="R234" i="15"/>
  <c r="R218" i="15"/>
  <c r="R210" i="15"/>
  <c r="R202" i="15"/>
  <c r="R198" i="15"/>
  <c r="R194" i="15"/>
  <c r="R190" i="15"/>
  <c r="R187" i="15"/>
  <c r="R174" i="15"/>
  <c r="R171" i="15"/>
  <c r="R158" i="15"/>
  <c r="R155" i="15"/>
  <c r="R150" i="15"/>
  <c r="R138" i="15"/>
  <c r="P130" i="15"/>
  <c r="R130" i="15" s="1"/>
  <c r="R122" i="15"/>
  <c r="R114" i="15"/>
  <c r="R106" i="15"/>
  <c r="R98" i="15"/>
  <c r="R90" i="15"/>
  <c r="R82" i="15"/>
  <c r="R221" i="15"/>
  <c r="R217" i="15"/>
  <c r="R206" i="15"/>
  <c r="R197" i="15"/>
  <c r="R193" i="15"/>
  <c r="R181" i="15"/>
  <c r="R177" i="15"/>
  <c r="R161" i="15"/>
  <c r="R149" i="15"/>
  <c r="R137" i="15"/>
  <c r="R121" i="15"/>
  <c r="R113" i="15"/>
  <c r="R105" i="15"/>
  <c r="R97" i="15"/>
  <c r="R89" i="15"/>
  <c r="R81" i="15"/>
  <c r="R236" i="15"/>
  <c r="R231" i="15"/>
  <c r="R220" i="15"/>
  <c r="R216" i="15"/>
  <c r="R209" i="15"/>
  <c r="R201" i="15"/>
  <c r="R192" i="15"/>
  <c r="R189" i="15"/>
  <c r="R180" i="15"/>
  <c r="R176" i="15"/>
  <c r="R173" i="15"/>
  <c r="R164" i="15"/>
  <c r="R157" i="15"/>
  <c r="R148" i="15"/>
  <c r="R136" i="15"/>
  <c r="R128" i="15"/>
  <c r="R120" i="15"/>
  <c r="R112" i="15"/>
  <c r="R104" i="15"/>
  <c r="R96" i="15"/>
  <c r="R88" i="15"/>
  <c r="X12" i="15"/>
  <c r="Z12" i="15" s="1"/>
  <c r="R233" i="15"/>
  <c r="R227" i="15"/>
  <c r="R223" i="15"/>
  <c r="R215" i="15"/>
  <c r="R196" i="15"/>
  <c r="R183" i="15"/>
  <c r="R179" i="15"/>
  <c r="R167" i="15"/>
  <c r="R163" i="15"/>
  <c r="R160" i="15"/>
  <c r="R147" i="15"/>
  <c r="R143" i="15"/>
  <c r="R135" i="15"/>
  <c r="R132" i="15"/>
  <c r="R127" i="15"/>
  <c r="R119" i="15"/>
  <c r="R111" i="15"/>
  <c r="R103" i="15"/>
  <c r="R95" i="15"/>
  <c r="R87" i="15"/>
  <c r="R80" i="15"/>
  <c r="R226" i="15"/>
  <c r="R219" i="15"/>
  <c r="R214" i="15"/>
  <c r="R191" i="15"/>
  <c r="R186" i="15"/>
  <c r="R175" i="15"/>
  <c r="R170" i="15"/>
  <c r="R166" i="15"/>
  <c r="R154" i="15"/>
  <c r="R146" i="15"/>
  <c r="R142" i="15"/>
  <c r="R134" i="15"/>
  <c r="R126" i="15"/>
  <c r="R118" i="15"/>
  <c r="R110" i="15"/>
  <c r="R102" i="15"/>
  <c r="R94" i="15"/>
  <c r="R86" i="15"/>
  <c r="R235" i="15"/>
  <c r="R229" i="15"/>
  <c r="R225" i="15"/>
  <c r="R222" i="15"/>
  <c r="R213" i="15"/>
  <c r="R205" i="15"/>
  <c r="R185" i="15"/>
  <c r="R182" i="15"/>
  <c r="R178" i="15"/>
  <c r="R169" i="15"/>
  <c r="R162" i="15"/>
  <c r="R153" i="15"/>
  <c r="R145" i="15"/>
  <c r="R141" i="15"/>
  <c r="R125" i="15"/>
  <c r="R117" i="15"/>
  <c r="R109" i="15"/>
  <c r="R101" i="15"/>
  <c r="R93" i="15"/>
  <c r="R85" i="15"/>
  <c r="X18" i="10"/>
  <c r="P27" i="10"/>
  <c r="Z16" i="6"/>
  <c r="T22" i="6"/>
  <c r="H36" i="11"/>
  <c r="N36" i="11" s="1"/>
  <c r="N31" i="11"/>
  <c r="X18" i="100"/>
  <c r="P27" i="100"/>
  <c r="N19" i="95"/>
  <c r="H86" i="95"/>
  <c r="L19" i="95"/>
  <c r="D86" i="95"/>
  <c r="R30" i="87"/>
  <c r="R24" i="87"/>
  <c r="R21" i="87"/>
  <c r="X12" i="87"/>
  <c r="R26" i="87"/>
  <c r="R20" i="87"/>
  <c r="R16" i="87"/>
  <c r="R23" i="87"/>
  <c r="R22" i="87"/>
  <c r="P18" i="87"/>
  <c r="T95" i="92"/>
  <c r="T104" i="85"/>
  <c r="H65" i="88"/>
  <c r="H79" i="84"/>
  <c r="N21" i="84"/>
  <c r="H89" i="81"/>
  <c r="N16" i="81"/>
  <c r="T89" i="81"/>
  <c r="Z16" i="81"/>
  <c r="P96" i="81"/>
  <c r="R72" i="79"/>
  <c r="R64" i="79"/>
  <c r="R61" i="79"/>
  <c r="R44" i="79"/>
  <c r="R40" i="79"/>
  <c r="R28" i="79"/>
  <c r="P20" i="79"/>
  <c r="R93" i="79"/>
  <c r="R87" i="79"/>
  <c r="R84" i="79"/>
  <c r="R79" i="79"/>
  <c r="R71" i="79"/>
  <c r="R68" i="79"/>
  <c r="R55" i="79"/>
  <c r="R52" i="79"/>
  <c r="R39" i="79"/>
  <c r="R32" i="79"/>
  <c r="R27" i="79"/>
  <c r="R98" i="79"/>
  <c r="R91" i="79"/>
  <c r="R78" i="79"/>
  <c r="R63" i="79"/>
  <c r="R46" i="79"/>
  <c r="R43" i="79"/>
  <c r="R38" i="79"/>
  <c r="R26" i="79"/>
  <c r="R18" i="79"/>
  <c r="R86" i="79"/>
  <c r="R81" i="79"/>
  <c r="R77" i="79"/>
  <c r="R70" i="79"/>
  <c r="R57" i="79"/>
  <c r="R54" i="79"/>
  <c r="R49" i="79"/>
  <c r="R37" i="79"/>
  <c r="R25" i="79"/>
  <c r="R22" i="79"/>
  <c r="R17" i="79"/>
  <c r="R76" i="79"/>
  <c r="R60" i="79"/>
  <c r="R48" i="79"/>
  <c r="R45" i="79"/>
  <c r="R36" i="79"/>
  <c r="R24" i="79"/>
  <c r="X12" i="79"/>
  <c r="R83" i="79"/>
  <c r="R80" i="79"/>
  <c r="R75" i="79"/>
  <c r="R67" i="79"/>
  <c r="R59" i="79"/>
  <c r="R56" i="79"/>
  <c r="R51" i="79"/>
  <c r="R35" i="79"/>
  <c r="R31" i="79"/>
  <c r="R16" i="79"/>
  <c r="R95" i="79"/>
  <c r="R89" i="79"/>
  <c r="R74" i="79"/>
  <c r="R66" i="79"/>
  <c r="R62" i="79"/>
  <c r="R47" i="79"/>
  <c r="R42" i="79"/>
  <c r="R34" i="79"/>
  <c r="R30" i="79"/>
  <c r="R23" i="79"/>
  <c r="R58" i="79"/>
  <c r="R73" i="79"/>
  <c r="R69" i="79"/>
  <c r="R65" i="79"/>
  <c r="R53" i="79"/>
  <c r="R41" i="79"/>
  <c r="R20" i="79"/>
  <c r="R85" i="79"/>
  <c r="R50" i="79"/>
  <c r="R29" i="79"/>
  <c r="R82" i="79"/>
  <c r="R33" i="79"/>
  <c r="R39" i="75"/>
  <c r="R27" i="75"/>
  <c r="R19" i="75"/>
  <c r="R38" i="75"/>
  <c r="R34" i="75"/>
  <c r="R44" i="75"/>
  <c r="R36" i="75"/>
  <c r="R32" i="75"/>
  <c r="R23" i="75"/>
  <c r="R43" i="75"/>
  <c r="R31" i="75"/>
  <c r="P23" i="75"/>
  <c r="R42" i="75"/>
  <c r="R35" i="75"/>
  <c r="R30" i="75"/>
  <c r="R41" i="75"/>
  <c r="R37" i="75"/>
  <c r="X12" i="75"/>
  <c r="Z12" i="75" s="1"/>
  <c r="R25" i="75"/>
  <c r="R18" i="75"/>
  <c r="R33" i="75"/>
  <c r="R26" i="75"/>
  <c r="R51" i="75"/>
  <c r="R47" i="75"/>
  <c r="R45" i="75"/>
  <c r="R40" i="75"/>
  <c r="R29" i="75"/>
  <c r="R28" i="75"/>
  <c r="R21" i="75"/>
  <c r="R20" i="75"/>
  <c r="L19" i="74"/>
  <c r="D70" i="74"/>
  <c r="R74" i="73"/>
  <c r="R77" i="73"/>
  <c r="R73" i="73"/>
  <c r="R62" i="73"/>
  <c r="R53" i="73"/>
  <c r="R50" i="73"/>
  <c r="R45" i="73"/>
  <c r="R37" i="73"/>
  <c r="R33" i="73"/>
  <c r="R69" i="73"/>
  <c r="R65" i="73"/>
  <c r="R44" i="73"/>
  <c r="R36" i="73"/>
  <c r="R32" i="73"/>
  <c r="R25" i="73"/>
  <c r="R17" i="73"/>
  <c r="R81" i="73"/>
  <c r="R58" i="73"/>
  <c r="R42" i="73"/>
  <c r="R35" i="73"/>
  <c r="R30" i="73"/>
  <c r="P22" i="73"/>
  <c r="R22" i="73" s="1"/>
  <c r="R68" i="73"/>
  <c r="R64" i="73"/>
  <c r="R60" i="73"/>
  <c r="R40" i="73"/>
  <c r="R28" i="73"/>
  <c r="R20" i="73"/>
  <c r="R71" i="73"/>
  <c r="R67" i="73"/>
  <c r="R63" i="73"/>
  <c r="R56" i="73"/>
  <c r="R51" i="73"/>
  <c r="R48" i="73"/>
  <c r="R39" i="73"/>
  <c r="R27" i="73"/>
  <c r="R24" i="73"/>
  <c r="R19" i="73"/>
  <c r="R70" i="73"/>
  <c r="R49" i="73"/>
  <c r="R46" i="73"/>
  <c r="R34" i="73"/>
  <c r="R29" i="73"/>
  <c r="R66" i="73"/>
  <c r="R61" i="73"/>
  <c r="R47" i="73"/>
  <c r="X12" i="73"/>
  <c r="Z12" i="73" s="1"/>
  <c r="R72" i="73"/>
  <c r="R26" i="73"/>
  <c r="R52" i="73"/>
  <c r="R41" i="73"/>
  <c r="R18" i="73"/>
  <c r="R57" i="73"/>
  <c r="R54" i="73"/>
  <c r="R31" i="73"/>
  <c r="R59" i="73"/>
  <c r="R38" i="73"/>
  <c r="R55" i="73"/>
  <c r="R43" i="73"/>
  <c r="R75" i="73"/>
  <c r="F107" i="71"/>
  <c r="F105" i="71"/>
  <c r="F96" i="71"/>
  <c r="F84" i="71"/>
  <c r="F79" i="71"/>
  <c r="F76" i="71"/>
  <c r="F72" i="71"/>
  <c r="F60" i="71"/>
  <c r="F44" i="71"/>
  <c r="F36" i="71"/>
  <c r="F103" i="71"/>
  <c r="F90" i="71"/>
  <c r="F87" i="71"/>
  <c r="F71" i="71"/>
  <c r="F59" i="71"/>
  <c r="F43" i="71"/>
  <c r="F35" i="71"/>
  <c r="F93" i="71"/>
  <c r="F81" i="71"/>
  <c r="F78" i="71"/>
  <c r="F70" i="71"/>
  <c r="F58" i="71"/>
  <c r="F53" i="71"/>
  <c r="F42" i="71"/>
  <c r="F34" i="71"/>
  <c r="L12" i="71"/>
  <c r="N12" i="71" s="1"/>
  <c r="F106" i="71"/>
  <c r="F100" i="71"/>
  <c r="F89" i="71"/>
  <c r="F69" i="71"/>
  <c r="F64" i="71"/>
  <c r="F57" i="71"/>
  <c r="F50" i="71"/>
  <c r="F41" i="71"/>
  <c r="F111" i="71"/>
  <c r="F95" i="71"/>
  <c r="F92" i="71"/>
  <c r="F83" i="71"/>
  <c r="F80" i="71"/>
  <c r="F75" i="71"/>
  <c r="F68" i="71"/>
  <c r="F56" i="71"/>
  <c r="D50" i="71"/>
  <c r="F48" i="71"/>
  <c r="F40" i="71"/>
  <c r="F102" i="71"/>
  <c r="F99" i="71"/>
  <c r="F91" i="71"/>
  <c r="F86" i="71"/>
  <c r="F67" i="71"/>
  <c r="F63" i="71"/>
  <c r="F55" i="71"/>
  <c r="F47" i="71"/>
  <c r="F39" i="71"/>
  <c r="F101" i="71"/>
  <c r="F97" i="71"/>
  <c r="F65" i="71"/>
  <c r="F98" i="71"/>
  <c r="F88" i="71"/>
  <c r="F73" i="71"/>
  <c r="F66" i="71"/>
  <c r="F62" i="71"/>
  <c r="F74" i="71"/>
  <c r="F94" i="71"/>
  <c r="F52" i="71"/>
  <c r="F85" i="71"/>
  <c r="F54" i="71"/>
  <c r="F82" i="71"/>
  <c r="F61" i="71"/>
  <c r="F46" i="71"/>
  <c r="F37" i="71"/>
  <c r="F33" i="71"/>
  <c r="F38" i="71"/>
  <c r="F77" i="71"/>
  <c r="F45" i="71"/>
  <c r="T160" i="69"/>
  <c r="P156" i="69"/>
  <c r="X80" i="69"/>
  <c r="Z80" i="69" s="1"/>
  <c r="F150" i="69"/>
  <c r="J23" i="67"/>
  <c r="H74" i="67"/>
  <c r="D71" i="59"/>
  <c r="L16" i="59"/>
  <c r="P59" i="60"/>
  <c r="X16" i="60"/>
  <c r="Z17" i="56"/>
  <c r="T80" i="56"/>
  <c r="H81" i="58"/>
  <c r="N77" i="58"/>
  <c r="F122" i="66"/>
  <c r="F117" i="66"/>
  <c r="F115" i="66"/>
  <c r="F116" i="66"/>
  <c r="F106" i="66"/>
  <c r="F102" i="66"/>
  <c r="F98" i="66"/>
  <c r="F82" i="66"/>
  <c r="F74" i="66"/>
  <c r="F62" i="66"/>
  <c r="F57" i="66"/>
  <c r="F46" i="66"/>
  <c r="F38" i="66"/>
  <c r="F118" i="66"/>
  <c r="F109" i="66"/>
  <c r="F105" i="66"/>
  <c r="F101" i="66"/>
  <c r="F97" i="66"/>
  <c r="F88" i="66"/>
  <c r="F85" i="66"/>
  <c r="F73" i="66"/>
  <c r="F68" i="66"/>
  <c r="F61" i="66"/>
  <c r="F54" i="66"/>
  <c r="F45" i="66"/>
  <c r="F37" i="66"/>
  <c r="F108" i="66"/>
  <c r="F104" i="66"/>
  <c r="F91" i="66"/>
  <c r="F79" i="66"/>
  <c r="F72" i="66"/>
  <c r="F60" i="66"/>
  <c r="D54" i="66"/>
  <c r="F52" i="66"/>
  <c r="F44" i="66"/>
  <c r="F113" i="66"/>
  <c r="F94" i="66"/>
  <c r="F87" i="66"/>
  <c r="F71" i="66"/>
  <c r="F67" i="66"/>
  <c r="F59" i="66"/>
  <c r="F51" i="66"/>
  <c r="F43" i="66"/>
  <c r="F90" i="66"/>
  <c r="F81" i="66"/>
  <c r="F78" i="66"/>
  <c r="F70" i="66"/>
  <c r="F66" i="66"/>
  <c r="F58" i="66"/>
  <c r="F50" i="66"/>
  <c r="F42" i="66"/>
  <c r="F107" i="66"/>
  <c r="F103" i="66"/>
  <c r="F92" i="66"/>
  <c r="F80" i="66"/>
  <c r="F76" i="66"/>
  <c r="F64" i="66"/>
  <c r="F48" i="66"/>
  <c r="F40" i="66"/>
  <c r="L12" i="66"/>
  <c r="N12" i="66" s="1"/>
  <c r="F96" i="66"/>
  <c r="F89" i="66"/>
  <c r="F77" i="66"/>
  <c r="F69" i="66"/>
  <c r="F56" i="66"/>
  <c r="F111" i="66"/>
  <c r="F65" i="66"/>
  <c r="F41" i="66"/>
  <c r="F110" i="66"/>
  <c r="F36" i="66"/>
  <c r="F112" i="66"/>
  <c r="F47" i="66"/>
  <c r="F99" i="66"/>
  <c r="F84" i="66"/>
  <c r="F83" i="66"/>
  <c r="F93" i="66"/>
  <c r="F86" i="66"/>
  <c r="F95" i="66"/>
  <c r="F49" i="66"/>
  <c r="F63" i="66"/>
  <c r="F100" i="66"/>
  <c r="F39" i="66"/>
  <c r="F75" i="66"/>
  <c r="T22" i="54"/>
  <c r="Z16" i="54"/>
  <c r="T27" i="46"/>
  <c r="X27" i="46" s="1"/>
  <c r="Z18" i="46"/>
  <c r="L18" i="47"/>
  <c r="D27" i="47"/>
  <c r="D41" i="55"/>
  <c r="Z27" i="53"/>
  <c r="P27" i="53"/>
  <c r="X18" i="53"/>
  <c r="P31" i="47"/>
  <c r="Z18" i="38"/>
  <c r="T27" i="38"/>
  <c r="F86" i="33"/>
  <c r="F84" i="33"/>
  <c r="F75" i="33"/>
  <c r="F62" i="33"/>
  <c r="F59" i="33"/>
  <c r="F54" i="33"/>
  <c r="F47" i="33"/>
  <c r="F35" i="33"/>
  <c r="F27" i="33"/>
  <c r="F82" i="33"/>
  <c r="F74" i="33"/>
  <c r="F69" i="33"/>
  <c r="F65" i="33"/>
  <c r="F46" i="33"/>
  <c r="F42" i="33"/>
  <c r="F34" i="33"/>
  <c r="F61" i="33"/>
  <c r="F56" i="33"/>
  <c r="F53" i="33"/>
  <c r="F45" i="33"/>
  <c r="F41" i="33"/>
  <c r="F32" i="33"/>
  <c r="F90" i="33"/>
  <c r="F85" i="33"/>
  <c r="F79" i="33"/>
  <c r="F71" i="33"/>
  <c r="F68" i="33"/>
  <c r="F64" i="33"/>
  <c r="F52" i="33"/>
  <c r="F44" i="33"/>
  <c r="F40" i="33"/>
  <c r="F77" i="33"/>
  <c r="F60" i="33"/>
  <c r="F57" i="33"/>
  <c r="F78" i="33"/>
  <c r="F73" i="33"/>
  <c r="F58" i="33"/>
  <c r="F49" i="33"/>
  <c r="F39" i="33"/>
  <c r="F26" i="33"/>
  <c r="F66" i="33"/>
  <c r="F50" i="33"/>
  <c r="F33" i="33"/>
  <c r="F28" i="33"/>
  <c r="F76" i="33"/>
  <c r="F67" i="33"/>
  <c r="F51" i="33"/>
  <c r="F30" i="33"/>
  <c r="F80" i="33"/>
  <c r="F36" i="33"/>
  <c r="D30" i="33"/>
  <c r="F70" i="33"/>
  <c r="F55" i="33"/>
  <c r="F43" i="33"/>
  <c r="F81" i="33"/>
  <c r="F37" i="33"/>
  <c r="F63" i="33"/>
  <c r="L12" i="33"/>
  <c r="N12" i="33" s="1"/>
  <c r="F72" i="33"/>
  <c r="F48" i="33"/>
  <c r="F38" i="33"/>
  <c r="F120" i="36"/>
  <c r="F116" i="36"/>
  <c r="F104" i="36"/>
  <c r="F95" i="36"/>
  <c r="F79" i="36"/>
  <c r="F76" i="36"/>
  <c r="F71" i="36"/>
  <c r="F68" i="36"/>
  <c r="F63" i="36"/>
  <c r="F59" i="36"/>
  <c r="F56" i="36"/>
  <c r="F48" i="36"/>
  <c r="F36" i="36"/>
  <c r="F31" i="36"/>
  <c r="F23" i="36"/>
  <c r="F126" i="36"/>
  <c r="F110" i="36"/>
  <c r="F103" i="36"/>
  <c r="F98" i="36"/>
  <c r="F86" i="36"/>
  <c r="F47" i="36"/>
  <c r="F42" i="36"/>
  <c r="F35" i="36"/>
  <c r="F123" i="36"/>
  <c r="F113" i="36"/>
  <c r="F102" i="36"/>
  <c r="F94" i="36"/>
  <c r="F89" i="36"/>
  <c r="F81" i="36"/>
  <c r="F78" i="36"/>
  <c r="F73" i="36"/>
  <c r="F70" i="36"/>
  <c r="F65" i="36"/>
  <c r="F62" i="36"/>
  <c r="F58" i="36"/>
  <c r="F53" i="36"/>
  <c r="F46" i="36"/>
  <c r="F34" i="36"/>
  <c r="D28" i="36"/>
  <c r="F26" i="36"/>
  <c r="F109" i="36"/>
  <c r="F101" i="36"/>
  <c r="F97" i="36"/>
  <c r="F93" i="36"/>
  <c r="F85" i="36"/>
  <c r="F61" i="36"/>
  <c r="F45" i="36"/>
  <c r="F41" i="36"/>
  <c r="F33" i="36"/>
  <c r="F25" i="36"/>
  <c r="F118" i="36"/>
  <c r="F114" i="36"/>
  <c r="F106" i="36"/>
  <c r="F90" i="36"/>
  <c r="F82" i="36"/>
  <c r="F77" i="36"/>
  <c r="F74" i="36"/>
  <c r="F69" i="36"/>
  <c r="F66" i="36"/>
  <c r="F57" i="36"/>
  <c r="F54" i="36"/>
  <c r="F50" i="36"/>
  <c r="F38" i="36"/>
  <c r="L12" i="36"/>
  <c r="N12" i="36" s="1"/>
  <c r="F122" i="36"/>
  <c r="F111" i="36"/>
  <c r="F96" i="36"/>
  <c r="F80" i="36"/>
  <c r="F55" i="36"/>
  <c r="F49" i="36"/>
  <c r="F44" i="36"/>
  <c r="F37" i="36"/>
  <c r="F130" i="36"/>
  <c r="F124" i="36"/>
  <c r="F117" i="36"/>
  <c r="F92" i="36"/>
  <c r="F87" i="36"/>
  <c r="F67" i="36"/>
  <c r="F125" i="36"/>
  <c r="F112" i="36"/>
  <c r="F88" i="36"/>
  <c r="F75" i="36"/>
  <c r="F99" i="36"/>
  <c r="F39" i="36"/>
  <c r="F119" i="36"/>
  <c r="F83" i="36"/>
  <c r="F51" i="36"/>
  <c r="F107" i="36"/>
  <c r="F100" i="36"/>
  <c r="F64" i="36"/>
  <c r="F52" i="36"/>
  <c r="F40" i="36"/>
  <c r="F115" i="36"/>
  <c r="F108" i="36"/>
  <c r="F84" i="36"/>
  <c r="F72" i="36"/>
  <c r="F60" i="36"/>
  <c r="F43" i="36"/>
  <c r="F105" i="36"/>
  <c r="F91" i="36"/>
  <c r="F32" i="36"/>
  <c r="F30" i="36"/>
  <c r="F24" i="36"/>
  <c r="X18" i="35"/>
  <c r="P27" i="35"/>
  <c r="T27" i="47"/>
  <c r="X27" i="47" s="1"/>
  <c r="Z18" i="47"/>
  <c r="L27" i="34"/>
  <c r="D31" i="34"/>
  <c r="D36" i="41"/>
  <c r="T88" i="33"/>
  <c r="Z30" i="33"/>
  <c r="H27" i="31"/>
  <c r="N18" i="31"/>
  <c r="H27" i="23"/>
  <c r="N18" i="23"/>
  <c r="F171" i="30"/>
  <c r="F169" i="30"/>
  <c r="F164" i="30"/>
  <c r="F152" i="30"/>
  <c r="F148" i="30"/>
  <c r="F144" i="30"/>
  <c r="F140" i="30"/>
  <c r="F136" i="30"/>
  <c r="F127" i="30"/>
  <c r="F124" i="30"/>
  <c r="F120" i="30"/>
  <c r="F115" i="30"/>
  <c r="F100" i="30"/>
  <c r="F95" i="30"/>
  <c r="F88" i="30"/>
  <c r="D82" i="30"/>
  <c r="F82" i="30" s="1"/>
  <c r="F80" i="30"/>
  <c r="F72" i="30"/>
  <c r="F64" i="30"/>
  <c r="F56" i="30"/>
  <c r="F167" i="30"/>
  <c r="F158" i="30"/>
  <c r="F151" i="30"/>
  <c r="F147" i="30"/>
  <c r="F143" i="30"/>
  <c r="F139" i="30"/>
  <c r="F135" i="30"/>
  <c r="F130" i="30"/>
  <c r="F123" i="30"/>
  <c r="F111" i="30"/>
  <c r="F106" i="30"/>
  <c r="F99" i="30"/>
  <c r="F87" i="30"/>
  <c r="F79" i="30"/>
  <c r="F173" i="30"/>
  <c r="F161" i="30"/>
  <c r="F150" i="30"/>
  <c r="F126" i="30"/>
  <c r="F117" i="30"/>
  <c r="F114" i="30"/>
  <c r="F98" i="30"/>
  <c r="F94" i="30"/>
  <c r="F86" i="30"/>
  <c r="F170" i="30"/>
  <c r="F157" i="30"/>
  <c r="F132" i="30"/>
  <c r="F129" i="30"/>
  <c r="F113" i="30"/>
  <c r="F108" i="30"/>
  <c r="F105" i="30"/>
  <c r="F97" i="30"/>
  <c r="F93" i="30"/>
  <c r="F84" i="30"/>
  <c r="F163" i="30"/>
  <c r="F160" i="30"/>
  <c r="F156" i="30"/>
  <c r="F128" i="30"/>
  <c r="F119" i="30"/>
  <c r="F116" i="30"/>
  <c r="F104" i="30"/>
  <c r="F96" i="30"/>
  <c r="F92" i="30"/>
  <c r="F76" i="30"/>
  <c r="F68" i="30"/>
  <c r="F60" i="30"/>
  <c r="F177" i="30"/>
  <c r="F172" i="30"/>
  <c r="F166" i="30"/>
  <c r="F159" i="30"/>
  <c r="F155" i="30"/>
  <c r="F146" i="30"/>
  <c r="F142" i="30"/>
  <c r="F138" i="30"/>
  <c r="F134" i="30"/>
  <c r="F131" i="30"/>
  <c r="F122" i="30"/>
  <c r="F110" i="30"/>
  <c r="F107" i="30"/>
  <c r="F103" i="30"/>
  <c r="F91" i="30"/>
  <c r="F162" i="30"/>
  <c r="F154" i="30"/>
  <c r="F149" i="30"/>
  <c r="F125" i="30"/>
  <c r="F118" i="30"/>
  <c r="F102" i="30"/>
  <c r="F165" i="30"/>
  <c r="F153" i="30"/>
  <c r="F145" i="30"/>
  <c r="F141" i="30"/>
  <c r="F137" i="30"/>
  <c r="F133" i="30"/>
  <c r="F121" i="30"/>
  <c r="F112" i="30"/>
  <c r="F109" i="30"/>
  <c r="F101" i="30"/>
  <c r="F89" i="30"/>
  <c r="L12" i="30"/>
  <c r="N12" i="30" s="1"/>
  <c r="F75" i="30"/>
  <c r="F71" i="30"/>
  <c r="F67" i="30"/>
  <c r="F63" i="30"/>
  <c r="F59" i="30"/>
  <c r="F55" i="30"/>
  <c r="F85" i="30"/>
  <c r="F74" i="30"/>
  <c r="F70" i="30"/>
  <c r="F66" i="30"/>
  <c r="F62" i="30"/>
  <c r="F58" i="30"/>
  <c r="F54" i="30"/>
  <c r="F90" i="30"/>
  <c r="F78" i="30"/>
  <c r="F77" i="30"/>
  <c r="F73" i="30"/>
  <c r="F69" i="30"/>
  <c r="F65" i="30"/>
  <c r="F61" i="30"/>
  <c r="F57" i="30"/>
  <c r="F53" i="30"/>
  <c r="H31" i="28"/>
  <c r="N27" i="28"/>
  <c r="H134" i="39"/>
  <c r="J130" i="39"/>
  <c r="T121" i="27"/>
  <c r="T245" i="12"/>
  <c r="Z134" i="12"/>
  <c r="X18" i="7"/>
  <c r="P27" i="7"/>
  <c r="T27" i="10"/>
  <c r="Z18" i="10"/>
  <c r="X27" i="5"/>
  <c r="P31" i="5"/>
  <c r="D31" i="13"/>
  <c r="L17" i="9"/>
  <c r="D104" i="9"/>
  <c r="H36" i="5"/>
  <c r="N36" i="5" s="1"/>
  <c r="N31" i="5"/>
  <c r="Z18" i="4"/>
  <c r="T27" i="4"/>
  <c r="P36" i="4"/>
  <c r="P27" i="99"/>
  <c r="X18" i="99"/>
  <c r="H27" i="100"/>
  <c r="N18" i="100"/>
  <c r="P40" i="90"/>
  <c r="X17" i="90"/>
  <c r="L23" i="94"/>
  <c r="D98" i="94"/>
  <c r="R88" i="86"/>
  <c r="R83" i="86"/>
  <c r="R76" i="86"/>
  <c r="R68" i="86"/>
  <c r="R64" i="86"/>
  <c r="R48" i="86"/>
  <c r="R45" i="86"/>
  <c r="R36" i="86"/>
  <c r="R93" i="86"/>
  <c r="R86" i="86"/>
  <c r="R79" i="86"/>
  <c r="R75" i="86"/>
  <c r="R67" i="86"/>
  <c r="R60" i="86"/>
  <c r="R56" i="86"/>
  <c r="R51" i="86"/>
  <c r="R84" i="86"/>
  <c r="R77" i="86"/>
  <c r="R72" i="86"/>
  <c r="R44" i="86"/>
  <c r="R40" i="86"/>
  <c r="R90" i="86"/>
  <c r="R80" i="86"/>
  <c r="R71" i="86"/>
  <c r="R59" i="86"/>
  <c r="R55" i="86"/>
  <c r="R52" i="86"/>
  <c r="R39" i="86"/>
  <c r="R58" i="86"/>
  <c r="R57" i="86"/>
  <c r="R33" i="86"/>
  <c r="R29" i="86"/>
  <c r="R20" i="86"/>
  <c r="R65" i="86"/>
  <c r="R63" i="86"/>
  <c r="R62" i="86"/>
  <c r="R61" i="86"/>
  <c r="R53" i="86"/>
  <c r="R28" i="86"/>
  <c r="P20" i="86"/>
  <c r="R78" i="86"/>
  <c r="R70" i="86"/>
  <c r="R69" i="86"/>
  <c r="R49" i="86"/>
  <c r="R47" i="86"/>
  <c r="R46" i="86"/>
  <c r="R43" i="86"/>
  <c r="R42" i="86"/>
  <c r="R41" i="86"/>
  <c r="R32" i="86"/>
  <c r="R27" i="86"/>
  <c r="R26" i="86"/>
  <c r="R18" i="86"/>
  <c r="R81" i="86"/>
  <c r="R25" i="86"/>
  <c r="R22" i="86"/>
  <c r="R17" i="86"/>
  <c r="R24" i="86"/>
  <c r="R16" i="86"/>
  <c r="R73" i="86"/>
  <c r="R66" i="86"/>
  <c r="R74" i="86"/>
  <c r="R37" i="86"/>
  <c r="R30" i="86"/>
  <c r="X12" i="86"/>
  <c r="R54" i="86"/>
  <c r="R38" i="86"/>
  <c r="R31" i="86"/>
  <c r="R50" i="86"/>
  <c r="R34" i="86"/>
  <c r="R23" i="86"/>
  <c r="R35" i="86"/>
  <c r="T86" i="86"/>
  <c r="Z20" i="86"/>
  <c r="J21" i="78"/>
  <c r="D89" i="81"/>
  <c r="L16" i="81"/>
  <c r="T83" i="82"/>
  <c r="X19" i="83"/>
  <c r="P80" i="83"/>
  <c r="N18" i="72"/>
  <c r="H32" i="72"/>
  <c r="T89" i="70"/>
  <c r="X19" i="65"/>
  <c r="Z19" i="65" s="1"/>
  <c r="P112" i="62"/>
  <c r="H60" i="61"/>
  <c r="N16" i="61"/>
  <c r="H27" i="50"/>
  <c r="N18" i="50"/>
  <c r="J104" i="64"/>
  <c r="H108" i="64"/>
  <c r="D22" i="54"/>
  <c r="L16" i="54"/>
  <c r="D80" i="56"/>
  <c r="L17" i="56"/>
  <c r="D27" i="46"/>
  <c r="L18" i="46"/>
  <c r="H27" i="41"/>
  <c r="N18" i="41"/>
  <c r="T81" i="58"/>
  <c r="T113" i="51"/>
  <c r="P27" i="43"/>
  <c r="X18" i="43"/>
  <c r="P31" i="46"/>
  <c r="H27" i="43"/>
  <c r="N18" i="43"/>
  <c r="X18" i="47"/>
  <c r="D31" i="40"/>
  <c r="L18" i="44"/>
  <c r="D27" i="44"/>
  <c r="P31" i="54"/>
  <c r="T27" i="31"/>
  <c r="Z18" i="31"/>
  <c r="X18" i="32"/>
  <c r="P27" i="32"/>
  <c r="Z27" i="35"/>
  <c r="T31" i="35"/>
  <c r="H27" i="26"/>
  <c r="N18" i="26"/>
  <c r="H108" i="24"/>
  <c r="T27" i="20"/>
  <c r="Z18" i="20"/>
  <c r="P130" i="39"/>
  <c r="X32" i="39"/>
  <c r="Z32" i="39" s="1"/>
  <c r="L18" i="25"/>
  <c r="L18" i="23"/>
  <c r="T27" i="16"/>
  <c r="Z18" i="16"/>
  <c r="T27" i="14"/>
  <c r="Z18" i="14"/>
  <c r="T36" i="22"/>
  <c r="Z36" i="22" s="1"/>
  <c r="Z31" i="22"/>
  <c r="R258" i="18"/>
  <c r="R253" i="18"/>
  <c r="R263" i="18"/>
  <c r="R255" i="18"/>
  <c r="R249" i="18"/>
  <c r="R245" i="18"/>
  <c r="R254" i="18"/>
  <c r="R259" i="18"/>
  <c r="R256" i="18"/>
  <c r="R244" i="18"/>
  <c r="R233" i="18"/>
  <c r="R229" i="18"/>
  <c r="R225" i="18"/>
  <c r="R221" i="18"/>
  <c r="R217" i="18"/>
  <c r="R206" i="18"/>
  <c r="R190" i="18"/>
  <c r="R181" i="18"/>
  <c r="R173" i="18"/>
  <c r="R166" i="18"/>
  <c r="R161" i="18"/>
  <c r="R152" i="18"/>
  <c r="R145" i="18"/>
  <c r="R137" i="18"/>
  <c r="R129" i="18"/>
  <c r="R121" i="18"/>
  <c r="R113" i="18"/>
  <c r="R105" i="18"/>
  <c r="R97" i="18"/>
  <c r="R251" i="18"/>
  <c r="R240" i="18"/>
  <c r="R232" i="18"/>
  <c r="R224" i="18"/>
  <c r="R220" i="18"/>
  <c r="R216" i="18"/>
  <c r="R212" i="18"/>
  <c r="R209" i="18"/>
  <c r="R196" i="18"/>
  <c r="R193" i="18"/>
  <c r="R180" i="18"/>
  <c r="R177" i="18"/>
  <c r="R172" i="18"/>
  <c r="R160" i="18"/>
  <c r="P152" i="18"/>
  <c r="R144" i="18"/>
  <c r="R136" i="18"/>
  <c r="R128" i="18"/>
  <c r="R120" i="18"/>
  <c r="R112" i="18"/>
  <c r="R104" i="18"/>
  <c r="R96" i="18"/>
  <c r="R239" i="18"/>
  <c r="R228" i="18"/>
  <c r="R219" i="18"/>
  <c r="R215" i="18"/>
  <c r="R203" i="18"/>
  <c r="R199" i="18"/>
  <c r="R183" i="18"/>
  <c r="R171" i="18"/>
  <c r="R159" i="18"/>
  <c r="R143" i="18"/>
  <c r="R135" i="18"/>
  <c r="R127" i="18"/>
  <c r="R119" i="18"/>
  <c r="R111" i="18"/>
  <c r="R103" i="18"/>
  <c r="R246" i="18"/>
  <c r="R243" i="18"/>
  <c r="R238" i="18"/>
  <c r="R231" i="18"/>
  <c r="R223" i="18"/>
  <c r="R214" i="18"/>
  <c r="R211" i="18"/>
  <c r="R202" i="18"/>
  <c r="R198" i="18"/>
  <c r="R195" i="18"/>
  <c r="R186" i="18"/>
  <c r="R179" i="18"/>
  <c r="R170" i="18"/>
  <c r="R158" i="18"/>
  <c r="R150" i="18"/>
  <c r="R142" i="18"/>
  <c r="R134" i="18"/>
  <c r="R126" i="18"/>
  <c r="R118" i="18"/>
  <c r="R110" i="18"/>
  <c r="R102" i="18"/>
  <c r="R95" i="18"/>
  <c r="X12" i="18"/>
  <c r="Z12" i="18" s="1"/>
  <c r="R257" i="18"/>
  <c r="R248" i="18"/>
  <c r="R247" i="18"/>
  <c r="R242" i="18"/>
  <c r="R237" i="18"/>
  <c r="R218" i="18"/>
  <c r="R205" i="18"/>
  <c r="R201" i="18"/>
  <c r="R189" i="18"/>
  <c r="R185" i="18"/>
  <c r="R182" i="18"/>
  <c r="R169" i="18"/>
  <c r="R165" i="18"/>
  <c r="R157" i="18"/>
  <c r="R154" i="18"/>
  <c r="R149" i="18"/>
  <c r="R141" i="18"/>
  <c r="R133" i="18"/>
  <c r="R125" i="18"/>
  <c r="R117" i="18"/>
  <c r="R109" i="18"/>
  <c r="R101" i="18"/>
  <c r="R241" i="18"/>
  <c r="R236" i="18"/>
  <c r="R213" i="18"/>
  <c r="R208" i="18"/>
  <c r="R197" i="18"/>
  <c r="R192" i="18"/>
  <c r="R188" i="18"/>
  <c r="R176" i="18"/>
  <c r="R168" i="18"/>
  <c r="R164" i="18"/>
  <c r="R156" i="18"/>
  <c r="R148" i="18"/>
  <c r="R140" i="18"/>
  <c r="R132" i="18"/>
  <c r="R124" i="18"/>
  <c r="R116" i="18"/>
  <c r="R108" i="18"/>
  <c r="R100" i="18"/>
  <c r="R235" i="18"/>
  <c r="R227" i="18"/>
  <c r="R207" i="18"/>
  <c r="R204" i="18"/>
  <c r="R200" i="18"/>
  <c r="R191" i="18"/>
  <c r="R184" i="18"/>
  <c r="R175" i="18"/>
  <c r="R167" i="18"/>
  <c r="R163" i="18"/>
  <c r="R147" i="18"/>
  <c r="R139" i="18"/>
  <c r="R131" i="18"/>
  <c r="R123" i="18"/>
  <c r="R115" i="18"/>
  <c r="R107" i="18"/>
  <c r="R99" i="18"/>
  <c r="R250" i="18"/>
  <c r="R234" i="18"/>
  <c r="R230" i="18"/>
  <c r="R226" i="18"/>
  <c r="R222" i="18"/>
  <c r="R210" i="18"/>
  <c r="R194" i="18"/>
  <c r="R187" i="18"/>
  <c r="R178" i="18"/>
  <c r="R174" i="18"/>
  <c r="R162" i="18"/>
  <c r="R155" i="18"/>
  <c r="R146" i="18"/>
  <c r="R138" i="18"/>
  <c r="R130" i="18"/>
  <c r="R122" i="18"/>
  <c r="R114" i="18"/>
  <c r="R106" i="18"/>
  <c r="R98" i="18"/>
  <c r="N18" i="14"/>
  <c r="H27" i="14"/>
  <c r="D27" i="10"/>
  <c r="L18" i="10"/>
  <c r="P108" i="9"/>
  <c r="X104" i="9"/>
  <c r="Z104" i="9" s="1"/>
  <c r="P22" i="6"/>
  <c r="X16" i="6"/>
  <c r="H281" i="3"/>
  <c r="L27" i="7"/>
  <c r="D31" i="7"/>
  <c r="T28" i="96"/>
  <c r="Z24" i="96"/>
  <c r="N16" i="96"/>
  <c r="H24" i="96"/>
  <c r="T24" i="93"/>
  <c r="Z16" i="93"/>
  <c r="F98" i="92"/>
  <c r="F91" i="92"/>
  <c r="F76" i="92"/>
  <c r="F72" i="92"/>
  <c r="F68" i="92"/>
  <c r="F44" i="92"/>
  <c r="F32" i="92"/>
  <c r="F86" i="92"/>
  <c r="F83" i="92"/>
  <c r="F71" i="92"/>
  <c r="F67" i="92"/>
  <c r="F62" i="92"/>
  <c r="F59" i="92"/>
  <c r="F54" i="92"/>
  <c r="F51" i="92"/>
  <c r="F43" i="92"/>
  <c r="F31" i="92"/>
  <c r="F26" i="92"/>
  <c r="F18" i="92"/>
  <c r="F82" i="92"/>
  <c r="F42" i="92"/>
  <c r="F37" i="92"/>
  <c r="F30" i="92"/>
  <c r="F23" i="92"/>
  <c r="F80" i="92"/>
  <c r="F75" i="92"/>
  <c r="F40" i="92"/>
  <c r="F36" i="92"/>
  <c r="F28" i="92"/>
  <c r="F20" i="92"/>
  <c r="L12" i="92"/>
  <c r="F93" i="92"/>
  <c r="F87" i="92"/>
  <c r="F79" i="92"/>
  <c r="F70" i="92"/>
  <c r="F66" i="92"/>
  <c r="F63" i="92"/>
  <c r="F58" i="92"/>
  <c r="F55" i="92"/>
  <c r="F50" i="92"/>
  <c r="F47" i="92"/>
  <c r="F39" i="92"/>
  <c r="F35" i="92"/>
  <c r="F27" i="92"/>
  <c r="F19" i="92"/>
  <c r="F65" i="92"/>
  <c r="F53" i="92"/>
  <c r="F52" i="92"/>
  <c r="F46" i="92"/>
  <c r="F45" i="92"/>
  <c r="D23" i="92"/>
  <c r="F89" i="92"/>
  <c r="F56" i="92"/>
  <c r="F34" i="92"/>
  <c r="F33" i="92"/>
  <c r="F77" i="92"/>
  <c r="F48" i="92"/>
  <c r="F85" i="92"/>
  <c r="F84" i="92"/>
  <c r="F73" i="92"/>
  <c r="F61" i="92"/>
  <c r="F60" i="92"/>
  <c r="F49" i="92"/>
  <c r="F69" i="92"/>
  <c r="F38" i="92"/>
  <c r="F25" i="92"/>
  <c r="F29" i="92"/>
  <c r="F74" i="92"/>
  <c r="F21" i="92"/>
  <c r="F95" i="92"/>
  <c r="F57" i="92"/>
  <c r="F78" i="92"/>
  <c r="F81" i="92"/>
  <c r="F64" i="92"/>
  <c r="F41" i="92"/>
  <c r="T102" i="94"/>
  <c r="H40" i="90"/>
  <c r="L40" i="90" s="1"/>
  <c r="N17" i="90"/>
  <c r="L17" i="90"/>
  <c r="H37" i="89"/>
  <c r="D34" i="89"/>
  <c r="L30" i="89"/>
  <c r="N30" i="89" s="1"/>
  <c r="D44" i="90"/>
  <c r="D90" i="86"/>
  <c r="L86" i="86"/>
  <c r="N86" i="86" s="1"/>
  <c r="D28" i="87"/>
  <c r="L18" i="87"/>
  <c r="Z21" i="84"/>
  <c r="T79" i="84"/>
  <c r="T58" i="91"/>
  <c r="Z16" i="91"/>
  <c r="T65" i="88"/>
  <c r="T130" i="77"/>
  <c r="Z52" i="77"/>
  <c r="V52" i="77"/>
  <c r="R52" i="77"/>
  <c r="F81" i="73"/>
  <c r="F75" i="73"/>
  <c r="F72" i="73"/>
  <c r="F61" i="73"/>
  <c r="F57" i="73"/>
  <c r="F52" i="73"/>
  <c r="F49" i="73"/>
  <c r="F41" i="73"/>
  <c r="F29" i="73"/>
  <c r="F22" i="73"/>
  <c r="F68" i="73"/>
  <c r="F64" i="73"/>
  <c r="F60" i="73"/>
  <c r="F40" i="73"/>
  <c r="F35" i="73"/>
  <c r="F28" i="73"/>
  <c r="D22" i="73"/>
  <c r="F20" i="73"/>
  <c r="F77" i="73"/>
  <c r="F70" i="73"/>
  <c r="F66" i="73"/>
  <c r="F38" i="73"/>
  <c r="F34" i="73"/>
  <c r="F26" i="73"/>
  <c r="F18" i="73"/>
  <c r="L12" i="73"/>
  <c r="F59" i="73"/>
  <c r="F44" i="73"/>
  <c r="F36" i="73"/>
  <c r="F32" i="73"/>
  <c r="F62" i="73"/>
  <c r="F55" i="73"/>
  <c r="F50" i="73"/>
  <c r="F47" i="73"/>
  <c r="F43" i="73"/>
  <c r="F31" i="73"/>
  <c r="F53" i="73"/>
  <c r="F42" i="73"/>
  <c r="F37" i="73"/>
  <c r="F19" i="73"/>
  <c r="F58" i="73"/>
  <c r="F56" i="73"/>
  <c r="F54" i="73"/>
  <c r="F69" i="73"/>
  <c r="F39" i="73"/>
  <c r="F65" i="73"/>
  <c r="F33" i="73"/>
  <c r="F86" i="73"/>
  <c r="F79" i="73"/>
  <c r="F71" i="73"/>
  <c r="F51" i="73"/>
  <c r="F48" i="73"/>
  <c r="F46" i="73"/>
  <c r="F45" i="73"/>
  <c r="F83" i="73"/>
  <c r="F27" i="73"/>
  <c r="F17" i="73"/>
  <c r="F30" i="73"/>
  <c r="F74" i="73"/>
  <c r="F73" i="73"/>
  <c r="F63" i="73"/>
  <c r="F67" i="73"/>
  <c r="F25" i="73"/>
  <c r="F24" i="73"/>
  <c r="R80" i="69"/>
  <c r="D85" i="70"/>
  <c r="L28" i="70"/>
  <c r="N28" i="70" s="1"/>
  <c r="H120" i="66"/>
  <c r="J54" i="66"/>
  <c r="P71" i="65"/>
  <c r="X67" i="65"/>
  <c r="Z16" i="61"/>
  <c r="T60" i="61"/>
  <c r="H109" i="62"/>
  <c r="D74" i="57"/>
  <c r="L17" i="57"/>
  <c r="D74" i="67"/>
  <c r="L23" i="67"/>
  <c r="N23" i="67" s="1"/>
  <c r="R103" i="51"/>
  <c r="R100" i="51"/>
  <c r="R87" i="51"/>
  <c r="R71" i="51"/>
  <c r="R64" i="51"/>
  <c r="R59" i="51"/>
  <c r="R50" i="51"/>
  <c r="R43" i="51"/>
  <c r="R35" i="51"/>
  <c r="R106" i="51"/>
  <c r="R95" i="51"/>
  <c r="R83" i="51"/>
  <c r="R78" i="51"/>
  <c r="R75" i="51"/>
  <c r="R70" i="51"/>
  <c r="R58" i="51"/>
  <c r="P50" i="51"/>
  <c r="R42" i="51"/>
  <c r="R34" i="51"/>
  <c r="X12" i="51"/>
  <c r="Z12" i="51" s="1"/>
  <c r="R111" i="51"/>
  <c r="R102" i="51"/>
  <c r="R89" i="51"/>
  <c r="R86" i="51"/>
  <c r="R69" i="51"/>
  <c r="R57" i="51"/>
  <c r="R41" i="51"/>
  <c r="R92" i="51"/>
  <c r="R80" i="51"/>
  <c r="R77" i="51"/>
  <c r="R68" i="51"/>
  <c r="R56" i="51"/>
  <c r="R48" i="51"/>
  <c r="R40" i="51"/>
  <c r="R33" i="51"/>
  <c r="R99" i="51"/>
  <c r="R91" i="51"/>
  <c r="R88" i="51"/>
  <c r="R67" i="51"/>
  <c r="R63" i="51"/>
  <c r="R55" i="51"/>
  <c r="R52" i="51"/>
  <c r="R47" i="51"/>
  <c r="R39" i="51"/>
  <c r="R105" i="51"/>
  <c r="R98" i="51"/>
  <c r="R94" i="51"/>
  <c r="R82" i="51"/>
  <c r="R79" i="51"/>
  <c r="R74" i="51"/>
  <c r="R66" i="51"/>
  <c r="R62" i="51"/>
  <c r="R54" i="51"/>
  <c r="R46" i="51"/>
  <c r="R38" i="51"/>
  <c r="R107" i="51"/>
  <c r="R101" i="51"/>
  <c r="R97" i="51"/>
  <c r="R90" i="51"/>
  <c r="R85" i="51"/>
  <c r="R73" i="51"/>
  <c r="R65" i="51"/>
  <c r="R61" i="51"/>
  <c r="R45" i="51"/>
  <c r="R37" i="51"/>
  <c r="R76" i="51"/>
  <c r="R72" i="51"/>
  <c r="R96" i="51"/>
  <c r="R60" i="51"/>
  <c r="R53" i="51"/>
  <c r="R44" i="51"/>
  <c r="R93" i="51"/>
  <c r="R84" i="51"/>
  <c r="R36" i="51"/>
  <c r="R81" i="51"/>
  <c r="R102" i="64"/>
  <c r="R95" i="64"/>
  <c r="R87" i="64"/>
  <c r="R75" i="64"/>
  <c r="R98" i="64"/>
  <c r="R94" i="64"/>
  <c r="R90" i="64"/>
  <c r="R86" i="64"/>
  <c r="R83" i="64"/>
  <c r="R78" i="64"/>
  <c r="R62" i="64"/>
  <c r="R58" i="64"/>
  <c r="R42" i="64"/>
  <c r="R34" i="64"/>
  <c r="R26" i="64"/>
  <c r="X12" i="64"/>
  <c r="Z12" i="64" s="1"/>
  <c r="R97" i="64"/>
  <c r="R93" i="64"/>
  <c r="R89" i="64"/>
  <c r="R77" i="64"/>
  <c r="R74" i="64"/>
  <c r="R69" i="64"/>
  <c r="R61" i="64"/>
  <c r="R57" i="64"/>
  <c r="R50" i="64"/>
  <c r="R41" i="64"/>
  <c r="R33" i="64"/>
  <c r="R106" i="64"/>
  <c r="R100" i="64"/>
  <c r="R92" i="64"/>
  <c r="R85" i="64"/>
  <c r="R80" i="64"/>
  <c r="R68" i="64"/>
  <c r="R60" i="64"/>
  <c r="R56" i="64"/>
  <c r="R47" i="64"/>
  <c r="R40" i="64"/>
  <c r="R32" i="64"/>
  <c r="R25" i="64"/>
  <c r="R96" i="64"/>
  <c r="R88" i="64"/>
  <c r="R73" i="64"/>
  <c r="R70" i="64"/>
  <c r="R65" i="64"/>
  <c r="R53" i="64"/>
  <c r="R45" i="64"/>
  <c r="R37" i="64"/>
  <c r="R29" i="64"/>
  <c r="R71" i="64"/>
  <c r="R64" i="64"/>
  <c r="R63" i="64"/>
  <c r="R49" i="64"/>
  <c r="R38" i="64"/>
  <c r="R28" i="64"/>
  <c r="R27" i="64"/>
  <c r="R84" i="64"/>
  <c r="R72" i="64"/>
  <c r="R59" i="64"/>
  <c r="R31" i="64"/>
  <c r="R99" i="64"/>
  <c r="R82" i="64"/>
  <c r="R81" i="64"/>
  <c r="R76" i="64"/>
  <c r="R30" i="64"/>
  <c r="R91" i="64"/>
  <c r="R67" i="64"/>
  <c r="R55" i="64"/>
  <c r="R66" i="64"/>
  <c r="R54" i="64"/>
  <c r="R44" i="64"/>
  <c r="R43" i="64"/>
  <c r="R79" i="64"/>
  <c r="R36" i="64"/>
  <c r="R35" i="64"/>
  <c r="R52" i="64"/>
  <c r="R51" i="64"/>
  <c r="P47" i="64"/>
  <c r="R39" i="64"/>
  <c r="X16" i="54"/>
  <c r="H63" i="60"/>
  <c r="L19" i="65"/>
  <c r="D67" i="65"/>
  <c r="H26" i="54"/>
  <c r="N22" i="54"/>
  <c r="T27" i="44"/>
  <c r="Z18" i="44"/>
  <c r="T74" i="57"/>
  <c r="Z17" i="57"/>
  <c r="X18" i="50"/>
  <c r="P27" i="50"/>
  <c r="T76" i="48"/>
  <c r="X76" i="48" s="1"/>
  <c r="Z18" i="48"/>
  <c r="Z105" i="62"/>
  <c r="T109" i="62"/>
  <c r="X18" i="46"/>
  <c r="T128" i="36"/>
  <c r="V28" i="36"/>
  <c r="F118" i="42"/>
  <c r="F108" i="42"/>
  <c r="F97" i="42"/>
  <c r="F89" i="42"/>
  <c r="F84" i="42"/>
  <c r="F76" i="42"/>
  <c r="F73" i="42"/>
  <c r="F68" i="42"/>
  <c r="F65" i="42"/>
  <c r="F60" i="42"/>
  <c r="F56" i="42"/>
  <c r="F53" i="42"/>
  <c r="F45" i="42"/>
  <c r="F33" i="42"/>
  <c r="F26" i="42"/>
  <c r="F104" i="42"/>
  <c r="F96" i="42"/>
  <c r="F92" i="42"/>
  <c r="F88" i="42"/>
  <c r="F80" i="42"/>
  <c r="F44" i="42"/>
  <c r="F39" i="42"/>
  <c r="F32" i="42"/>
  <c r="D26" i="42"/>
  <c r="F24" i="42"/>
  <c r="F125" i="42"/>
  <c r="F120" i="42"/>
  <c r="F114" i="42"/>
  <c r="F110" i="42"/>
  <c r="F107" i="42"/>
  <c r="F103" i="42"/>
  <c r="F95" i="42"/>
  <c r="F91" i="42"/>
  <c r="F87" i="42"/>
  <c r="F83" i="42"/>
  <c r="F79" i="42"/>
  <c r="F75" i="42"/>
  <c r="F70" i="42"/>
  <c r="F67" i="42"/>
  <c r="F62" i="42"/>
  <c r="F59" i="42"/>
  <c r="F55" i="42"/>
  <c r="F50" i="42"/>
  <c r="F43" i="42"/>
  <c r="F106" i="42"/>
  <c r="F102" i="42"/>
  <c r="F94" i="42"/>
  <c r="F86" i="42"/>
  <c r="F82" i="42"/>
  <c r="F78" i="42"/>
  <c r="F58" i="42"/>
  <c r="F42" i="42"/>
  <c r="F38" i="42"/>
  <c r="F30" i="42"/>
  <c r="F22" i="42"/>
  <c r="F119" i="42"/>
  <c r="F117" i="42"/>
  <c r="F112" i="42"/>
  <c r="F100" i="42"/>
  <c r="F48" i="42"/>
  <c r="F40" i="42"/>
  <c r="F36" i="42"/>
  <c r="F115" i="42"/>
  <c r="F111" i="42"/>
  <c r="F99" i="42"/>
  <c r="F90" i="42"/>
  <c r="F74" i="42"/>
  <c r="F71" i="42"/>
  <c r="F66" i="42"/>
  <c r="F63" i="42"/>
  <c r="F54" i="42"/>
  <c r="F51" i="42"/>
  <c r="F47" i="42"/>
  <c r="F35" i="42"/>
  <c r="F57" i="42"/>
  <c r="F41" i="42"/>
  <c r="F21" i="42"/>
  <c r="F109" i="42"/>
  <c r="F72" i="42"/>
  <c r="F37" i="42"/>
  <c r="F29" i="42"/>
  <c r="F105" i="42"/>
  <c r="F101" i="42"/>
  <c r="F69" i="42"/>
  <c r="F49" i="42"/>
  <c r="F28" i="42"/>
  <c r="F23" i="42"/>
  <c r="F98" i="42"/>
  <c r="F85" i="42"/>
  <c r="F46" i="42"/>
  <c r="F34" i="42"/>
  <c r="F31" i="42"/>
  <c r="F81" i="42"/>
  <c r="F77" i="42"/>
  <c r="F121" i="42"/>
  <c r="F113" i="42"/>
  <c r="F93" i="42"/>
  <c r="F52" i="42"/>
  <c r="F64" i="42"/>
  <c r="L12" i="42"/>
  <c r="N12" i="42" s="1"/>
  <c r="F61" i="42"/>
  <c r="H113" i="51"/>
  <c r="J109" i="51"/>
  <c r="T123" i="42"/>
  <c r="H128" i="36"/>
  <c r="F128" i="39"/>
  <c r="F112" i="39"/>
  <c r="F111" i="39"/>
  <c r="F120" i="39"/>
  <c r="F127" i="39"/>
  <c r="F115" i="39"/>
  <c r="F114" i="39"/>
  <c r="F113" i="39"/>
  <c r="F101" i="39"/>
  <c r="F93" i="39"/>
  <c r="F89" i="39"/>
  <c r="F85" i="39"/>
  <c r="F68" i="39"/>
  <c r="F65" i="39"/>
  <c r="F61" i="39"/>
  <c r="F56" i="39"/>
  <c r="F49" i="39"/>
  <c r="F37" i="39"/>
  <c r="F29" i="39"/>
  <c r="F126" i="39"/>
  <c r="F110" i="39"/>
  <c r="F109" i="39"/>
  <c r="F108" i="39"/>
  <c r="F92" i="39"/>
  <c r="F84" i="39"/>
  <c r="F79" i="39"/>
  <c r="F76" i="39"/>
  <c r="F64" i="39"/>
  <c r="F48" i="39"/>
  <c r="F44" i="39"/>
  <c r="F36" i="39"/>
  <c r="F28" i="39"/>
  <c r="F132" i="39"/>
  <c r="F125" i="39"/>
  <c r="F118" i="39"/>
  <c r="F107" i="39"/>
  <c r="F70" i="39"/>
  <c r="F67" i="39"/>
  <c r="F63" i="39"/>
  <c r="F58" i="39"/>
  <c r="F55" i="39"/>
  <c r="F47" i="39"/>
  <c r="F43" i="39"/>
  <c r="F34" i="39"/>
  <c r="F122" i="39"/>
  <c r="F119" i="39"/>
  <c r="F106" i="39"/>
  <c r="F97" i="39"/>
  <c r="F81" i="39"/>
  <c r="F78" i="39"/>
  <c r="F73" i="39"/>
  <c r="F54" i="39"/>
  <c r="F46" i="39"/>
  <c r="F42" i="39"/>
  <c r="F124" i="39"/>
  <c r="F121" i="39"/>
  <c r="F117" i="39"/>
  <c r="F105" i="39"/>
  <c r="F100" i="39"/>
  <c r="F103" i="39"/>
  <c r="F99" i="39"/>
  <c r="F95" i="39"/>
  <c r="F87" i="39"/>
  <c r="F71" i="39"/>
  <c r="F66" i="39"/>
  <c r="F62" i="39"/>
  <c r="F59" i="39"/>
  <c r="F51" i="39"/>
  <c r="F39" i="39"/>
  <c r="F94" i="39"/>
  <c r="F82" i="39"/>
  <c r="F98" i="39"/>
  <c r="F88" i="39"/>
  <c r="F72" i="39"/>
  <c r="F57" i="39"/>
  <c r="F40" i="39"/>
  <c r="F35" i="39"/>
  <c r="F83" i="39"/>
  <c r="F45" i="39"/>
  <c r="F27" i="39"/>
  <c r="F104" i="39"/>
  <c r="F90" i="39"/>
  <c r="F74" i="39"/>
  <c r="F52" i="39"/>
  <c r="F41" i="39"/>
  <c r="F102" i="39"/>
  <c r="F86" i="39"/>
  <c r="F75" i="39"/>
  <c r="F38" i="39"/>
  <c r="F91" i="39"/>
  <c r="F80" i="39"/>
  <c r="F77" i="39"/>
  <c r="F60" i="39"/>
  <c r="F53" i="39"/>
  <c r="F30" i="39"/>
  <c r="L12" i="39"/>
  <c r="N12" i="39" s="1"/>
  <c r="F96" i="39"/>
  <c r="F116" i="39"/>
  <c r="F69" i="39"/>
  <c r="F50" i="39"/>
  <c r="D32" i="39"/>
  <c r="L18" i="35"/>
  <c r="D27" i="35"/>
  <c r="L18" i="31"/>
  <c r="D27" i="31"/>
  <c r="H31" i="38"/>
  <c r="N27" i="38"/>
  <c r="X28" i="36"/>
  <c r="Z28" i="36" s="1"/>
  <c r="P128" i="36"/>
  <c r="L27" i="38"/>
  <c r="D31" i="38"/>
  <c r="V30" i="33"/>
  <c r="R28" i="36"/>
  <c r="H27" i="19"/>
  <c r="N18" i="19"/>
  <c r="D31" i="22"/>
  <c r="L18" i="20"/>
  <c r="D27" i="20"/>
  <c r="T27" i="26"/>
  <c r="Z18" i="26"/>
  <c r="F111" i="21"/>
  <c r="F105" i="21"/>
  <c r="F100" i="21"/>
  <c r="F72" i="21"/>
  <c r="F69" i="21"/>
  <c r="F64" i="21"/>
  <c r="F61" i="21"/>
  <c r="F49" i="21"/>
  <c r="F41" i="21"/>
  <c r="F37" i="21"/>
  <c r="F96" i="21"/>
  <c r="F87" i="21"/>
  <c r="F79" i="21"/>
  <c r="F55" i="21"/>
  <c r="F52" i="21"/>
  <c r="F48" i="21"/>
  <c r="F36" i="21"/>
  <c r="L12" i="21"/>
  <c r="N12" i="21" s="1"/>
  <c r="F102" i="21"/>
  <c r="F99" i="21"/>
  <c r="F95" i="21"/>
  <c r="F82" i="21"/>
  <c r="F74" i="21"/>
  <c r="F71" i="21"/>
  <c r="F66" i="21"/>
  <c r="F63" i="21"/>
  <c r="F47" i="21"/>
  <c r="F35" i="21"/>
  <c r="F30" i="21"/>
  <c r="F22" i="21"/>
  <c r="F98" i="21"/>
  <c r="F94" i="21"/>
  <c r="F89" i="21"/>
  <c r="F86" i="21"/>
  <c r="F78" i="21"/>
  <c r="F57" i="21"/>
  <c r="F54" i="21"/>
  <c r="F46" i="21"/>
  <c r="F34" i="21"/>
  <c r="F27" i="21"/>
  <c r="F104" i="21"/>
  <c r="F101" i="21"/>
  <c r="F93" i="21"/>
  <c r="F85" i="21"/>
  <c r="F81" i="21"/>
  <c r="F77" i="21"/>
  <c r="F73" i="21"/>
  <c r="F68" i="21"/>
  <c r="F65" i="21"/>
  <c r="F60" i="21"/>
  <c r="F45" i="21"/>
  <c r="F40" i="21"/>
  <c r="F33" i="21"/>
  <c r="D27" i="21"/>
  <c r="F25" i="21"/>
  <c r="F92" i="21"/>
  <c r="F88" i="21"/>
  <c r="F84" i="21"/>
  <c r="F80" i="21"/>
  <c r="F76" i="21"/>
  <c r="F56" i="21"/>
  <c r="F51" i="21"/>
  <c r="F44" i="21"/>
  <c r="F32" i="21"/>
  <c r="F24" i="21"/>
  <c r="F103" i="21"/>
  <c r="F91" i="21"/>
  <c r="F83" i="21"/>
  <c r="F75" i="21"/>
  <c r="F70" i="21"/>
  <c r="F67" i="21"/>
  <c r="F62" i="21"/>
  <c r="F59" i="21"/>
  <c r="F43" i="21"/>
  <c r="F39" i="21"/>
  <c r="F31" i="21"/>
  <c r="F23" i="21"/>
  <c r="F107" i="21"/>
  <c r="F97" i="21"/>
  <c r="F90" i="21"/>
  <c r="F58" i="21"/>
  <c r="F53" i="21"/>
  <c r="F50" i="21"/>
  <c r="F42" i="21"/>
  <c r="F38" i="21"/>
  <c r="F29" i="21"/>
  <c r="P27" i="20"/>
  <c r="X18" i="20"/>
  <c r="D27" i="28"/>
  <c r="L18" i="28"/>
  <c r="F112" i="27"/>
  <c r="F95" i="27"/>
  <c r="F88" i="27"/>
  <c r="F72" i="27"/>
  <c r="F68" i="27"/>
  <c r="F60" i="27"/>
  <c r="F52" i="27"/>
  <c r="F44" i="27"/>
  <c r="F118" i="27"/>
  <c r="F116" i="27"/>
  <c r="F91" i="27"/>
  <c r="F82" i="27"/>
  <c r="F79" i="27"/>
  <c r="F71" i="27"/>
  <c r="F67" i="27"/>
  <c r="F59" i="27"/>
  <c r="F51" i="27"/>
  <c r="F43" i="27"/>
  <c r="F114" i="27"/>
  <c r="F101" i="27"/>
  <c r="F97" i="27"/>
  <c r="F94" i="27"/>
  <c r="F90" i="27"/>
  <c r="F85" i="27"/>
  <c r="F78" i="27"/>
  <c r="F70" i="27"/>
  <c r="F66" i="27"/>
  <c r="F57" i="27"/>
  <c r="F50" i="27"/>
  <c r="F42" i="27"/>
  <c r="F37" i="27"/>
  <c r="L12" i="27"/>
  <c r="N12" i="27" s="1"/>
  <c r="F108" i="27"/>
  <c r="F104" i="27"/>
  <c r="F93" i="27"/>
  <c r="F81" i="27"/>
  <c r="F77" i="27"/>
  <c r="F65" i="27"/>
  <c r="F49" i="27"/>
  <c r="F41" i="27"/>
  <c r="F123" i="27"/>
  <c r="F117" i="27"/>
  <c r="F111" i="27"/>
  <c r="F100" i="27"/>
  <c r="F96" i="27"/>
  <c r="F87" i="27"/>
  <c r="F84" i="27"/>
  <c r="F76" i="27"/>
  <c r="F64" i="27"/>
  <c r="F48" i="27"/>
  <c r="F40" i="27"/>
  <c r="F107" i="27"/>
  <c r="F103" i="27"/>
  <c r="F99" i="27"/>
  <c r="F83" i="27"/>
  <c r="F75" i="27"/>
  <c r="F63" i="27"/>
  <c r="F58" i="27"/>
  <c r="F47" i="27"/>
  <c r="F39" i="27"/>
  <c r="F119" i="27"/>
  <c r="F113" i="27"/>
  <c r="F110" i="27"/>
  <c r="F106" i="27"/>
  <c r="F102" i="27"/>
  <c r="F98" i="27"/>
  <c r="F89" i="27"/>
  <c r="F86" i="27"/>
  <c r="F74" i="27"/>
  <c r="F69" i="27"/>
  <c r="F62" i="27"/>
  <c r="F46" i="27"/>
  <c r="F38" i="27"/>
  <c r="F109" i="27"/>
  <c r="F105" i="27"/>
  <c r="F92" i="27"/>
  <c r="F80" i="27"/>
  <c r="F73" i="27"/>
  <c r="F61" i="27"/>
  <c r="D55" i="27"/>
  <c r="F55" i="27" s="1"/>
  <c r="F53" i="27"/>
  <c r="F45" i="27"/>
  <c r="X18" i="26"/>
  <c r="P27" i="26"/>
  <c r="T31" i="28"/>
  <c r="Z27" i="28"/>
  <c r="L18" i="16"/>
  <c r="D27" i="16"/>
  <c r="D27" i="14"/>
  <c r="L18" i="14"/>
  <c r="D108" i="24"/>
  <c r="L50" i="24"/>
  <c r="N50" i="24" s="1"/>
  <c r="H238" i="15"/>
  <c r="T261" i="18"/>
  <c r="V130" i="15"/>
  <c r="T27" i="13"/>
  <c r="Z18" i="13"/>
  <c r="T27" i="8"/>
  <c r="Z18" i="8"/>
  <c r="D22" i="6"/>
  <c r="L16" i="6"/>
  <c r="T281" i="3"/>
  <c r="F271" i="3"/>
  <c r="Z27" i="99"/>
  <c r="T31" i="99"/>
  <c r="L16" i="93"/>
  <c r="D24" i="93"/>
  <c r="H98" i="94"/>
  <c r="N23" i="94"/>
  <c r="R67" i="97"/>
  <c r="R59" i="97"/>
  <c r="R56" i="97"/>
  <c r="R51" i="97"/>
  <c r="R69" i="97"/>
  <c r="R58" i="97"/>
  <c r="R65" i="97"/>
  <c r="R70" i="97"/>
  <c r="R74" i="97"/>
  <c r="R64" i="97"/>
  <c r="R63" i="97"/>
  <c r="R45" i="97"/>
  <c r="R41" i="97"/>
  <c r="R33" i="97"/>
  <c r="R29" i="97"/>
  <c r="R73" i="97"/>
  <c r="R71" i="97"/>
  <c r="R57" i="97"/>
  <c r="R40" i="97"/>
  <c r="R28" i="97"/>
  <c r="R21" i="97"/>
  <c r="R53" i="97"/>
  <c r="R48" i="97"/>
  <c r="R39" i="97"/>
  <c r="R32" i="97"/>
  <c r="R27" i="97"/>
  <c r="R62" i="97"/>
  <c r="R61" i="97"/>
  <c r="R60" i="97"/>
  <c r="R52" i="97"/>
  <c r="R47" i="97"/>
  <c r="R44" i="97"/>
  <c r="R38" i="97"/>
  <c r="R26" i="97"/>
  <c r="R78" i="97"/>
  <c r="R66" i="97"/>
  <c r="R37" i="97"/>
  <c r="R25" i="97"/>
  <c r="R36" i="97"/>
  <c r="R30" i="97"/>
  <c r="R23" i="97"/>
  <c r="R16" i="97"/>
  <c r="R46" i="97"/>
  <c r="R24" i="97"/>
  <c r="R43" i="97"/>
  <c r="R42" i="97"/>
  <c r="R31" i="97"/>
  <c r="P18" i="97"/>
  <c r="R18" i="97" s="1"/>
  <c r="R54" i="97"/>
  <c r="R49" i="97"/>
  <c r="R20" i="97"/>
  <c r="R68" i="97"/>
  <c r="R34" i="97"/>
  <c r="R55" i="97"/>
  <c r="X12" i="97"/>
  <c r="Z12" i="97" s="1"/>
  <c r="R22" i="97"/>
  <c r="R50" i="97"/>
  <c r="R35" i="97"/>
  <c r="T28" i="87"/>
  <c r="Z18" i="87"/>
  <c r="R89" i="92"/>
  <c r="R80" i="92"/>
  <c r="R40" i="92"/>
  <c r="R36" i="92"/>
  <c r="R28" i="92"/>
  <c r="R25" i="92"/>
  <c r="R20" i="92"/>
  <c r="X12" i="92"/>
  <c r="Z12" i="92" s="1"/>
  <c r="R93" i="92"/>
  <c r="R84" i="92"/>
  <c r="R79" i="92"/>
  <c r="R63" i="92"/>
  <c r="R60" i="92"/>
  <c r="R55" i="92"/>
  <c r="R52" i="92"/>
  <c r="R47" i="92"/>
  <c r="R39" i="92"/>
  <c r="R35" i="92"/>
  <c r="R27" i="92"/>
  <c r="R19" i="92"/>
  <c r="R87" i="92"/>
  <c r="R78" i="92"/>
  <c r="R74" i="92"/>
  <c r="R46" i="92"/>
  <c r="R38" i="92"/>
  <c r="R34" i="92"/>
  <c r="R76" i="92"/>
  <c r="R72" i="92"/>
  <c r="R68" i="92"/>
  <c r="R44" i="92"/>
  <c r="R37" i="92"/>
  <c r="R32" i="92"/>
  <c r="R23" i="92"/>
  <c r="R83" i="92"/>
  <c r="R71" i="92"/>
  <c r="R67" i="92"/>
  <c r="R64" i="92"/>
  <c r="R59" i="92"/>
  <c r="R56" i="92"/>
  <c r="R51" i="92"/>
  <c r="R48" i="92"/>
  <c r="R43" i="92"/>
  <c r="R31" i="92"/>
  <c r="P23" i="92"/>
  <c r="R62" i="92"/>
  <c r="R42" i="92"/>
  <c r="R30" i="92"/>
  <c r="R86" i="92"/>
  <c r="R77" i="92"/>
  <c r="R50" i="92"/>
  <c r="R49" i="92"/>
  <c r="R81" i="92"/>
  <c r="R66" i="92"/>
  <c r="R65" i="92"/>
  <c r="R45" i="92"/>
  <c r="R21" i="92"/>
  <c r="R75" i="92"/>
  <c r="R53" i="92"/>
  <c r="R33" i="92"/>
  <c r="R61" i="92"/>
  <c r="R58" i="92"/>
  <c r="R57" i="92"/>
  <c r="R18" i="92"/>
  <c r="R85" i="92"/>
  <c r="R54" i="92"/>
  <c r="R41" i="92"/>
  <c r="R82" i="92"/>
  <c r="R26" i="92"/>
  <c r="R29" i="92"/>
  <c r="R70" i="92"/>
  <c r="R69" i="92"/>
  <c r="R73" i="92"/>
  <c r="J23" i="85"/>
  <c r="X21" i="84"/>
  <c r="P79" i="84"/>
  <c r="D100" i="85"/>
  <c r="L23" i="85"/>
  <c r="N23" i="85" s="1"/>
  <c r="F23" i="85"/>
  <c r="N20" i="79"/>
  <c r="H91" i="79"/>
  <c r="H49" i="75"/>
  <c r="J23" i="75"/>
  <c r="H90" i="76"/>
  <c r="N21" i="76"/>
  <c r="T36" i="80"/>
  <c r="T56" i="75"/>
  <c r="R111" i="71"/>
  <c r="R92" i="71"/>
  <c r="R80" i="71"/>
  <c r="R77" i="71"/>
  <c r="R68" i="71"/>
  <c r="R56" i="71"/>
  <c r="R48" i="71"/>
  <c r="R40" i="71"/>
  <c r="R33" i="71"/>
  <c r="R99" i="71"/>
  <c r="R91" i="71"/>
  <c r="R88" i="71"/>
  <c r="R67" i="71"/>
  <c r="R63" i="71"/>
  <c r="R55" i="71"/>
  <c r="R52" i="71"/>
  <c r="R47" i="71"/>
  <c r="R39" i="71"/>
  <c r="R105" i="71"/>
  <c r="R98" i="71"/>
  <c r="R94" i="71"/>
  <c r="R82" i="71"/>
  <c r="R79" i="71"/>
  <c r="R74" i="71"/>
  <c r="R66" i="71"/>
  <c r="R62" i="71"/>
  <c r="R54" i="71"/>
  <c r="R46" i="71"/>
  <c r="R38" i="71"/>
  <c r="R107" i="71"/>
  <c r="R101" i="71"/>
  <c r="R97" i="71"/>
  <c r="R90" i="71"/>
  <c r="R85" i="71"/>
  <c r="R73" i="71"/>
  <c r="R65" i="71"/>
  <c r="R61" i="71"/>
  <c r="R45" i="71"/>
  <c r="R37" i="71"/>
  <c r="R96" i="71"/>
  <c r="R93" i="71"/>
  <c r="R84" i="71"/>
  <c r="R81" i="71"/>
  <c r="R76" i="71"/>
  <c r="R72" i="71"/>
  <c r="R60" i="71"/>
  <c r="R53" i="71"/>
  <c r="R44" i="71"/>
  <c r="R36" i="71"/>
  <c r="R103" i="71"/>
  <c r="R100" i="71"/>
  <c r="R87" i="71"/>
  <c r="R71" i="71"/>
  <c r="R64" i="71"/>
  <c r="R59" i="71"/>
  <c r="R43" i="71"/>
  <c r="R35" i="71"/>
  <c r="R75" i="71"/>
  <c r="R70" i="71"/>
  <c r="R95" i="71"/>
  <c r="R89" i="71"/>
  <c r="R86" i="71"/>
  <c r="R57" i="71"/>
  <c r="R83" i="71"/>
  <c r="R42" i="71"/>
  <c r="R41" i="71"/>
  <c r="X12" i="71"/>
  <c r="Z12" i="71" s="1"/>
  <c r="R106" i="71"/>
  <c r="P50" i="71"/>
  <c r="R50" i="71" s="1"/>
  <c r="R34" i="71"/>
  <c r="R78" i="71"/>
  <c r="R69" i="71"/>
  <c r="R58" i="71"/>
  <c r="R102" i="71"/>
  <c r="N19" i="65"/>
  <c r="H67" i="65"/>
  <c r="F28" i="70"/>
  <c r="L16" i="61"/>
  <c r="D60" i="61"/>
  <c r="X16" i="63"/>
  <c r="D104" i="64"/>
  <c r="L47" i="64"/>
  <c r="N47" i="64" s="1"/>
  <c r="P77" i="58"/>
  <c r="X16" i="58"/>
  <c r="R69" i="67"/>
  <c r="R66" i="67"/>
  <c r="R62" i="67"/>
  <c r="R55" i="67"/>
  <c r="R50" i="67"/>
  <c r="R47" i="67"/>
  <c r="R42" i="67"/>
  <c r="R30" i="67"/>
  <c r="X12" i="67"/>
  <c r="Z12" i="67" s="1"/>
  <c r="R64" i="67"/>
  <c r="R60" i="67"/>
  <c r="R39" i="67"/>
  <c r="R35" i="67"/>
  <c r="R27" i="67"/>
  <c r="R52" i="67"/>
  <c r="R46" i="67"/>
  <c r="R45" i="67"/>
  <c r="R43" i="67"/>
  <c r="R31" i="67"/>
  <c r="R78" i="67"/>
  <c r="R51" i="67"/>
  <c r="R23" i="67"/>
  <c r="R21" i="67"/>
  <c r="R57" i="67"/>
  <c r="R56" i="67"/>
  <c r="P23" i="67"/>
  <c r="R20" i="67"/>
  <c r="R19" i="67"/>
  <c r="R72" i="67"/>
  <c r="R70" i="67"/>
  <c r="R65" i="67"/>
  <c r="R61" i="67"/>
  <c r="R49" i="67"/>
  <c r="R81" i="67"/>
  <c r="R41" i="67"/>
  <c r="R38" i="67"/>
  <c r="R37" i="67"/>
  <c r="R36" i="67"/>
  <c r="R28" i="67"/>
  <c r="R76" i="67"/>
  <c r="R63" i="67"/>
  <c r="R40" i="67"/>
  <c r="R58" i="67"/>
  <c r="R74" i="67"/>
  <c r="R59" i="67"/>
  <c r="R53" i="67"/>
  <c r="R32" i="67"/>
  <c r="R67" i="67"/>
  <c r="R34" i="67"/>
  <c r="R33" i="67"/>
  <c r="R29" i="67"/>
  <c r="R26" i="67"/>
  <c r="R68" i="67"/>
  <c r="R25" i="67"/>
  <c r="R48" i="67"/>
  <c r="R54" i="67"/>
  <c r="R44" i="67"/>
  <c r="X17" i="56"/>
  <c r="P80" i="56"/>
  <c r="T27" i="49"/>
  <c r="Z18" i="49"/>
  <c r="H27" i="49"/>
  <c r="N18" i="49"/>
  <c r="D63" i="60"/>
  <c r="L59" i="60"/>
  <c r="N59" i="60" s="1"/>
  <c r="L18" i="40"/>
  <c r="R100" i="45"/>
  <c r="R93" i="45"/>
  <c r="R89" i="45"/>
  <c r="R81" i="45"/>
  <c r="R78" i="45"/>
  <c r="R69" i="45"/>
  <c r="R66" i="45"/>
  <c r="R61" i="45"/>
  <c r="R58" i="45"/>
  <c r="R53" i="45"/>
  <c r="R50" i="45"/>
  <c r="R41" i="45"/>
  <c r="R29" i="45"/>
  <c r="R21" i="45"/>
  <c r="R92" i="45"/>
  <c r="R88" i="45"/>
  <c r="R73" i="45"/>
  <c r="R40" i="45"/>
  <c r="R36" i="45"/>
  <c r="R28" i="45"/>
  <c r="R25" i="45"/>
  <c r="R20" i="45"/>
  <c r="X12" i="45"/>
  <c r="Z12" i="45" s="1"/>
  <c r="R95" i="45"/>
  <c r="R87" i="45"/>
  <c r="R80" i="45"/>
  <c r="R68" i="45"/>
  <c r="R63" i="45"/>
  <c r="R60" i="45"/>
  <c r="R55" i="45"/>
  <c r="R52" i="45"/>
  <c r="R47" i="45"/>
  <c r="R39" i="45"/>
  <c r="R35" i="45"/>
  <c r="R27" i="45"/>
  <c r="R19" i="45"/>
  <c r="R104" i="45"/>
  <c r="R98" i="45"/>
  <c r="R91" i="45"/>
  <c r="R86" i="45"/>
  <c r="R46" i="45"/>
  <c r="R38" i="45"/>
  <c r="R34" i="45"/>
  <c r="R84" i="45"/>
  <c r="R76" i="45"/>
  <c r="R72" i="45"/>
  <c r="R44" i="45"/>
  <c r="R37" i="45"/>
  <c r="R32" i="45"/>
  <c r="R23" i="45"/>
  <c r="R96" i="45"/>
  <c r="R83" i="45"/>
  <c r="R79" i="45"/>
  <c r="R75" i="45"/>
  <c r="R71" i="45"/>
  <c r="R67" i="45"/>
  <c r="R64" i="45"/>
  <c r="R59" i="45"/>
  <c r="R56" i="45"/>
  <c r="R51" i="45"/>
  <c r="R48" i="45"/>
  <c r="R43" i="45"/>
  <c r="R31" i="45"/>
  <c r="P23" i="45"/>
  <c r="R85" i="45"/>
  <c r="R42" i="45"/>
  <c r="R26" i="45"/>
  <c r="R33" i="45"/>
  <c r="R65" i="45"/>
  <c r="R57" i="45"/>
  <c r="R90" i="45"/>
  <c r="R77" i="45"/>
  <c r="R62" i="45"/>
  <c r="R49" i="45"/>
  <c r="R82" i="45"/>
  <c r="R30" i="45"/>
  <c r="R97" i="45"/>
  <c r="R94" i="45"/>
  <c r="R74" i="45"/>
  <c r="R70" i="45"/>
  <c r="R54" i="45"/>
  <c r="R18" i="45"/>
  <c r="R45" i="45"/>
  <c r="H127" i="42"/>
  <c r="R119" i="42"/>
  <c r="R113" i="42"/>
  <c r="R109" i="42"/>
  <c r="R101" i="42"/>
  <c r="R90" i="42"/>
  <c r="R85" i="42"/>
  <c r="R77" i="42"/>
  <c r="R74" i="42"/>
  <c r="R69" i="42"/>
  <c r="R66" i="42"/>
  <c r="R61" i="42"/>
  <c r="R57" i="42"/>
  <c r="R54" i="42"/>
  <c r="R49" i="42"/>
  <c r="R41" i="42"/>
  <c r="R37" i="42"/>
  <c r="R112" i="42"/>
  <c r="R105" i="42"/>
  <c r="R100" i="42"/>
  <c r="R93" i="42"/>
  <c r="R81" i="42"/>
  <c r="R48" i="42"/>
  <c r="R40" i="42"/>
  <c r="R36" i="42"/>
  <c r="R29" i="42"/>
  <c r="R21" i="42"/>
  <c r="R121" i="42"/>
  <c r="R115" i="42"/>
  <c r="R111" i="42"/>
  <c r="R108" i="42"/>
  <c r="R99" i="42"/>
  <c r="R84" i="42"/>
  <c r="R76" i="42"/>
  <c r="R71" i="42"/>
  <c r="R68" i="42"/>
  <c r="R63" i="42"/>
  <c r="R60" i="42"/>
  <c r="R56" i="42"/>
  <c r="R51" i="42"/>
  <c r="R47" i="42"/>
  <c r="R118" i="42"/>
  <c r="R98" i="42"/>
  <c r="R46" i="42"/>
  <c r="R39" i="42"/>
  <c r="R34" i="42"/>
  <c r="P26" i="42"/>
  <c r="X12" i="42"/>
  <c r="Z12" i="42" s="1"/>
  <c r="R120" i="42"/>
  <c r="R104" i="42"/>
  <c r="R96" i="42"/>
  <c r="R92" i="42"/>
  <c r="R88" i="42"/>
  <c r="R80" i="42"/>
  <c r="R44" i="42"/>
  <c r="R32" i="42"/>
  <c r="R24" i="42"/>
  <c r="R125" i="42"/>
  <c r="R107" i="42"/>
  <c r="R103" i="42"/>
  <c r="R95" i="42"/>
  <c r="R91" i="42"/>
  <c r="R87" i="42"/>
  <c r="R83" i="42"/>
  <c r="R79" i="42"/>
  <c r="R75" i="42"/>
  <c r="R72" i="42"/>
  <c r="R67" i="42"/>
  <c r="R64" i="42"/>
  <c r="R59" i="42"/>
  <c r="R55" i="42"/>
  <c r="R52" i="42"/>
  <c r="R43" i="42"/>
  <c r="R31" i="42"/>
  <c r="R28" i="42"/>
  <c r="R23" i="42"/>
  <c r="R38" i="42"/>
  <c r="R106" i="42"/>
  <c r="R102" i="42"/>
  <c r="R73" i="42"/>
  <c r="R70" i="42"/>
  <c r="R65" i="42"/>
  <c r="R35" i="42"/>
  <c r="R114" i="42"/>
  <c r="R82" i="42"/>
  <c r="R78" i="42"/>
  <c r="R117" i="42"/>
  <c r="R89" i="42"/>
  <c r="R86" i="42"/>
  <c r="R97" i="42"/>
  <c r="R94" i="42"/>
  <c r="R58" i="42"/>
  <c r="R33" i="42"/>
  <c r="R22" i="42"/>
  <c r="R42" i="42"/>
  <c r="R45" i="42"/>
  <c r="R26" i="42"/>
  <c r="R110" i="42"/>
  <c r="R53" i="42"/>
  <c r="R50" i="42"/>
  <c r="R62" i="42"/>
  <c r="R30" i="42"/>
  <c r="V32" i="39"/>
  <c r="F97" i="45"/>
  <c r="F85" i="45"/>
  <c r="F80" i="45"/>
  <c r="F77" i="45"/>
  <c r="F68" i="45"/>
  <c r="F65" i="45"/>
  <c r="F60" i="45"/>
  <c r="F57" i="45"/>
  <c r="F52" i="45"/>
  <c r="F49" i="45"/>
  <c r="F45" i="45"/>
  <c r="F33" i="45"/>
  <c r="F91" i="45"/>
  <c r="F84" i="45"/>
  <c r="F76" i="45"/>
  <c r="F72" i="45"/>
  <c r="F44" i="45"/>
  <c r="F32" i="45"/>
  <c r="F94" i="45"/>
  <c r="F83" i="45"/>
  <c r="F79" i="45"/>
  <c r="F75" i="45"/>
  <c r="F71" i="45"/>
  <c r="F67" i="45"/>
  <c r="F62" i="45"/>
  <c r="F59" i="45"/>
  <c r="F54" i="45"/>
  <c r="F51" i="45"/>
  <c r="F43" i="45"/>
  <c r="F31" i="45"/>
  <c r="F26" i="45"/>
  <c r="F18" i="45"/>
  <c r="F90" i="45"/>
  <c r="F82" i="45"/>
  <c r="F74" i="45"/>
  <c r="F70" i="45"/>
  <c r="F42" i="45"/>
  <c r="F37" i="45"/>
  <c r="F30" i="45"/>
  <c r="F23" i="45"/>
  <c r="F92" i="45"/>
  <c r="F88" i="45"/>
  <c r="F40" i="45"/>
  <c r="F36" i="45"/>
  <c r="F28" i="45"/>
  <c r="F20" i="45"/>
  <c r="L12" i="45"/>
  <c r="F100" i="45"/>
  <c r="F95" i="45"/>
  <c r="F87" i="45"/>
  <c r="F78" i="45"/>
  <c r="F66" i="45"/>
  <c r="F63" i="45"/>
  <c r="F58" i="45"/>
  <c r="F55" i="45"/>
  <c r="F50" i="45"/>
  <c r="F47" i="45"/>
  <c r="F39" i="45"/>
  <c r="F35" i="45"/>
  <c r="F27" i="45"/>
  <c r="F19" i="45"/>
  <c r="F48" i="45"/>
  <c r="F53" i="45"/>
  <c r="F21" i="45"/>
  <c r="F98" i="45"/>
  <c r="F41" i="45"/>
  <c r="F38" i="45"/>
  <c r="D23" i="45"/>
  <c r="F104" i="45"/>
  <c r="F46" i="45"/>
  <c r="F93" i="45"/>
  <c r="F89" i="45"/>
  <c r="F69" i="45"/>
  <c r="F64" i="45"/>
  <c r="F29" i="45"/>
  <c r="F25" i="45"/>
  <c r="F81" i="45"/>
  <c r="F61" i="45"/>
  <c r="F96" i="45"/>
  <c r="F34" i="45"/>
  <c r="F56" i="45"/>
  <c r="F73" i="45"/>
  <c r="F86" i="45"/>
  <c r="J28" i="36"/>
  <c r="T175" i="30"/>
  <c r="R113" i="27"/>
  <c r="R100" i="27"/>
  <c r="R96" i="27"/>
  <c r="R89" i="27"/>
  <c r="R84" i="27"/>
  <c r="R76" i="27"/>
  <c r="R69" i="27"/>
  <c r="R64" i="27"/>
  <c r="R48" i="27"/>
  <c r="R40" i="27"/>
  <c r="R123" i="27"/>
  <c r="R119" i="27"/>
  <c r="R107" i="27"/>
  <c r="R103" i="27"/>
  <c r="R99" i="27"/>
  <c r="R92" i="27"/>
  <c r="R83" i="27"/>
  <c r="R80" i="27"/>
  <c r="R75" i="27"/>
  <c r="R63" i="27"/>
  <c r="P55" i="27"/>
  <c r="R55" i="27" s="1"/>
  <c r="R47" i="27"/>
  <c r="R39" i="27"/>
  <c r="R110" i="27"/>
  <c r="R106" i="27"/>
  <c r="R102" i="27"/>
  <c r="R98" i="27"/>
  <c r="R95" i="27"/>
  <c r="R86" i="27"/>
  <c r="R74" i="27"/>
  <c r="R62" i="27"/>
  <c r="R46" i="27"/>
  <c r="R38" i="27"/>
  <c r="R116" i="27"/>
  <c r="R109" i="27"/>
  <c r="R105" i="27"/>
  <c r="R82" i="27"/>
  <c r="R73" i="27"/>
  <c r="R61" i="27"/>
  <c r="R53" i="27"/>
  <c r="R45" i="27"/>
  <c r="R118" i="27"/>
  <c r="R112" i="27"/>
  <c r="R101" i="27"/>
  <c r="R97" i="27"/>
  <c r="R88" i="27"/>
  <c r="R85" i="27"/>
  <c r="R72" i="27"/>
  <c r="R68" i="27"/>
  <c r="R60" i="27"/>
  <c r="R57" i="27"/>
  <c r="R52" i="27"/>
  <c r="R44" i="27"/>
  <c r="R37" i="27"/>
  <c r="R108" i="27"/>
  <c r="R104" i="27"/>
  <c r="R91" i="27"/>
  <c r="R79" i="27"/>
  <c r="R71" i="27"/>
  <c r="R67" i="27"/>
  <c r="R59" i="27"/>
  <c r="R51" i="27"/>
  <c r="R43" i="27"/>
  <c r="R114" i="27"/>
  <c r="R111" i="27"/>
  <c r="R94" i="27"/>
  <c r="R90" i="27"/>
  <c r="R87" i="27"/>
  <c r="R78" i="27"/>
  <c r="R70" i="27"/>
  <c r="R66" i="27"/>
  <c r="R50" i="27"/>
  <c r="R42" i="27"/>
  <c r="X12" i="27"/>
  <c r="Z12" i="27" s="1"/>
  <c r="R117" i="27"/>
  <c r="R93" i="27"/>
  <c r="R81" i="27"/>
  <c r="R77" i="27"/>
  <c r="R65" i="27"/>
  <c r="R58" i="27"/>
  <c r="R49" i="27"/>
  <c r="R41" i="27"/>
  <c r="L18" i="26"/>
  <c r="D27" i="26"/>
  <c r="H109" i="21"/>
  <c r="X18" i="23"/>
  <c r="P27" i="23"/>
  <c r="H175" i="30"/>
  <c r="D36" i="25"/>
  <c r="H27" i="17"/>
  <c r="N18" i="17"/>
  <c r="P31" i="17"/>
  <c r="T36" i="23"/>
  <c r="Z36" i="23" s="1"/>
  <c r="D261" i="18"/>
  <c r="L152" i="18"/>
  <c r="H27" i="8"/>
  <c r="N18" i="8"/>
  <c r="L18" i="8"/>
  <c r="D27" i="8"/>
  <c r="L18" i="5"/>
  <c r="D27" i="5"/>
  <c r="X18" i="4"/>
  <c r="L162" i="3"/>
  <c r="N162" i="3" s="1"/>
  <c r="D281" i="3"/>
  <c r="X162" i="3"/>
  <c r="Z162" i="3" s="1"/>
  <c r="P281" i="3"/>
  <c r="R71" i="95"/>
  <c r="R90" i="95"/>
  <c r="R84" i="95"/>
  <c r="R77" i="95"/>
  <c r="R79" i="95"/>
  <c r="R75" i="95"/>
  <c r="R93" i="95"/>
  <c r="R86" i="95"/>
  <c r="R76" i="95"/>
  <c r="R63" i="95"/>
  <c r="R60" i="95"/>
  <c r="R55" i="95"/>
  <c r="R52" i="95"/>
  <c r="R47" i="95"/>
  <c r="R44" i="95"/>
  <c r="R39" i="95"/>
  <c r="R27" i="95"/>
  <c r="P19" i="95"/>
  <c r="R38" i="95"/>
  <c r="R26" i="95"/>
  <c r="R69" i="95"/>
  <c r="R65" i="95"/>
  <c r="R62" i="95"/>
  <c r="R57" i="95"/>
  <c r="R54" i="95"/>
  <c r="R49" i="95"/>
  <c r="R46" i="95"/>
  <c r="R37" i="95"/>
  <c r="R25" i="95"/>
  <c r="R17" i="95"/>
  <c r="R81" i="95"/>
  <c r="R67" i="95"/>
  <c r="R64" i="95"/>
  <c r="R59" i="95"/>
  <c r="R56" i="95"/>
  <c r="R51" i="95"/>
  <c r="R48" i="95"/>
  <c r="R43" i="95"/>
  <c r="R35" i="95"/>
  <c r="R31" i="95"/>
  <c r="R23" i="95"/>
  <c r="R16" i="95"/>
  <c r="R82" i="95"/>
  <c r="R80" i="95"/>
  <c r="R74" i="95"/>
  <c r="R73" i="95"/>
  <c r="R72" i="95"/>
  <c r="R42" i="95"/>
  <c r="R34" i="95"/>
  <c r="R30" i="95"/>
  <c r="R78" i="95"/>
  <c r="R70" i="95"/>
  <c r="R66" i="95"/>
  <c r="R33" i="95"/>
  <c r="R32" i="95"/>
  <c r="R24" i="95"/>
  <c r="R88" i="95"/>
  <c r="R61" i="95"/>
  <c r="R28" i="95"/>
  <c r="X12" i="95"/>
  <c r="Z12" i="95" s="1"/>
  <c r="R50" i="95"/>
  <c r="R29" i="95"/>
  <c r="R68" i="95"/>
  <c r="R58" i="95"/>
  <c r="R45" i="95"/>
  <c r="R40" i="95"/>
  <c r="R21" i="95"/>
  <c r="R19" i="95"/>
  <c r="R22" i="95"/>
  <c r="R53" i="95"/>
  <c r="R41" i="95"/>
  <c r="R36" i="95"/>
  <c r="T90" i="95"/>
  <c r="D58" i="91"/>
  <c r="L16" i="91"/>
  <c r="L16" i="96"/>
  <c r="X16" i="88"/>
  <c r="P58" i="88"/>
  <c r="R93" i="85"/>
  <c r="R90" i="85"/>
  <c r="R81" i="85"/>
  <c r="R77" i="85"/>
  <c r="R73" i="85"/>
  <c r="R69" i="85"/>
  <c r="R65" i="85"/>
  <c r="R62" i="85"/>
  <c r="R102" i="85"/>
  <c r="R96" i="85"/>
  <c r="R80" i="85"/>
  <c r="R92" i="85"/>
  <c r="R79" i="85"/>
  <c r="R76" i="85"/>
  <c r="R71" i="85"/>
  <c r="R67" i="85"/>
  <c r="R64" i="85"/>
  <c r="R95" i="85"/>
  <c r="R86" i="85"/>
  <c r="R88" i="85"/>
  <c r="R52" i="85"/>
  <c r="R49" i="85"/>
  <c r="R40" i="85"/>
  <c r="R28" i="85"/>
  <c r="R25" i="85"/>
  <c r="R20" i="85"/>
  <c r="X12" i="85"/>
  <c r="Z12" i="85" s="1"/>
  <c r="R94" i="85"/>
  <c r="R91" i="85"/>
  <c r="R89" i="85"/>
  <c r="R82" i="85"/>
  <c r="R72" i="85"/>
  <c r="R70" i="85"/>
  <c r="R61" i="85"/>
  <c r="R55" i="85"/>
  <c r="R39" i="85"/>
  <c r="R35" i="85"/>
  <c r="R27" i="85"/>
  <c r="R19" i="85"/>
  <c r="R98" i="85"/>
  <c r="R83" i="85"/>
  <c r="R78" i="85"/>
  <c r="R68" i="85"/>
  <c r="R66" i="85"/>
  <c r="R60" i="85"/>
  <c r="R54" i="85"/>
  <c r="R51" i="85"/>
  <c r="R46" i="85"/>
  <c r="R38" i="85"/>
  <c r="R34" i="85"/>
  <c r="R57" i="85"/>
  <c r="R45" i="85"/>
  <c r="R37" i="85"/>
  <c r="R33" i="85"/>
  <c r="R26" i="85"/>
  <c r="R18" i="85"/>
  <c r="R84" i="85"/>
  <c r="R53" i="85"/>
  <c r="R48" i="85"/>
  <c r="R44" i="85"/>
  <c r="R32" i="85"/>
  <c r="R85" i="85"/>
  <c r="R75" i="85"/>
  <c r="R74" i="85"/>
  <c r="R59" i="85"/>
  <c r="R56" i="85"/>
  <c r="R43" i="85"/>
  <c r="R36" i="85"/>
  <c r="R31" i="85"/>
  <c r="P23" i="85"/>
  <c r="R50" i="85"/>
  <c r="R41" i="85"/>
  <c r="R58" i="85"/>
  <c r="R29" i="85"/>
  <c r="R47" i="85"/>
  <c r="R42" i="85"/>
  <c r="R30" i="85"/>
  <c r="R87" i="85"/>
  <c r="R63" i="85"/>
  <c r="R21" i="85"/>
  <c r="P79" i="82"/>
  <c r="X18" i="82"/>
  <c r="P31" i="78"/>
  <c r="X21" i="78"/>
  <c r="Z21" i="78" s="1"/>
  <c r="H36" i="80"/>
  <c r="D36" i="80"/>
  <c r="L32" i="80"/>
  <c r="N32" i="80" s="1"/>
  <c r="Z19" i="74"/>
  <c r="T70" i="74"/>
  <c r="X19" i="74"/>
  <c r="T86" i="73"/>
  <c r="V83" i="73"/>
  <c r="H79" i="73"/>
  <c r="N22" i="73"/>
  <c r="H160" i="69"/>
  <c r="X16" i="61"/>
  <c r="P60" i="61"/>
  <c r="H63" i="63"/>
  <c r="N16" i="63"/>
  <c r="D109" i="62"/>
  <c r="L105" i="62"/>
  <c r="N105" i="62" s="1"/>
  <c r="T63" i="60"/>
  <c r="L18" i="50"/>
  <c r="D27" i="50"/>
  <c r="X18" i="41"/>
  <c r="P27" i="41"/>
  <c r="H38" i="55"/>
  <c r="N34" i="55"/>
  <c r="L18" i="43"/>
  <c r="D27" i="43"/>
  <c r="T106" i="45"/>
  <c r="T34" i="55"/>
  <c r="Z16" i="55"/>
  <c r="H78" i="57"/>
  <c r="H109" i="45"/>
  <c r="F69" i="48"/>
  <c r="F56" i="48"/>
  <c r="F53" i="48"/>
  <c r="F41" i="48"/>
  <c r="F71" i="48"/>
  <c r="F65" i="48"/>
  <c r="F62" i="48"/>
  <c r="F49" i="48"/>
  <c r="F46" i="48"/>
  <c r="F38" i="48"/>
  <c r="F66" i="48"/>
  <c r="F26" i="48"/>
  <c r="F21" i="48"/>
  <c r="F67" i="48"/>
  <c r="F48" i="48"/>
  <c r="F43" i="48"/>
  <c r="F40" i="48"/>
  <c r="F39" i="48"/>
  <c r="F37" i="48"/>
  <c r="F32" i="48"/>
  <c r="F25" i="48"/>
  <c r="F64" i="48"/>
  <c r="F55" i="48"/>
  <c r="F42" i="48"/>
  <c r="F36" i="48"/>
  <c r="F24" i="48"/>
  <c r="D18" i="48"/>
  <c r="F18" i="48" s="1"/>
  <c r="L12" i="48"/>
  <c r="N12" i="48" s="1"/>
  <c r="F74" i="48"/>
  <c r="F47" i="48"/>
  <c r="F35" i="48"/>
  <c r="F31" i="48"/>
  <c r="F23" i="48"/>
  <c r="F70" i="48"/>
  <c r="F59" i="48"/>
  <c r="F33" i="48"/>
  <c r="F29" i="48"/>
  <c r="F20" i="48"/>
  <c r="F16" i="48"/>
  <c r="F78" i="48"/>
  <c r="F73" i="48"/>
  <c r="F52" i="48"/>
  <c r="F45" i="48"/>
  <c r="F28" i="48"/>
  <c r="F68" i="48"/>
  <c r="F57" i="48"/>
  <c r="F50" i="48"/>
  <c r="F27" i="48"/>
  <c r="F63" i="48"/>
  <c r="F58" i="48"/>
  <c r="F51" i="48"/>
  <c r="F60" i="48"/>
  <c r="F54" i="48"/>
  <c r="F34" i="48"/>
  <c r="F61" i="48"/>
  <c r="F30" i="48"/>
  <c r="F44" i="48"/>
  <c r="F22" i="48"/>
  <c r="T27" i="43"/>
  <c r="Z18" i="43"/>
  <c r="P80" i="48"/>
  <c r="T27" i="32"/>
  <c r="Z18" i="32"/>
  <c r="H31" i="34"/>
  <c r="N27" i="34"/>
  <c r="H27" i="22"/>
  <c r="N18" i="22"/>
  <c r="R101" i="21"/>
  <c r="R93" i="21"/>
  <c r="R85" i="21"/>
  <c r="R81" i="21"/>
  <c r="R77" i="21"/>
  <c r="R73" i="21"/>
  <c r="R70" i="21"/>
  <c r="R65" i="21"/>
  <c r="R62" i="21"/>
  <c r="R45" i="21"/>
  <c r="R33" i="21"/>
  <c r="R25" i="21"/>
  <c r="R107" i="21"/>
  <c r="R97" i="21"/>
  <c r="R92" i="21"/>
  <c r="R88" i="21"/>
  <c r="R84" i="21"/>
  <c r="R80" i="21"/>
  <c r="R76" i="21"/>
  <c r="R56" i="21"/>
  <c r="R53" i="21"/>
  <c r="R44" i="21"/>
  <c r="R32" i="21"/>
  <c r="R29" i="21"/>
  <c r="R24" i="21"/>
  <c r="R103" i="21"/>
  <c r="R100" i="21"/>
  <c r="R91" i="21"/>
  <c r="R83" i="21"/>
  <c r="R75" i="21"/>
  <c r="R72" i="21"/>
  <c r="R67" i="21"/>
  <c r="R64" i="21"/>
  <c r="R59" i="21"/>
  <c r="R43" i="21"/>
  <c r="R39" i="21"/>
  <c r="R31" i="21"/>
  <c r="R23" i="21"/>
  <c r="R90" i="21"/>
  <c r="R87" i="21"/>
  <c r="R79" i="21"/>
  <c r="R58" i="21"/>
  <c r="R55" i="21"/>
  <c r="R50" i="21"/>
  <c r="R42" i="21"/>
  <c r="R38" i="21"/>
  <c r="R111" i="21"/>
  <c r="R105" i="21"/>
  <c r="R102" i="21"/>
  <c r="R82" i="21"/>
  <c r="R74" i="21"/>
  <c r="R69" i="21"/>
  <c r="R66" i="21"/>
  <c r="R61" i="21"/>
  <c r="R49" i="21"/>
  <c r="R41" i="21"/>
  <c r="R37" i="21"/>
  <c r="R30" i="21"/>
  <c r="R22" i="21"/>
  <c r="R96" i="21"/>
  <c r="R89" i="21"/>
  <c r="R57" i="21"/>
  <c r="R52" i="21"/>
  <c r="R48" i="21"/>
  <c r="R36" i="21"/>
  <c r="R27" i="21"/>
  <c r="X12" i="21"/>
  <c r="Z12" i="21" s="1"/>
  <c r="R104" i="21"/>
  <c r="R99" i="21"/>
  <c r="R95" i="21"/>
  <c r="R71" i="21"/>
  <c r="R68" i="21"/>
  <c r="R63" i="21"/>
  <c r="R60" i="21"/>
  <c r="R47" i="21"/>
  <c r="R40" i="21"/>
  <c r="R35" i="21"/>
  <c r="P27" i="21"/>
  <c r="R98" i="21"/>
  <c r="R94" i="21"/>
  <c r="R86" i="21"/>
  <c r="R78" i="21"/>
  <c r="R54" i="21"/>
  <c r="R51" i="21"/>
  <c r="R46" i="21"/>
  <c r="R34" i="21"/>
  <c r="X18" i="16"/>
  <c r="P27" i="16"/>
  <c r="P31" i="22"/>
  <c r="X27" i="22"/>
  <c r="H261" i="18"/>
  <c r="N152" i="18"/>
  <c r="L18" i="19"/>
  <c r="D27" i="19"/>
  <c r="D31" i="29"/>
  <c r="T27" i="17"/>
  <c r="X27" i="17" s="1"/>
  <c r="Z18" i="17"/>
  <c r="T27" i="11"/>
  <c r="Z18" i="11"/>
  <c r="H27" i="13"/>
  <c r="N18" i="13"/>
  <c r="Z27" i="7"/>
  <c r="T31" i="7"/>
  <c r="L18" i="4"/>
  <c r="D27" i="4"/>
  <c r="D245" i="12"/>
  <c r="L134" i="12"/>
  <c r="N134" i="12" s="1"/>
  <c r="H36" i="32" l="1"/>
  <c r="N36" i="32" s="1"/>
  <c r="D31" i="53"/>
  <c r="D36" i="53" s="1"/>
  <c r="Z27" i="100"/>
  <c r="T31" i="100"/>
  <c r="Z27" i="34"/>
  <c r="T31" i="34"/>
  <c r="T36" i="5"/>
  <c r="Z36" i="5" s="1"/>
  <c r="Z31" i="5"/>
  <c r="D36" i="29"/>
  <c r="L27" i="19"/>
  <c r="D31" i="19"/>
  <c r="P83" i="48"/>
  <c r="R80" i="48"/>
  <c r="D62" i="91"/>
  <c r="L58" i="91"/>
  <c r="H31" i="13"/>
  <c r="L31" i="13" s="1"/>
  <c r="N27" i="13"/>
  <c r="D31" i="43"/>
  <c r="L27" i="43"/>
  <c r="H163" i="69"/>
  <c r="J160" i="69"/>
  <c r="H83" i="73"/>
  <c r="D39" i="80"/>
  <c r="L39" i="80" s="1"/>
  <c r="L36" i="80"/>
  <c r="N36" i="80" s="1"/>
  <c r="P86" i="95"/>
  <c r="X19" i="95"/>
  <c r="Z19" i="95" s="1"/>
  <c r="P123" i="42"/>
  <c r="X26" i="42"/>
  <c r="Z26" i="42" s="1"/>
  <c r="H130" i="42"/>
  <c r="J127" i="42"/>
  <c r="P84" i="56"/>
  <c r="X80" i="56"/>
  <c r="Z80" i="56" s="1"/>
  <c r="D64" i="61"/>
  <c r="L60" i="61"/>
  <c r="H94" i="76"/>
  <c r="J90" i="76"/>
  <c r="D104" i="85"/>
  <c r="L100" i="85"/>
  <c r="F100" i="85"/>
  <c r="P91" i="92"/>
  <c r="X23" i="92"/>
  <c r="Z23" i="92" s="1"/>
  <c r="T32" i="87"/>
  <c r="Z28" i="87"/>
  <c r="H102" i="94"/>
  <c r="N98" i="94"/>
  <c r="T265" i="18"/>
  <c r="V261" i="18"/>
  <c r="L27" i="21"/>
  <c r="N27" i="21" s="1"/>
  <c r="D109" i="21"/>
  <c r="L27" i="31"/>
  <c r="D31" i="31"/>
  <c r="T127" i="42"/>
  <c r="V123" i="42"/>
  <c r="T112" i="62"/>
  <c r="X112" i="62" s="1"/>
  <c r="H44" i="90"/>
  <c r="N40" i="90"/>
  <c r="N27" i="14"/>
  <c r="H31" i="14"/>
  <c r="H31" i="43"/>
  <c r="N27" i="43"/>
  <c r="T84" i="58"/>
  <c r="D26" i="54"/>
  <c r="L22" i="54"/>
  <c r="X20" i="86"/>
  <c r="P86" i="86"/>
  <c r="D102" i="94"/>
  <c r="L98" i="94"/>
  <c r="F98" i="94"/>
  <c r="L27" i="13"/>
  <c r="N31" i="28"/>
  <c r="H36" i="28"/>
  <c r="N36" i="28" s="1"/>
  <c r="N27" i="31"/>
  <c r="H31" i="31"/>
  <c r="T31" i="47"/>
  <c r="X31" i="47" s="1"/>
  <c r="Z27" i="47"/>
  <c r="L30" i="33"/>
  <c r="N30" i="33" s="1"/>
  <c r="D88" i="33"/>
  <c r="L50" i="71"/>
  <c r="N50" i="71" s="1"/>
  <c r="D109" i="71"/>
  <c r="Z89" i="81"/>
  <c r="T93" i="81"/>
  <c r="X89" i="81"/>
  <c r="T107" i="85"/>
  <c r="V104" i="85"/>
  <c r="X27" i="34"/>
  <c r="P31" i="34"/>
  <c r="H80" i="48"/>
  <c r="J76" i="48"/>
  <c r="T108" i="64"/>
  <c r="V104" i="64"/>
  <c r="N58" i="91"/>
  <c r="H62" i="91"/>
  <c r="N27" i="98"/>
  <c r="H31" i="98"/>
  <c r="H31" i="6"/>
  <c r="N26" i="6"/>
  <c r="P31" i="14"/>
  <c r="X27" i="14"/>
  <c r="X27" i="37"/>
  <c r="P31" i="37"/>
  <c r="L27" i="52"/>
  <c r="D31" i="52"/>
  <c r="T71" i="65"/>
  <c r="X71" i="65" s="1"/>
  <c r="Z67" i="65"/>
  <c r="V67" i="65"/>
  <c r="P85" i="70"/>
  <c r="X28" i="70"/>
  <c r="Z28" i="70" s="1"/>
  <c r="J137" i="77"/>
  <c r="T35" i="78"/>
  <c r="V31" i="78"/>
  <c r="Z27" i="98"/>
  <c r="T31" i="98"/>
  <c r="N27" i="16"/>
  <c r="H31" i="16"/>
  <c r="N27" i="40"/>
  <c r="H31" i="40"/>
  <c r="L31" i="40" s="1"/>
  <c r="P78" i="59"/>
  <c r="T97" i="76"/>
  <c r="V94" i="76"/>
  <c r="P34" i="89"/>
  <c r="X30" i="89"/>
  <c r="Z30" i="89" s="1"/>
  <c r="N27" i="22"/>
  <c r="H31" i="22"/>
  <c r="L31" i="22" s="1"/>
  <c r="P100" i="85"/>
  <c r="X23" i="85"/>
  <c r="Z23" i="85" s="1"/>
  <c r="T93" i="95"/>
  <c r="V90" i="95"/>
  <c r="L27" i="8"/>
  <c r="D31" i="8"/>
  <c r="P36" i="17"/>
  <c r="D66" i="60"/>
  <c r="L63" i="60"/>
  <c r="P74" i="67"/>
  <c r="X23" i="67"/>
  <c r="Z23" i="67" s="1"/>
  <c r="P83" i="84"/>
  <c r="X79" i="84"/>
  <c r="Z79" i="84" s="1"/>
  <c r="R79" i="84"/>
  <c r="D28" i="93"/>
  <c r="L24" i="93"/>
  <c r="D26" i="6"/>
  <c r="L22" i="6"/>
  <c r="H242" i="15"/>
  <c r="J238" i="15"/>
  <c r="Z27" i="26"/>
  <c r="T31" i="26"/>
  <c r="T31" i="44"/>
  <c r="Z27" i="44"/>
  <c r="X27" i="44"/>
  <c r="D78" i="67"/>
  <c r="L74" i="67"/>
  <c r="N74" i="67" s="1"/>
  <c r="P74" i="65"/>
  <c r="D79" i="73"/>
  <c r="L22" i="73"/>
  <c r="T62" i="91"/>
  <c r="X58" i="91"/>
  <c r="Z58" i="91" s="1"/>
  <c r="D47" i="90"/>
  <c r="L44" i="90"/>
  <c r="T105" i="94"/>
  <c r="V102" i="94"/>
  <c r="Z24" i="93"/>
  <c r="T28" i="93"/>
  <c r="H285" i="3"/>
  <c r="J281" i="3"/>
  <c r="N27" i="26"/>
  <c r="H31" i="26"/>
  <c r="H111" i="64"/>
  <c r="J108" i="64"/>
  <c r="X109" i="62"/>
  <c r="Z109" i="62" s="1"/>
  <c r="D36" i="13"/>
  <c r="T249" i="12"/>
  <c r="V245" i="12"/>
  <c r="X27" i="35"/>
  <c r="P31" i="35"/>
  <c r="L27" i="47"/>
  <c r="D31" i="47"/>
  <c r="T98" i="92"/>
  <c r="V95" i="92"/>
  <c r="D90" i="95"/>
  <c r="L86" i="95"/>
  <c r="T26" i="6"/>
  <c r="Z22" i="6"/>
  <c r="Z27" i="19"/>
  <c r="T31" i="19"/>
  <c r="X31" i="19" s="1"/>
  <c r="P38" i="55"/>
  <c r="X34" i="55"/>
  <c r="D130" i="77"/>
  <c r="L52" i="77"/>
  <c r="N52" i="77" s="1"/>
  <c r="D35" i="78"/>
  <c r="L31" i="78"/>
  <c r="N31" i="78" s="1"/>
  <c r="F31" i="78"/>
  <c r="T44" i="90"/>
  <c r="X27" i="98"/>
  <c r="P31" i="98"/>
  <c r="H31" i="29"/>
  <c r="N27" i="29"/>
  <c r="P175" i="30"/>
  <c r="X82" i="30"/>
  <c r="Z82" i="30" s="1"/>
  <c r="T36" i="40"/>
  <c r="Z31" i="40"/>
  <c r="X31" i="40"/>
  <c r="H113" i="71"/>
  <c r="J109" i="71"/>
  <c r="T84" i="83"/>
  <c r="L27" i="11"/>
  <c r="D31" i="11"/>
  <c r="T36" i="41"/>
  <c r="Z36" i="41" s="1"/>
  <c r="Z31" i="41"/>
  <c r="V81" i="67"/>
  <c r="H35" i="78"/>
  <c r="J31" i="78"/>
  <c r="N80" i="83"/>
  <c r="H84" i="83"/>
  <c r="D76" i="97"/>
  <c r="L18" i="97"/>
  <c r="N18" i="97" s="1"/>
  <c r="F18" i="97"/>
  <c r="Z27" i="32"/>
  <c r="T31" i="32"/>
  <c r="Z27" i="43"/>
  <c r="T31" i="43"/>
  <c r="D76" i="48"/>
  <c r="L18" i="48"/>
  <c r="N18" i="48" s="1"/>
  <c r="T66" i="60"/>
  <c r="H39" i="80"/>
  <c r="P31" i="23"/>
  <c r="X27" i="23"/>
  <c r="D249" i="12"/>
  <c r="L245" i="12"/>
  <c r="N245" i="12" s="1"/>
  <c r="F245" i="12"/>
  <c r="Z27" i="11"/>
  <c r="T31" i="11"/>
  <c r="H265" i="18"/>
  <c r="J261" i="18"/>
  <c r="V86" i="73"/>
  <c r="R23" i="85"/>
  <c r="P285" i="3"/>
  <c r="X281" i="3"/>
  <c r="R281" i="3"/>
  <c r="P109" i="71"/>
  <c r="X50" i="71"/>
  <c r="Z50" i="71" s="1"/>
  <c r="T36" i="28"/>
  <c r="Z36" i="28" s="1"/>
  <c r="Z31" i="28"/>
  <c r="L27" i="20"/>
  <c r="D31" i="20"/>
  <c r="D36" i="38"/>
  <c r="L31" i="38"/>
  <c r="D31" i="35"/>
  <c r="L27" i="35"/>
  <c r="P104" i="64"/>
  <c r="X47" i="64"/>
  <c r="Z47" i="64" s="1"/>
  <c r="T83" i="84"/>
  <c r="N24" i="96"/>
  <c r="H28" i="96"/>
  <c r="Z31" i="35"/>
  <c r="T36" i="35"/>
  <c r="Z36" i="35" s="1"/>
  <c r="D31" i="44"/>
  <c r="L27" i="44"/>
  <c r="P36" i="46"/>
  <c r="H31" i="41"/>
  <c r="N27" i="41"/>
  <c r="L27" i="41"/>
  <c r="T86" i="82"/>
  <c r="Z27" i="4"/>
  <c r="T31" i="4"/>
  <c r="X27" i="4"/>
  <c r="P36" i="5"/>
  <c r="X31" i="5"/>
  <c r="T125" i="27"/>
  <c r="V121" i="27"/>
  <c r="T92" i="33"/>
  <c r="V88" i="33"/>
  <c r="P36" i="47"/>
  <c r="D120" i="66"/>
  <c r="L54" i="66"/>
  <c r="N54" i="66" s="1"/>
  <c r="P63" i="60"/>
  <c r="X59" i="60"/>
  <c r="Z59" i="60" s="1"/>
  <c r="P160" i="69"/>
  <c r="X156" i="69"/>
  <c r="Z156" i="69" s="1"/>
  <c r="R156" i="69"/>
  <c r="X23" i="75"/>
  <c r="Z23" i="75" s="1"/>
  <c r="P49" i="75"/>
  <c r="H93" i="81"/>
  <c r="X27" i="38"/>
  <c r="P31" i="38"/>
  <c r="H31" i="4"/>
  <c r="N27" i="4"/>
  <c r="H125" i="27"/>
  <c r="J121" i="27"/>
  <c r="L27" i="37"/>
  <c r="D31" i="37"/>
  <c r="H75" i="59"/>
  <c r="P36" i="80"/>
  <c r="X32" i="80"/>
  <c r="Z32" i="80" s="1"/>
  <c r="P28" i="93"/>
  <c r="X24" i="93"/>
  <c r="P31" i="13"/>
  <c r="X27" i="13"/>
  <c r="X27" i="49"/>
  <c r="P31" i="49"/>
  <c r="D67" i="63"/>
  <c r="L63" i="63"/>
  <c r="H31" i="93"/>
  <c r="N31" i="93" s="1"/>
  <c r="N28" i="93"/>
  <c r="T36" i="7"/>
  <c r="Z36" i="7" s="1"/>
  <c r="Z31" i="7"/>
  <c r="D31" i="4"/>
  <c r="L27" i="4"/>
  <c r="H36" i="34"/>
  <c r="N36" i="34" s="1"/>
  <c r="N31" i="34"/>
  <c r="H81" i="57"/>
  <c r="H41" i="55"/>
  <c r="L41" i="55" s="1"/>
  <c r="D112" i="62"/>
  <c r="L109" i="62"/>
  <c r="N109" i="62" s="1"/>
  <c r="X58" i="88"/>
  <c r="Z58" i="88" s="1"/>
  <c r="P62" i="88"/>
  <c r="H31" i="49"/>
  <c r="N27" i="49"/>
  <c r="H71" i="65"/>
  <c r="N67" i="65"/>
  <c r="V56" i="75"/>
  <c r="H53" i="75"/>
  <c r="J49" i="75"/>
  <c r="P76" i="97"/>
  <c r="X18" i="97"/>
  <c r="Z18" i="97" s="1"/>
  <c r="Z31" i="99"/>
  <c r="T36" i="99"/>
  <c r="Z36" i="99" s="1"/>
  <c r="Z27" i="8"/>
  <c r="T31" i="8"/>
  <c r="P31" i="26"/>
  <c r="X27" i="26"/>
  <c r="H116" i="51"/>
  <c r="J113" i="51"/>
  <c r="L26" i="42"/>
  <c r="N26" i="42" s="1"/>
  <c r="D123" i="42"/>
  <c r="Z76" i="48"/>
  <c r="T80" i="48"/>
  <c r="V76" i="48"/>
  <c r="H31" i="54"/>
  <c r="N26" i="54"/>
  <c r="L74" i="57"/>
  <c r="N74" i="57" s="1"/>
  <c r="D78" i="57"/>
  <c r="L34" i="89"/>
  <c r="N34" i="89" s="1"/>
  <c r="D37" i="89"/>
  <c r="L37" i="89" s="1"/>
  <c r="D91" i="92"/>
  <c r="L23" i="92"/>
  <c r="P26" i="6"/>
  <c r="X22" i="6"/>
  <c r="X152" i="18"/>
  <c r="Z152" i="18" s="1"/>
  <c r="P261" i="18"/>
  <c r="P134" i="39"/>
  <c r="X130" i="39"/>
  <c r="R130" i="39"/>
  <c r="P44" i="90"/>
  <c r="X40" i="90"/>
  <c r="Z40" i="90" s="1"/>
  <c r="D175" i="30"/>
  <c r="L82" i="30"/>
  <c r="N82" i="30" s="1"/>
  <c r="P28" i="87"/>
  <c r="X18" i="87"/>
  <c r="R18" i="87"/>
  <c r="N86" i="95"/>
  <c r="H90" i="95"/>
  <c r="P31" i="10"/>
  <c r="X27" i="10"/>
  <c r="P36" i="25"/>
  <c r="X36" i="25" s="1"/>
  <c r="X31" i="25"/>
  <c r="Z27" i="37"/>
  <c r="T31" i="37"/>
  <c r="T75" i="59"/>
  <c r="H89" i="70"/>
  <c r="J85" i="70"/>
  <c r="X24" i="96"/>
  <c r="P28" i="96"/>
  <c r="D31" i="99"/>
  <c r="L27" i="99"/>
  <c r="T242" i="15"/>
  <c r="V238" i="15"/>
  <c r="L23" i="75"/>
  <c r="N23" i="75" s="1"/>
  <c r="D49" i="75"/>
  <c r="H104" i="85"/>
  <c r="N100" i="85"/>
  <c r="J100" i="85"/>
  <c r="X27" i="8"/>
  <c r="P31" i="8"/>
  <c r="J95" i="33"/>
  <c r="X27" i="29"/>
  <c r="P31" i="29"/>
  <c r="H36" i="53"/>
  <c r="N36" i="53" s="1"/>
  <c r="N31" i="53"/>
  <c r="D160" i="69"/>
  <c r="L156" i="69"/>
  <c r="N156" i="69" s="1"/>
  <c r="F156" i="69"/>
  <c r="D83" i="84"/>
  <c r="L79" i="84"/>
  <c r="N79" i="84" s="1"/>
  <c r="D28" i="96"/>
  <c r="L24" i="96"/>
  <c r="P31" i="41"/>
  <c r="X27" i="41"/>
  <c r="P35" i="78"/>
  <c r="X31" i="78"/>
  <c r="Z31" i="78" s="1"/>
  <c r="R31" i="78"/>
  <c r="D285" i="3"/>
  <c r="L281" i="3"/>
  <c r="N281" i="3" s="1"/>
  <c r="F281" i="3"/>
  <c r="H31" i="8"/>
  <c r="N27" i="8"/>
  <c r="H31" i="17"/>
  <c r="N27" i="17"/>
  <c r="H113" i="21"/>
  <c r="J109" i="21"/>
  <c r="P121" i="27"/>
  <c r="X55" i="27"/>
  <c r="Z55" i="27" s="1"/>
  <c r="P81" i="58"/>
  <c r="X77" i="58"/>
  <c r="Z77" i="58" s="1"/>
  <c r="H95" i="79"/>
  <c r="D112" i="24"/>
  <c r="L108" i="24"/>
  <c r="L27" i="28"/>
  <c r="D31" i="28"/>
  <c r="L27" i="22"/>
  <c r="P132" i="36"/>
  <c r="X128" i="36"/>
  <c r="Z128" i="36" s="1"/>
  <c r="R128" i="36"/>
  <c r="D130" i="39"/>
  <c r="L32" i="39"/>
  <c r="N32" i="39" s="1"/>
  <c r="P31" i="50"/>
  <c r="X27" i="50"/>
  <c r="D71" i="65"/>
  <c r="L67" i="65"/>
  <c r="H112" i="62"/>
  <c r="H124" i="66"/>
  <c r="J120" i="66"/>
  <c r="P31" i="32"/>
  <c r="X27" i="32"/>
  <c r="D36" i="40"/>
  <c r="X27" i="43"/>
  <c r="P31" i="43"/>
  <c r="D31" i="46"/>
  <c r="L27" i="46"/>
  <c r="T92" i="70"/>
  <c r="V89" i="70"/>
  <c r="D93" i="81"/>
  <c r="L89" i="81"/>
  <c r="N89" i="81" s="1"/>
  <c r="P31" i="53"/>
  <c r="X27" i="53"/>
  <c r="T31" i="46"/>
  <c r="Z27" i="46"/>
  <c r="D75" i="59"/>
  <c r="L71" i="59"/>
  <c r="N71" i="59" s="1"/>
  <c r="P79" i="73"/>
  <c r="X22" i="73"/>
  <c r="Z22" i="73" s="1"/>
  <c r="H83" i="84"/>
  <c r="N27" i="37"/>
  <c r="H31" i="37"/>
  <c r="T67" i="63"/>
  <c r="Z63" i="63"/>
  <c r="X63" i="63"/>
  <c r="L90" i="76"/>
  <c r="N90" i="76" s="1"/>
  <c r="H93" i="86"/>
  <c r="Z27" i="29"/>
  <c r="T31" i="29"/>
  <c r="R82" i="30"/>
  <c r="X27" i="19"/>
  <c r="D31" i="49"/>
  <c r="L27" i="49"/>
  <c r="D36" i="72"/>
  <c r="L32" i="72"/>
  <c r="H95" i="92"/>
  <c r="H108" i="9"/>
  <c r="N104" i="9"/>
  <c r="T31" i="50"/>
  <c r="Z27" i="50"/>
  <c r="T113" i="71"/>
  <c r="V109" i="71"/>
  <c r="P39" i="72"/>
  <c r="T95" i="79"/>
  <c r="J83" i="97"/>
  <c r="H36" i="99"/>
  <c r="N36" i="99" s="1"/>
  <c r="N31" i="99"/>
  <c r="X27" i="16"/>
  <c r="P31" i="16"/>
  <c r="T38" i="55"/>
  <c r="Z34" i="55"/>
  <c r="H67" i="63"/>
  <c r="N63" i="63"/>
  <c r="Z70" i="74"/>
  <c r="T74" i="74"/>
  <c r="L27" i="26"/>
  <c r="D31" i="26"/>
  <c r="T31" i="13"/>
  <c r="Z27" i="13"/>
  <c r="D36" i="22"/>
  <c r="F32" i="39"/>
  <c r="T134" i="77"/>
  <c r="V130" i="77"/>
  <c r="D32" i="87"/>
  <c r="L28" i="87"/>
  <c r="F28" i="87"/>
  <c r="N37" i="89"/>
  <c r="T31" i="96"/>
  <c r="Z31" i="96" s="1"/>
  <c r="Z28" i="96"/>
  <c r="P111" i="9"/>
  <c r="X111" i="9" s="1"/>
  <c r="Z111" i="9" s="1"/>
  <c r="X108" i="9"/>
  <c r="Z108" i="9" s="1"/>
  <c r="Z27" i="14"/>
  <c r="T31" i="14"/>
  <c r="Z27" i="20"/>
  <c r="T31" i="20"/>
  <c r="N27" i="50"/>
  <c r="H31" i="50"/>
  <c r="H36" i="72"/>
  <c r="N32" i="72"/>
  <c r="N27" i="100"/>
  <c r="H31" i="100"/>
  <c r="T31" i="10"/>
  <c r="Z27" i="10"/>
  <c r="H137" i="39"/>
  <c r="J134" i="39"/>
  <c r="D36" i="34"/>
  <c r="L31" i="34"/>
  <c r="T36" i="53"/>
  <c r="Z36" i="53" s="1"/>
  <c r="Z31" i="53"/>
  <c r="H78" i="67"/>
  <c r="J74" i="67"/>
  <c r="L70" i="74"/>
  <c r="N70" i="74" s="1"/>
  <c r="D74" i="74"/>
  <c r="P31" i="100"/>
  <c r="X27" i="100"/>
  <c r="P238" i="15"/>
  <c r="X130" i="15"/>
  <c r="Z130" i="15" s="1"/>
  <c r="P112" i="24"/>
  <c r="X108" i="24"/>
  <c r="R108" i="24"/>
  <c r="T116" i="21"/>
  <c r="V113" i="21"/>
  <c r="N27" i="25"/>
  <c r="H31" i="25"/>
  <c r="L27" i="25"/>
  <c r="H31" i="44"/>
  <c r="N27" i="44"/>
  <c r="D97" i="76"/>
  <c r="L94" i="76"/>
  <c r="H32" i="87"/>
  <c r="N28" i="87"/>
  <c r="N27" i="10"/>
  <c r="H31" i="10"/>
  <c r="N27" i="20"/>
  <c r="H31" i="20"/>
  <c r="P36" i="19"/>
  <c r="H31" i="35"/>
  <c r="N27" i="35"/>
  <c r="T127" i="66"/>
  <c r="V124" i="66"/>
  <c r="D95" i="79"/>
  <c r="L91" i="79"/>
  <c r="N91" i="79" s="1"/>
  <c r="P31" i="11"/>
  <c r="X27" i="11"/>
  <c r="L27" i="17"/>
  <c r="D31" i="17"/>
  <c r="D238" i="15"/>
  <c r="L130" i="15"/>
  <c r="N130" i="15" s="1"/>
  <c r="L27" i="32"/>
  <c r="D31" i="32"/>
  <c r="X70" i="74"/>
  <c r="P36" i="22"/>
  <c r="X36" i="22" s="1"/>
  <c r="X31" i="22"/>
  <c r="T109" i="45"/>
  <c r="V106" i="45"/>
  <c r="D31" i="50"/>
  <c r="L27" i="50"/>
  <c r="P64" i="61"/>
  <c r="X60" i="61"/>
  <c r="Z60" i="61" s="1"/>
  <c r="X79" i="82"/>
  <c r="Z79" i="82" s="1"/>
  <c r="P83" i="82"/>
  <c r="D265" i="18"/>
  <c r="L261" i="18"/>
  <c r="N261" i="18" s="1"/>
  <c r="F261" i="18"/>
  <c r="T179" i="30"/>
  <c r="V175" i="30"/>
  <c r="X23" i="45"/>
  <c r="Z23" i="45" s="1"/>
  <c r="P102" i="45"/>
  <c r="D108" i="64"/>
  <c r="L104" i="64"/>
  <c r="N104" i="64" s="1"/>
  <c r="T39" i="80"/>
  <c r="Z281" i="3"/>
  <c r="T285" i="3"/>
  <c r="V281" i="3"/>
  <c r="L27" i="14"/>
  <c r="D31" i="14"/>
  <c r="P31" i="20"/>
  <c r="X27" i="20"/>
  <c r="H132" i="36"/>
  <c r="J128" i="36"/>
  <c r="T132" i="36"/>
  <c r="V128" i="36"/>
  <c r="T64" i="61"/>
  <c r="D89" i="70"/>
  <c r="L85" i="70"/>
  <c r="N85" i="70" s="1"/>
  <c r="F85" i="70"/>
  <c r="D36" i="7"/>
  <c r="L36" i="7" s="1"/>
  <c r="L31" i="7"/>
  <c r="T116" i="51"/>
  <c r="V113" i="51"/>
  <c r="D84" i="56"/>
  <c r="L80" i="56"/>
  <c r="N80" i="56" s="1"/>
  <c r="D108" i="9"/>
  <c r="L104" i="9"/>
  <c r="X27" i="7"/>
  <c r="P31" i="7"/>
  <c r="N27" i="23"/>
  <c r="H31" i="23"/>
  <c r="L27" i="23"/>
  <c r="D128" i="36"/>
  <c r="L28" i="36"/>
  <c r="N28" i="36" s="1"/>
  <c r="F28" i="36"/>
  <c r="Z27" i="38"/>
  <c r="T31" i="38"/>
  <c r="T26" i="54"/>
  <c r="Z22" i="54"/>
  <c r="X22" i="54"/>
  <c r="H84" i="58"/>
  <c r="T163" i="69"/>
  <c r="V160" i="69"/>
  <c r="P91" i="79"/>
  <c r="X20" i="79"/>
  <c r="Z108" i="24"/>
  <c r="T112" i="24"/>
  <c r="V108" i="24"/>
  <c r="N27" i="46"/>
  <c r="H31" i="46"/>
  <c r="P31" i="52"/>
  <c r="X27" i="52"/>
  <c r="X21" i="76"/>
  <c r="Z21" i="76" s="1"/>
  <c r="P90" i="76"/>
  <c r="D84" i="83"/>
  <c r="L80" i="83"/>
  <c r="T80" i="97"/>
  <c r="V76" i="97"/>
  <c r="P134" i="77"/>
  <c r="X130" i="77"/>
  <c r="Z130" i="77" s="1"/>
  <c r="R130" i="77"/>
  <c r="D31" i="98"/>
  <c r="L27" i="98"/>
  <c r="Z130" i="39"/>
  <c r="T134" i="39"/>
  <c r="V130" i="39"/>
  <c r="X74" i="57"/>
  <c r="Z74" i="57" s="1"/>
  <c r="P78" i="57"/>
  <c r="P77" i="74"/>
  <c r="X74" i="74"/>
  <c r="H86" i="82"/>
  <c r="D62" i="88"/>
  <c r="L58" i="88"/>
  <c r="N58" i="88" s="1"/>
  <c r="D36" i="100"/>
  <c r="L31" i="100"/>
  <c r="Z27" i="17"/>
  <c r="T31" i="17"/>
  <c r="X31" i="17" s="1"/>
  <c r="X27" i="21"/>
  <c r="Z27" i="21" s="1"/>
  <c r="P109" i="21"/>
  <c r="D31" i="5"/>
  <c r="L27" i="5"/>
  <c r="H179" i="30"/>
  <c r="J175" i="30"/>
  <c r="L23" i="45"/>
  <c r="D102" i="45"/>
  <c r="T31" i="49"/>
  <c r="Z27" i="49"/>
  <c r="L27" i="16"/>
  <c r="D31" i="16"/>
  <c r="L55" i="27"/>
  <c r="N55" i="27" s="1"/>
  <c r="D121" i="27"/>
  <c r="N27" i="19"/>
  <c r="H31" i="19"/>
  <c r="H36" i="38"/>
  <c r="N36" i="38" s="1"/>
  <c r="N31" i="38"/>
  <c r="T78" i="57"/>
  <c r="H66" i="60"/>
  <c r="N63" i="60"/>
  <c r="P109" i="51"/>
  <c r="X50" i="51"/>
  <c r="Z50" i="51" s="1"/>
  <c r="D93" i="86"/>
  <c r="L90" i="86"/>
  <c r="N90" i="86" s="1"/>
  <c r="D31" i="10"/>
  <c r="L27" i="10"/>
  <c r="Z27" i="16"/>
  <c r="T31" i="16"/>
  <c r="H112" i="24"/>
  <c r="N108" i="24"/>
  <c r="J108" i="24"/>
  <c r="Z27" i="31"/>
  <c r="T31" i="31"/>
  <c r="X27" i="31"/>
  <c r="H64" i="61"/>
  <c r="N60" i="61"/>
  <c r="X80" i="83"/>
  <c r="Z80" i="83" s="1"/>
  <c r="P84" i="83"/>
  <c r="T90" i="86"/>
  <c r="P31" i="99"/>
  <c r="X27" i="99"/>
  <c r="L38" i="55"/>
  <c r="N38" i="55" s="1"/>
  <c r="T84" i="56"/>
  <c r="D109" i="51"/>
  <c r="L50" i="51"/>
  <c r="N50" i="51" s="1"/>
  <c r="H77" i="74"/>
  <c r="H249" i="12"/>
  <c r="J245" i="12"/>
  <c r="X27" i="28"/>
  <c r="P31" i="28"/>
  <c r="X88" i="33"/>
  <c r="Z88" i="33" s="1"/>
  <c r="P92" i="33"/>
  <c r="R88" i="33"/>
  <c r="D84" i="58"/>
  <c r="L84" i="58" s="1"/>
  <c r="L81" i="58"/>
  <c r="N81" i="58" s="1"/>
  <c r="Z32" i="72"/>
  <c r="T36" i="72"/>
  <c r="X36" i="72" s="1"/>
  <c r="P98" i="94"/>
  <c r="X23" i="94"/>
  <c r="Z23" i="94" s="1"/>
  <c r="P249" i="12"/>
  <c r="X245" i="12"/>
  <c r="Z245" i="12" s="1"/>
  <c r="R245" i="12"/>
  <c r="Z27" i="52"/>
  <c r="T31" i="52"/>
  <c r="X71" i="59"/>
  <c r="Z71" i="59" s="1"/>
  <c r="X54" i="66"/>
  <c r="Z54" i="66" s="1"/>
  <c r="P120" i="66"/>
  <c r="L79" i="82"/>
  <c r="N79" i="82" s="1"/>
  <c r="D83" i="82"/>
  <c r="L27" i="100"/>
  <c r="X36" i="5" l="1"/>
  <c r="L31" i="53"/>
  <c r="L36" i="53"/>
  <c r="T36" i="100"/>
  <c r="Z36" i="100" s="1"/>
  <c r="Z31" i="100"/>
  <c r="L36" i="34"/>
  <c r="T36" i="34"/>
  <c r="Z36" i="34" s="1"/>
  <c r="Z31" i="34"/>
  <c r="H252" i="12"/>
  <c r="J249" i="12"/>
  <c r="T115" i="24"/>
  <c r="V112" i="24"/>
  <c r="J137" i="39"/>
  <c r="H86" i="84"/>
  <c r="P252" i="12"/>
  <c r="X249" i="12"/>
  <c r="Z249" i="12" s="1"/>
  <c r="R249" i="12"/>
  <c r="X31" i="99"/>
  <c r="P36" i="99"/>
  <c r="X36" i="99" s="1"/>
  <c r="T36" i="31"/>
  <c r="Z31" i="31"/>
  <c r="X31" i="31"/>
  <c r="D36" i="10"/>
  <c r="L31" i="10"/>
  <c r="T81" i="57"/>
  <c r="D36" i="16"/>
  <c r="L31" i="16"/>
  <c r="H182" i="30"/>
  <c r="J179" i="30"/>
  <c r="X90" i="76"/>
  <c r="Z90" i="76" s="1"/>
  <c r="P94" i="76"/>
  <c r="N84" i="58"/>
  <c r="D132" i="36"/>
  <c r="L128" i="36"/>
  <c r="N128" i="36" s="1"/>
  <c r="F128" i="36"/>
  <c r="P242" i="15"/>
  <c r="X238" i="15"/>
  <c r="Z238" i="15" s="1"/>
  <c r="R238" i="15"/>
  <c r="J78" i="67"/>
  <c r="H81" i="67"/>
  <c r="T36" i="20"/>
  <c r="Z36" i="20" s="1"/>
  <c r="Z31" i="20"/>
  <c r="D39" i="72"/>
  <c r="L36" i="72"/>
  <c r="P36" i="53"/>
  <c r="X36" i="53" s="1"/>
  <c r="X31" i="53"/>
  <c r="D36" i="46"/>
  <c r="L31" i="46"/>
  <c r="H36" i="8"/>
  <c r="N36" i="8" s="1"/>
  <c r="N31" i="8"/>
  <c r="P36" i="41"/>
  <c r="X36" i="41" s="1"/>
  <c r="X31" i="41"/>
  <c r="T245" i="15"/>
  <c r="V242" i="15"/>
  <c r="T78" i="59"/>
  <c r="H93" i="95"/>
  <c r="D179" i="30"/>
  <c r="L175" i="30"/>
  <c r="N175" i="30" s="1"/>
  <c r="F175" i="30"/>
  <c r="H74" i="65"/>
  <c r="N74" i="65" s="1"/>
  <c r="N71" i="65"/>
  <c r="N41" i="55"/>
  <c r="D36" i="37"/>
  <c r="L31" i="37"/>
  <c r="T95" i="33"/>
  <c r="V92" i="33"/>
  <c r="H116" i="71"/>
  <c r="J113" i="71"/>
  <c r="H36" i="29"/>
  <c r="N36" i="29" s="1"/>
  <c r="N31" i="29"/>
  <c r="Z26" i="6"/>
  <c r="T31" i="6"/>
  <c r="P36" i="35"/>
  <c r="X36" i="35" s="1"/>
  <c r="X31" i="35"/>
  <c r="P86" i="84"/>
  <c r="X83" i="84"/>
  <c r="R83" i="84"/>
  <c r="H36" i="31"/>
  <c r="N36" i="31" s="1"/>
  <c r="N31" i="31"/>
  <c r="P90" i="86"/>
  <c r="X86" i="86"/>
  <c r="Z86" i="86" s="1"/>
  <c r="H36" i="43"/>
  <c r="N36" i="43" s="1"/>
  <c r="N31" i="43"/>
  <c r="P95" i="92"/>
  <c r="X91" i="92"/>
  <c r="Z91" i="92" s="1"/>
  <c r="R91" i="92"/>
  <c r="D67" i="61"/>
  <c r="L64" i="61"/>
  <c r="N64" i="61" s="1"/>
  <c r="J163" i="69"/>
  <c r="D87" i="83"/>
  <c r="L84" i="83"/>
  <c r="D111" i="9"/>
  <c r="L108" i="9"/>
  <c r="H36" i="25"/>
  <c r="N31" i="25"/>
  <c r="L31" i="25"/>
  <c r="T116" i="71"/>
  <c r="V113" i="71"/>
  <c r="D163" i="69"/>
  <c r="L160" i="69"/>
  <c r="N160" i="69" s="1"/>
  <c r="F160" i="69"/>
  <c r="X120" i="66"/>
  <c r="Z120" i="66" s="1"/>
  <c r="P124" i="66"/>
  <c r="R120" i="66"/>
  <c r="D87" i="56"/>
  <c r="L87" i="56" s="1"/>
  <c r="N87" i="56" s="1"/>
  <c r="L84" i="56"/>
  <c r="N84" i="56" s="1"/>
  <c r="D92" i="70"/>
  <c r="L89" i="70"/>
  <c r="F89" i="70"/>
  <c r="H135" i="36"/>
  <c r="J132" i="36"/>
  <c r="T182" i="30"/>
  <c r="V179" i="30"/>
  <c r="P67" i="61"/>
  <c r="X64" i="61"/>
  <c r="P36" i="11"/>
  <c r="X31" i="11"/>
  <c r="N31" i="35"/>
  <c r="H36" i="35"/>
  <c r="N36" i="35" s="1"/>
  <c r="H35" i="87"/>
  <c r="N35" i="87" s="1"/>
  <c r="N32" i="87"/>
  <c r="T36" i="10"/>
  <c r="Z36" i="10" s="1"/>
  <c r="Z31" i="10"/>
  <c r="H70" i="63"/>
  <c r="N70" i="63" s="1"/>
  <c r="N67" i="63"/>
  <c r="P36" i="43"/>
  <c r="X31" i="43"/>
  <c r="H127" i="66"/>
  <c r="J124" i="66"/>
  <c r="D134" i="39"/>
  <c r="L130" i="39"/>
  <c r="N130" i="39" s="1"/>
  <c r="F130" i="39"/>
  <c r="D115" i="24"/>
  <c r="L112" i="24"/>
  <c r="P125" i="27"/>
  <c r="X121" i="27"/>
  <c r="Z121" i="27" s="1"/>
  <c r="R121" i="27"/>
  <c r="P31" i="6"/>
  <c r="X31" i="6" s="1"/>
  <c r="X26" i="6"/>
  <c r="J116" i="51"/>
  <c r="X76" i="97"/>
  <c r="Z76" i="97" s="1"/>
  <c r="P80" i="97"/>
  <c r="R76" i="97"/>
  <c r="P36" i="13"/>
  <c r="X31" i="13"/>
  <c r="P66" i="60"/>
  <c r="X66" i="60" s="1"/>
  <c r="X63" i="60"/>
  <c r="Z63" i="60" s="1"/>
  <c r="D36" i="44"/>
  <c r="L31" i="44"/>
  <c r="P108" i="64"/>
  <c r="X104" i="64"/>
  <c r="Z104" i="64" s="1"/>
  <c r="R104" i="64"/>
  <c r="D252" i="12"/>
  <c r="L249" i="12"/>
  <c r="N249" i="12" s="1"/>
  <c r="F249" i="12"/>
  <c r="D80" i="97"/>
  <c r="L76" i="97"/>
  <c r="N76" i="97" s="1"/>
  <c r="F76" i="97"/>
  <c r="P36" i="98"/>
  <c r="X31" i="98"/>
  <c r="D134" i="77"/>
  <c r="L130" i="77"/>
  <c r="N130" i="77" s="1"/>
  <c r="F130" i="77"/>
  <c r="H290" i="3"/>
  <c r="J285" i="3"/>
  <c r="L78" i="67"/>
  <c r="N78" i="67" s="1"/>
  <c r="D81" i="67"/>
  <c r="H245" i="15"/>
  <c r="J242" i="15"/>
  <c r="P37" i="89"/>
  <c r="X37" i="89" s="1"/>
  <c r="Z37" i="89" s="1"/>
  <c r="X34" i="89"/>
  <c r="Z34" i="89" s="1"/>
  <c r="N31" i="16"/>
  <c r="H36" i="16"/>
  <c r="N36" i="16" s="1"/>
  <c r="P36" i="37"/>
  <c r="X31" i="37"/>
  <c r="H65" i="91"/>
  <c r="P36" i="34"/>
  <c r="X31" i="34"/>
  <c r="L109" i="71"/>
  <c r="N109" i="71" s="1"/>
  <c r="D113" i="71"/>
  <c r="F109" i="71"/>
  <c r="N31" i="14"/>
  <c r="H36" i="14"/>
  <c r="N36" i="14" s="1"/>
  <c r="X86" i="95"/>
  <c r="Z86" i="95" s="1"/>
  <c r="P90" i="95"/>
  <c r="X78" i="57"/>
  <c r="Z78" i="57" s="1"/>
  <c r="P81" i="57"/>
  <c r="X81" i="57" s="1"/>
  <c r="T290" i="3"/>
  <c r="V285" i="3"/>
  <c r="P36" i="50"/>
  <c r="X31" i="50"/>
  <c r="P95" i="33"/>
  <c r="X92" i="33"/>
  <c r="Z92" i="33" s="1"/>
  <c r="R92" i="33"/>
  <c r="P137" i="77"/>
  <c r="X134" i="77"/>
  <c r="R134" i="77"/>
  <c r="P102" i="94"/>
  <c r="X98" i="94"/>
  <c r="Z98" i="94" s="1"/>
  <c r="R98" i="94"/>
  <c r="T93" i="86"/>
  <c r="L93" i="86"/>
  <c r="N93" i="86" s="1"/>
  <c r="D36" i="5"/>
  <c r="L36" i="5" s="1"/>
  <c r="L31" i="5"/>
  <c r="D65" i="88"/>
  <c r="L65" i="88" s="1"/>
  <c r="N65" i="88" s="1"/>
  <c r="L62" i="88"/>
  <c r="N62" i="88" s="1"/>
  <c r="H36" i="23"/>
  <c r="N31" i="23"/>
  <c r="L31" i="23"/>
  <c r="D36" i="32"/>
  <c r="L36" i="32" s="1"/>
  <c r="L31" i="32"/>
  <c r="P36" i="100"/>
  <c r="X36" i="100" s="1"/>
  <c r="X31" i="100"/>
  <c r="H36" i="100"/>
  <c r="N36" i="100" s="1"/>
  <c r="N31" i="100"/>
  <c r="T36" i="14"/>
  <c r="Z36" i="14" s="1"/>
  <c r="Z31" i="14"/>
  <c r="T36" i="50"/>
  <c r="Z36" i="50" s="1"/>
  <c r="Z31" i="50"/>
  <c r="D36" i="49"/>
  <c r="L31" i="49"/>
  <c r="P83" i="73"/>
  <c r="X79" i="73"/>
  <c r="Z79" i="73" s="1"/>
  <c r="R79" i="73"/>
  <c r="D31" i="96"/>
  <c r="L28" i="96"/>
  <c r="P36" i="29"/>
  <c r="X31" i="29"/>
  <c r="H107" i="85"/>
  <c r="J104" i="85"/>
  <c r="D36" i="99"/>
  <c r="L36" i="99" s="1"/>
  <c r="L31" i="99"/>
  <c r="T36" i="37"/>
  <c r="Z36" i="37" s="1"/>
  <c r="Z31" i="37"/>
  <c r="P47" i="90"/>
  <c r="X44" i="90"/>
  <c r="H36" i="49"/>
  <c r="N36" i="49" s="1"/>
  <c r="N31" i="49"/>
  <c r="H96" i="81"/>
  <c r="T128" i="27"/>
  <c r="V125" i="27"/>
  <c r="D80" i="48"/>
  <c r="L76" i="48"/>
  <c r="N76" i="48" s="1"/>
  <c r="F76" i="48"/>
  <c r="N84" i="83"/>
  <c r="H87" i="83"/>
  <c r="L90" i="95"/>
  <c r="N90" i="95" s="1"/>
  <c r="D93" i="95"/>
  <c r="L93" i="95" s="1"/>
  <c r="Z28" i="93"/>
  <c r="T31" i="93"/>
  <c r="Z31" i="93" s="1"/>
  <c r="P78" i="67"/>
  <c r="X74" i="67"/>
  <c r="Z74" i="67" s="1"/>
  <c r="V93" i="95"/>
  <c r="T268" i="18"/>
  <c r="V265" i="18"/>
  <c r="P87" i="56"/>
  <c r="X84" i="56"/>
  <c r="L31" i="43"/>
  <c r="D36" i="43"/>
  <c r="R83" i="48"/>
  <c r="P36" i="52"/>
  <c r="X31" i="52"/>
  <c r="D53" i="75"/>
  <c r="L49" i="75"/>
  <c r="N49" i="75" s="1"/>
  <c r="F49" i="75"/>
  <c r="P31" i="96"/>
  <c r="X31" i="96" s="1"/>
  <c r="X28" i="96"/>
  <c r="T83" i="48"/>
  <c r="X83" i="48" s="1"/>
  <c r="V80" i="48"/>
  <c r="P65" i="88"/>
  <c r="X65" i="88" s="1"/>
  <c r="Z65" i="88" s="1"/>
  <c r="X62" i="88"/>
  <c r="Z62" i="88" s="1"/>
  <c r="P31" i="93"/>
  <c r="X31" i="93" s="1"/>
  <c r="X28" i="93"/>
  <c r="H128" i="27"/>
  <c r="J125" i="27"/>
  <c r="P53" i="75"/>
  <c r="X49" i="75"/>
  <c r="Z49" i="75" s="1"/>
  <c r="R49" i="75"/>
  <c r="D124" i="66"/>
  <c r="L120" i="66"/>
  <c r="N120" i="66" s="1"/>
  <c r="F120" i="66"/>
  <c r="D36" i="35"/>
  <c r="L31" i="35"/>
  <c r="X109" i="71"/>
  <c r="Z109" i="71" s="1"/>
  <c r="P113" i="71"/>
  <c r="R109" i="71"/>
  <c r="H268" i="18"/>
  <c r="J265" i="18"/>
  <c r="P36" i="23"/>
  <c r="X36" i="23" s="1"/>
  <c r="X31" i="23"/>
  <c r="Z31" i="43"/>
  <c r="T36" i="43"/>
  <c r="Z36" i="43" s="1"/>
  <c r="D36" i="11"/>
  <c r="L36" i="11" s="1"/>
  <c r="L31" i="11"/>
  <c r="P41" i="55"/>
  <c r="X41" i="55" s="1"/>
  <c r="X38" i="55"/>
  <c r="T252" i="12"/>
  <c r="V249" i="12"/>
  <c r="J111" i="64"/>
  <c r="T65" i="91"/>
  <c r="X62" i="91"/>
  <c r="Z62" i="91" s="1"/>
  <c r="D31" i="6"/>
  <c r="L31" i="6" s="1"/>
  <c r="L26" i="6"/>
  <c r="Z31" i="98"/>
  <c r="T36" i="98"/>
  <c r="Z36" i="98" s="1"/>
  <c r="P89" i="70"/>
  <c r="X85" i="70"/>
  <c r="Z85" i="70" s="1"/>
  <c r="R85" i="70"/>
  <c r="T130" i="42"/>
  <c r="V127" i="42"/>
  <c r="D107" i="85"/>
  <c r="L104" i="85"/>
  <c r="N104" i="85" s="1"/>
  <c r="F104" i="85"/>
  <c r="X80" i="48"/>
  <c r="Z80" i="48" s="1"/>
  <c r="D113" i="51"/>
  <c r="L109" i="51"/>
  <c r="N109" i="51" s="1"/>
  <c r="F109" i="51"/>
  <c r="P113" i="21"/>
  <c r="X109" i="21"/>
  <c r="Z109" i="21" s="1"/>
  <c r="R109" i="21"/>
  <c r="P95" i="79"/>
  <c r="X91" i="79"/>
  <c r="Z91" i="79" s="1"/>
  <c r="T67" i="61"/>
  <c r="Z64" i="61"/>
  <c r="D36" i="50"/>
  <c r="L31" i="50"/>
  <c r="V116" i="21"/>
  <c r="T41" i="55"/>
  <c r="Z38" i="55"/>
  <c r="T36" i="52"/>
  <c r="Z36" i="52" s="1"/>
  <c r="Z31" i="52"/>
  <c r="H115" i="24"/>
  <c r="N112" i="24"/>
  <c r="J112" i="24"/>
  <c r="H36" i="19"/>
  <c r="N36" i="19" s="1"/>
  <c r="N31" i="19"/>
  <c r="L102" i="45"/>
  <c r="N102" i="45" s="1"/>
  <c r="D106" i="45"/>
  <c r="F102" i="45"/>
  <c r="T83" i="97"/>
  <c r="V80" i="97"/>
  <c r="H36" i="46"/>
  <c r="N36" i="46" s="1"/>
  <c r="N31" i="46"/>
  <c r="T36" i="38"/>
  <c r="Z36" i="38" s="1"/>
  <c r="Z31" i="38"/>
  <c r="P36" i="7"/>
  <c r="X36" i="7" s="1"/>
  <c r="X31" i="7"/>
  <c r="V116" i="51"/>
  <c r="D36" i="14"/>
  <c r="L36" i="14" s="1"/>
  <c r="L31" i="14"/>
  <c r="D111" i="64"/>
  <c r="L111" i="64" s="1"/>
  <c r="N111" i="64" s="1"/>
  <c r="L108" i="64"/>
  <c r="N108" i="64" s="1"/>
  <c r="D98" i="79"/>
  <c r="L95" i="79"/>
  <c r="H36" i="20"/>
  <c r="N36" i="20" s="1"/>
  <c r="N31" i="20"/>
  <c r="D77" i="74"/>
  <c r="L77" i="74" s="1"/>
  <c r="N77" i="74" s="1"/>
  <c r="L74" i="74"/>
  <c r="N74" i="74" s="1"/>
  <c r="D36" i="26"/>
  <c r="L31" i="26"/>
  <c r="P36" i="16"/>
  <c r="X31" i="16"/>
  <c r="H111" i="9"/>
  <c r="N108" i="9"/>
  <c r="Z67" i="63"/>
  <c r="T70" i="63"/>
  <c r="X67" i="63"/>
  <c r="D78" i="59"/>
  <c r="L75" i="59"/>
  <c r="P135" i="36"/>
  <c r="X132" i="36"/>
  <c r="R132" i="36"/>
  <c r="H116" i="21"/>
  <c r="J113" i="21"/>
  <c r="D86" i="84"/>
  <c r="L83" i="84"/>
  <c r="N83" i="84" s="1"/>
  <c r="X28" i="87"/>
  <c r="P32" i="87"/>
  <c r="R28" i="87"/>
  <c r="T36" i="8"/>
  <c r="Z36" i="8" s="1"/>
  <c r="Z31" i="8"/>
  <c r="H56" i="75"/>
  <c r="J53" i="75"/>
  <c r="L67" i="63"/>
  <c r="D70" i="63"/>
  <c r="L70" i="63" s="1"/>
  <c r="N28" i="96"/>
  <c r="H31" i="96"/>
  <c r="N31" i="96" s="1"/>
  <c r="Z36" i="40"/>
  <c r="X36" i="40"/>
  <c r="Z44" i="90"/>
  <c r="T47" i="90"/>
  <c r="T36" i="19"/>
  <c r="Z36" i="19" s="1"/>
  <c r="Z31" i="19"/>
  <c r="V98" i="92"/>
  <c r="T36" i="44"/>
  <c r="Z31" i="44"/>
  <c r="X31" i="44"/>
  <c r="L66" i="60"/>
  <c r="N66" i="60" s="1"/>
  <c r="V97" i="76"/>
  <c r="P36" i="14"/>
  <c r="X31" i="14"/>
  <c r="T111" i="64"/>
  <c r="V108" i="64"/>
  <c r="D92" i="33"/>
  <c r="L88" i="33"/>
  <c r="N88" i="33" s="1"/>
  <c r="F88" i="33"/>
  <c r="D31" i="54"/>
  <c r="L31" i="54" s="1"/>
  <c r="N31" i="54" s="1"/>
  <c r="L26" i="54"/>
  <c r="H47" i="90"/>
  <c r="N44" i="90"/>
  <c r="D36" i="31"/>
  <c r="L31" i="31"/>
  <c r="H105" i="94"/>
  <c r="J130" i="42"/>
  <c r="H36" i="13"/>
  <c r="N36" i="13" s="1"/>
  <c r="N31" i="13"/>
  <c r="D36" i="19"/>
  <c r="L31" i="19"/>
  <c r="T39" i="72"/>
  <c r="Z39" i="72" s="1"/>
  <c r="Z36" i="72"/>
  <c r="P87" i="83"/>
  <c r="X84" i="83"/>
  <c r="P36" i="20"/>
  <c r="X31" i="20"/>
  <c r="D35" i="87"/>
  <c r="L32" i="87"/>
  <c r="F32" i="87"/>
  <c r="T98" i="79"/>
  <c r="D96" i="81"/>
  <c r="L96" i="81" s="1"/>
  <c r="L93" i="81"/>
  <c r="N93" i="81" s="1"/>
  <c r="N95" i="79"/>
  <c r="H98" i="79"/>
  <c r="D290" i="3"/>
  <c r="L285" i="3"/>
  <c r="N285" i="3" s="1"/>
  <c r="F285" i="3"/>
  <c r="P36" i="26"/>
  <c r="X31" i="26"/>
  <c r="P113" i="51"/>
  <c r="X109" i="51"/>
  <c r="Z109" i="51" s="1"/>
  <c r="R109" i="51"/>
  <c r="P106" i="45"/>
  <c r="X102" i="45"/>
  <c r="Z102" i="45" s="1"/>
  <c r="R102" i="45"/>
  <c r="D268" i="18"/>
  <c r="L265" i="18"/>
  <c r="N265" i="18" s="1"/>
  <c r="F265" i="18"/>
  <c r="D242" i="15"/>
  <c r="L238" i="15"/>
  <c r="N238" i="15" s="1"/>
  <c r="F238" i="15"/>
  <c r="N31" i="44"/>
  <c r="H36" i="44"/>
  <c r="N36" i="44" s="1"/>
  <c r="H39" i="72"/>
  <c r="N39" i="72" s="1"/>
  <c r="N36" i="72"/>
  <c r="T137" i="77"/>
  <c r="Z134" i="77"/>
  <c r="V134" i="77"/>
  <c r="Z31" i="29"/>
  <c r="T36" i="29"/>
  <c r="Z36" i="29" s="1"/>
  <c r="N31" i="37"/>
  <c r="H36" i="37"/>
  <c r="N36" i="37" s="1"/>
  <c r="D74" i="65"/>
  <c r="L74" i="65" s="1"/>
  <c r="L71" i="65"/>
  <c r="P84" i="58"/>
  <c r="X84" i="58" s="1"/>
  <c r="X81" i="58"/>
  <c r="Z81" i="58" s="1"/>
  <c r="P137" i="39"/>
  <c r="X134" i="39"/>
  <c r="R134" i="39"/>
  <c r="D127" i="42"/>
  <c r="L123" i="42"/>
  <c r="N123" i="42" s="1"/>
  <c r="F123" i="42"/>
  <c r="P39" i="80"/>
  <c r="X39" i="80" s="1"/>
  <c r="Z39" i="80" s="1"/>
  <c r="X36" i="80"/>
  <c r="Z36" i="80" s="1"/>
  <c r="H36" i="41"/>
  <c r="N31" i="41"/>
  <c r="L31" i="41"/>
  <c r="L36" i="38"/>
  <c r="T36" i="11"/>
  <c r="Z36" i="11" s="1"/>
  <c r="Z31" i="11"/>
  <c r="N39" i="80"/>
  <c r="T36" i="32"/>
  <c r="Z36" i="32" s="1"/>
  <c r="Z31" i="32"/>
  <c r="H36" i="26"/>
  <c r="N36" i="26" s="1"/>
  <c r="N31" i="26"/>
  <c r="V105" i="94"/>
  <c r="D83" i="73"/>
  <c r="L79" i="73"/>
  <c r="N79" i="73" s="1"/>
  <c r="T36" i="26"/>
  <c r="Z36" i="26" s="1"/>
  <c r="Z31" i="26"/>
  <c r="D31" i="93"/>
  <c r="L31" i="93" s="1"/>
  <c r="L28" i="93"/>
  <c r="P104" i="85"/>
  <c r="X100" i="85"/>
  <c r="Z100" i="85" s="1"/>
  <c r="R100" i="85"/>
  <c r="X75" i="59"/>
  <c r="Z75" i="59" s="1"/>
  <c r="V107" i="85"/>
  <c r="H86" i="73"/>
  <c r="P36" i="28"/>
  <c r="X36" i="28" s="1"/>
  <c r="X31" i="28"/>
  <c r="T36" i="49"/>
  <c r="Z36" i="49" s="1"/>
  <c r="Z31" i="49"/>
  <c r="Z134" i="39"/>
  <c r="T137" i="39"/>
  <c r="V134" i="39"/>
  <c r="T31" i="54"/>
  <c r="Z26" i="54"/>
  <c r="X26" i="54"/>
  <c r="T36" i="13"/>
  <c r="Z36" i="13" s="1"/>
  <c r="Z31" i="13"/>
  <c r="L91" i="92"/>
  <c r="N91" i="92" s="1"/>
  <c r="D95" i="92"/>
  <c r="D86" i="82"/>
  <c r="L86" i="82" s="1"/>
  <c r="N86" i="82" s="1"/>
  <c r="L83" i="82"/>
  <c r="N83" i="82" s="1"/>
  <c r="T87" i="56"/>
  <c r="Z84" i="56"/>
  <c r="T36" i="16"/>
  <c r="Z36" i="16" s="1"/>
  <c r="Z31" i="16"/>
  <c r="T36" i="17"/>
  <c r="Z36" i="17" s="1"/>
  <c r="Z31" i="17"/>
  <c r="H67" i="61"/>
  <c r="L121" i="27"/>
  <c r="N121" i="27" s="1"/>
  <c r="D125" i="27"/>
  <c r="F121" i="27"/>
  <c r="X77" i="74"/>
  <c r="L31" i="98"/>
  <c r="D36" i="98"/>
  <c r="V163" i="69"/>
  <c r="T135" i="36"/>
  <c r="Z132" i="36"/>
  <c r="V132" i="36"/>
  <c r="X83" i="82"/>
  <c r="Z83" i="82" s="1"/>
  <c r="P86" i="82"/>
  <c r="X86" i="82" s="1"/>
  <c r="Z86" i="82" s="1"/>
  <c r="V109" i="45"/>
  <c r="D36" i="17"/>
  <c r="L31" i="17"/>
  <c r="V127" i="66"/>
  <c r="H36" i="10"/>
  <c r="N36" i="10" s="1"/>
  <c r="N31" i="10"/>
  <c r="P115" i="24"/>
  <c r="X112" i="24"/>
  <c r="Z112" i="24" s="1"/>
  <c r="R112" i="24"/>
  <c r="H36" i="50"/>
  <c r="N36" i="50" s="1"/>
  <c r="N31" i="50"/>
  <c r="T77" i="74"/>
  <c r="Z74" i="74"/>
  <c r="H98" i="92"/>
  <c r="Z31" i="46"/>
  <c r="T36" i="46"/>
  <c r="Z36" i="46" s="1"/>
  <c r="V92" i="70"/>
  <c r="P36" i="32"/>
  <c r="X31" i="32"/>
  <c r="D36" i="28"/>
  <c r="L36" i="28" s="1"/>
  <c r="L31" i="28"/>
  <c r="H36" i="17"/>
  <c r="N36" i="17" s="1"/>
  <c r="N31" i="17"/>
  <c r="P38" i="78"/>
  <c r="X35" i="78"/>
  <c r="Z35" i="78" s="1"/>
  <c r="R35" i="78"/>
  <c r="P36" i="8"/>
  <c r="X31" i="8"/>
  <c r="P265" i="18"/>
  <c r="X261" i="18"/>
  <c r="Z261" i="18" s="1"/>
  <c r="R261" i="18"/>
  <c r="D81" i="57"/>
  <c r="L81" i="57" s="1"/>
  <c r="N81" i="57" s="1"/>
  <c r="L78" i="57"/>
  <c r="N78" i="57" s="1"/>
  <c r="L112" i="62"/>
  <c r="N112" i="62" s="1"/>
  <c r="D36" i="4"/>
  <c r="L31" i="4"/>
  <c r="P36" i="49"/>
  <c r="X31" i="49"/>
  <c r="H36" i="4"/>
  <c r="N36" i="4" s="1"/>
  <c r="N31" i="4"/>
  <c r="X31" i="46"/>
  <c r="D36" i="20"/>
  <c r="L31" i="20"/>
  <c r="P290" i="3"/>
  <c r="X285" i="3"/>
  <c r="Z285" i="3" s="1"/>
  <c r="R285" i="3"/>
  <c r="H38" i="78"/>
  <c r="J35" i="78"/>
  <c r="T87" i="83"/>
  <c r="Z84" i="83"/>
  <c r="P179" i="30"/>
  <c r="X175" i="30"/>
  <c r="Z175" i="30" s="1"/>
  <c r="R175" i="30"/>
  <c r="D36" i="47"/>
  <c r="L36" i="47" s="1"/>
  <c r="L31" i="47"/>
  <c r="H36" i="22"/>
  <c r="N36" i="22" s="1"/>
  <c r="N31" i="22"/>
  <c r="X78" i="59"/>
  <c r="T74" i="65"/>
  <c r="X74" i="65" s="1"/>
  <c r="Z71" i="65"/>
  <c r="V71" i="65"/>
  <c r="N31" i="6"/>
  <c r="Z84" i="58"/>
  <c r="D113" i="21"/>
  <c r="L109" i="21"/>
  <c r="N109" i="21" s="1"/>
  <c r="F109" i="21"/>
  <c r="T35" i="87"/>
  <c r="Z35" i="87" s="1"/>
  <c r="Z32" i="87"/>
  <c r="N94" i="76"/>
  <c r="H97" i="76"/>
  <c r="L97" i="76" s="1"/>
  <c r="J94" i="76"/>
  <c r="D65" i="91"/>
  <c r="L62" i="91"/>
  <c r="N62" i="91" s="1"/>
  <c r="L31" i="29"/>
  <c r="H92" i="70"/>
  <c r="N89" i="70"/>
  <c r="J89" i="70"/>
  <c r="P36" i="10"/>
  <c r="X31" i="10"/>
  <c r="N75" i="59"/>
  <c r="H78" i="59"/>
  <c r="P36" i="38"/>
  <c r="X31" i="38"/>
  <c r="P163" i="69"/>
  <c r="X160" i="69"/>
  <c r="Z160" i="69" s="1"/>
  <c r="R160" i="69"/>
  <c r="Z31" i="4"/>
  <c r="T36" i="4"/>
  <c r="X31" i="4"/>
  <c r="T86" i="84"/>
  <c r="Z83" i="84"/>
  <c r="Z66" i="60"/>
  <c r="D38" i="78"/>
  <c r="L35" i="78"/>
  <c r="N35" i="78" s="1"/>
  <c r="F35" i="78"/>
  <c r="D36" i="8"/>
  <c r="L31" i="8"/>
  <c r="N31" i="40"/>
  <c r="H36" i="40"/>
  <c r="N36" i="40" s="1"/>
  <c r="T38" i="78"/>
  <c r="V35" i="78"/>
  <c r="D36" i="52"/>
  <c r="L36" i="52" s="1"/>
  <c r="L31" i="52"/>
  <c r="N31" i="98"/>
  <c r="H36" i="98"/>
  <c r="N36" i="98" s="1"/>
  <c r="H83" i="48"/>
  <c r="J80" i="48"/>
  <c r="T96" i="81"/>
  <c r="X93" i="81"/>
  <c r="Z93" i="81" s="1"/>
  <c r="T36" i="47"/>
  <c r="Z36" i="47" s="1"/>
  <c r="Z31" i="47"/>
  <c r="L102" i="94"/>
  <c r="N102" i="94" s="1"/>
  <c r="D105" i="94"/>
  <c r="F102" i="94"/>
  <c r="Z112" i="62"/>
  <c r="P127" i="42"/>
  <c r="X123" i="42"/>
  <c r="Z123" i="42" s="1"/>
  <c r="R123" i="42"/>
  <c r="L36" i="29"/>
  <c r="L65" i="91" l="1"/>
  <c r="L86" i="84"/>
  <c r="X36" i="34"/>
  <c r="X36" i="32"/>
  <c r="L81" i="67"/>
  <c r="X36" i="17"/>
  <c r="L36" i="4"/>
  <c r="L36" i="31"/>
  <c r="X36" i="10"/>
  <c r="X36" i="38"/>
  <c r="L36" i="8"/>
  <c r="L36" i="35"/>
  <c r="X36" i="20"/>
  <c r="L36" i="13"/>
  <c r="X36" i="14"/>
  <c r="X36" i="8"/>
  <c r="L36" i="17"/>
  <c r="X36" i="49"/>
  <c r="L36" i="20"/>
  <c r="L36" i="19"/>
  <c r="L36" i="43"/>
  <c r="X163" i="69"/>
  <c r="Z163" i="69" s="1"/>
  <c r="R163" i="69"/>
  <c r="J38" i="78"/>
  <c r="X115" i="24"/>
  <c r="R115" i="24"/>
  <c r="L36" i="98"/>
  <c r="P130" i="42"/>
  <c r="X127" i="42"/>
  <c r="Z127" i="42" s="1"/>
  <c r="R127" i="42"/>
  <c r="P182" i="30"/>
  <c r="X179" i="30"/>
  <c r="Z179" i="30" s="1"/>
  <c r="R179" i="30"/>
  <c r="X290" i="3"/>
  <c r="R290" i="3"/>
  <c r="V137" i="39"/>
  <c r="D130" i="42"/>
  <c r="L127" i="42"/>
  <c r="N127" i="42" s="1"/>
  <c r="F127" i="42"/>
  <c r="D245" i="15"/>
  <c r="L242" i="15"/>
  <c r="N242" i="15" s="1"/>
  <c r="F242" i="15"/>
  <c r="X36" i="19"/>
  <c r="D95" i="33"/>
  <c r="L92" i="33"/>
  <c r="N92" i="33" s="1"/>
  <c r="F92" i="33"/>
  <c r="L36" i="40"/>
  <c r="J115" i="24"/>
  <c r="L36" i="50"/>
  <c r="V252" i="12"/>
  <c r="J128" i="27"/>
  <c r="Z83" i="48"/>
  <c r="V83" i="48"/>
  <c r="X36" i="52"/>
  <c r="V128" i="27"/>
  <c r="X36" i="29"/>
  <c r="P128" i="27"/>
  <c r="X125" i="27"/>
  <c r="Z125" i="27" s="1"/>
  <c r="R125" i="27"/>
  <c r="L92" i="70"/>
  <c r="N92" i="70" s="1"/>
  <c r="F92" i="70"/>
  <c r="P93" i="86"/>
  <c r="X93" i="86" s="1"/>
  <c r="X90" i="86"/>
  <c r="Z90" i="86" s="1"/>
  <c r="P97" i="76"/>
  <c r="X97" i="76" s="1"/>
  <c r="Z97" i="76" s="1"/>
  <c r="X94" i="76"/>
  <c r="Z94" i="76" s="1"/>
  <c r="Z81" i="57"/>
  <c r="V137" i="77"/>
  <c r="P116" i="51"/>
  <c r="X113" i="51"/>
  <c r="Z113" i="51" s="1"/>
  <c r="R113" i="51"/>
  <c r="X36" i="16"/>
  <c r="L98" i="79"/>
  <c r="V130" i="42"/>
  <c r="V268" i="18"/>
  <c r="N65" i="91"/>
  <c r="L163" i="69"/>
  <c r="N163" i="69" s="1"/>
  <c r="F163" i="69"/>
  <c r="L111" i="9"/>
  <c r="L67" i="61"/>
  <c r="Z31" i="6"/>
  <c r="V95" i="33"/>
  <c r="V245" i="15"/>
  <c r="Z77" i="74"/>
  <c r="N36" i="41"/>
  <c r="L36" i="41"/>
  <c r="J56" i="75"/>
  <c r="L78" i="59"/>
  <c r="N78" i="59" s="1"/>
  <c r="D109" i="45"/>
  <c r="L106" i="45"/>
  <c r="N106" i="45" s="1"/>
  <c r="F106" i="45"/>
  <c r="D116" i="51"/>
  <c r="L113" i="51"/>
  <c r="N113" i="51" s="1"/>
  <c r="F113" i="51"/>
  <c r="L31" i="96"/>
  <c r="X137" i="77"/>
  <c r="Z137" i="77" s="1"/>
  <c r="R137" i="77"/>
  <c r="J245" i="15"/>
  <c r="D137" i="77"/>
  <c r="L134" i="77"/>
  <c r="N134" i="77" s="1"/>
  <c r="F134" i="77"/>
  <c r="L252" i="12"/>
  <c r="F252" i="12"/>
  <c r="L115" i="24"/>
  <c r="N115" i="24" s="1"/>
  <c r="X36" i="43"/>
  <c r="V182" i="30"/>
  <c r="D182" i="30"/>
  <c r="L179" i="30"/>
  <c r="N179" i="30" s="1"/>
  <c r="F179" i="30"/>
  <c r="L36" i="100"/>
  <c r="Z115" i="24"/>
  <c r="V115" i="24"/>
  <c r="L105" i="94"/>
  <c r="F105" i="94"/>
  <c r="V38" i="78"/>
  <c r="L125" i="27"/>
  <c r="N125" i="27" s="1"/>
  <c r="D128" i="27"/>
  <c r="F125" i="27"/>
  <c r="X36" i="47"/>
  <c r="X137" i="39"/>
  <c r="Z137" i="39" s="1"/>
  <c r="R137" i="39"/>
  <c r="L268" i="18"/>
  <c r="N268" i="18" s="1"/>
  <c r="F268" i="18"/>
  <c r="X36" i="26"/>
  <c r="V111" i="64"/>
  <c r="Z36" i="44"/>
  <c r="X36" i="44"/>
  <c r="L36" i="26"/>
  <c r="X65" i="91"/>
  <c r="Z65" i="91" s="1"/>
  <c r="J268" i="18"/>
  <c r="L124" i="66"/>
  <c r="N124" i="66" s="1"/>
  <c r="D127" i="66"/>
  <c r="F124" i="66"/>
  <c r="N96" i="81"/>
  <c r="Z290" i="3"/>
  <c r="V290" i="3"/>
  <c r="X36" i="37"/>
  <c r="V116" i="71"/>
  <c r="L87" i="83"/>
  <c r="N87" i="83" s="1"/>
  <c r="N93" i="95"/>
  <c r="L39" i="72"/>
  <c r="P245" i="15"/>
  <c r="X242" i="15"/>
  <c r="Z242" i="15" s="1"/>
  <c r="R242" i="15"/>
  <c r="L36" i="10"/>
  <c r="X252" i="12"/>
  <c r="Z252" i="12" s="1"/>
  <c r="R252" i="12"/>
  <c r="X96" i="81"/>
  <c r="Z96" i="81" s="1"/>
  <c r="Z36" i="4"/>
  <c r="X36" i="4"/>
  <c r="D116" i="21"/>
  <c r="L113" i="21"/>
  <c r="N113" i="21" s="1"/>
  <c r="F113" i="21"/>
  <c r="J83" i="48"/>
  <c r="L38" i="78"/>
  <c r="N38" i="78" s="1"/>
  <c r="F38" i="78"/>
  <c r="N97" i="76"/>
  <c r="J97" i="76"/>
  <c r="X38" i="78"/>
  <c r="Z38" i="78" s="1"/>
  <c r="R38" i="78"/>
  <c r="V135" i="36"/>
  <c r="J116" i="21"/>
  <c r="Z70" i="63"/>
  <c r="X70" i="63"/>
  <c r="Z41" i="55"/>
  <c r="P98" i="79"/>
  <c r="X98" i="79" s="1"/>
  <c r="Z98" i="79" s="1"/>
  <c r="X95" i="79"/>
  <c r="Z95" i="79" s="1"/>
  <c r="P92" i="70"/>
  <c r="X89" i="70"/>
  <c r="Z89" i="70" s="1"/>
  <c r="R89" i="70"/>
  <c r="Z93" i="86"/>
  <c r="L113" i="71"/>
  <c r="N113" i="71" s="1"/>
  <c r="D116" i="71"/>
  <c r="F113" i="71"/>
  <c r="X36" i="98"/>
  <c r="X36" i="13"/>
  <c r="P98" i="92"/>
  <c r="X95" i="92"/>
  <c r="Z95" i="92" s="1"/>
  <c r="R95" i="92"/>
  <c r="L36" i="37"/>
  <c r="J182" i="30"/>
  <c r="D86" i="73"/>
  <c r="L86" i="73" s="1"/>
  <c r="N86" i="73" s="1"/>
  <c r="L83" i="73"/>
  <c r="N83" i="73" s="1"/>
  <c r="X87" i="83"/>
  <c r="Z87" i="83" s="1"/>
  <c r="X113" i="71"/>
  <c r="Z113" i="71" s="1"/>
  <c r="P116" i="71"/>
  <c r="R113" i="71"/>
  <c r="D56" i="75"/>
  <c r="L53" i="75"/>
  <c r="N53" i="75" s="1"/>
  <c r="F53" i="75"/>
  <c r="P81" i="67"/>
  <c r="X81" i="67" s="1"/>
  <c r="Z81" i="67" s="1"/>
  <c r="X78" i="67"/>
  <c r="Z78" i="67" s="1"/>
  <c r="J107" i="85"/>
  <c r="P86" i="73"/>
  <c r="X83" i="73"/>
  <c r="Z83" i="73" s="1"/>
  <c r="R83" i="73"/>
  <c r="N36" i="23"/>
  <c r="L36" i="23"/>
  <c r="X95" i="33"/>
  <c r="Z95" i="33" s="1"/>
  <c r="R95" i="33"/>
  <c r="P111" i="64"/>
  <c r="X108" i="64"/>
  <c r="Z108" i="64" s="1"/>
  <c r="R108" i="64"/>
  <c r="L134" i="39"/>
  <c r="N134" i="39" s="1"/>
  <c r="D137" i="39"/>
  <c r="F134" i="39"/>
  <c r="L36" i="22"/>
  <c r="X36" i="11"/>
  <c r="J135" i="36"/>
  <c r="X124" i="66"/>
  <c r="Z124" i="66" s="1"/>
  <c r="P127" i="66"/>
  <c r="R124" i="66"/>
  <c r="X86" i="84"/>
  <c r="Z86" i="84" s="1"/>
  <c r="R86" i="84"/>
  <c r="N86" i="84"/>
  <c r="N252" i="12"/>
  <c r="J252" i="12"/>
  <c r="J92" i="70"/>
  <c r="Z74" i="65"/>
  <c r="V74" i="65"/>
  <c r="N67" i="61"/>
  <c r="Z31" i="54"/>
  <c r="X31" i="54"/>
  <c r="X39" i="72"/>
  <c r="P109" i="45"/>
  <c r="X106" i="45"/>
  <c r="Z106" i="45" s="1"/>
  <c r="R106" i="45"/>
  <c r="L290" i="3"/>
  <c r="N290" i="3" s="1"/>
  <c r="F290" i="3"/>
  <c r="P35" i="87"/>
  <c r="X32" i="87"/>
  <c r="R32" i="87"/>
  <c r="L107" i="85"/>
  <c r="N107" i="85" s="1"/>
  <c r="F107" i="85"/>
  <c r="P56" i="75"/>
  <c r="X53" i="75"/>
  <c r="Z53" i="75" s="1"/>
  <c r="R53" i="75"/>
  <c r="X87" i="56"/>
  <c r="Z87" i="56" s="1"/>
  <c r="D83" i="48"/>
  <c r="L80" i="48"/>
  <c r="N80" i="48" s="1"/>
  <c r="F80" i="48"/>
  <c r="L47" i="90"/>
  <c r="N47" i="90" s="1"/>
  <c r="J116" i="71"/>
  <c r="Z78" i="59"/>
  <c r="N81" i="67"/>
  <c r="J81" i="67"/>
  <c r="D135" i="36"/>
  <c r="L132" i="36"/>
  <c r="N132" i="36" s="1"/>
  <c r="F132" i="36"/>
  <c r="Z36" i="31"/>
  <c r="X36" i="31"/>
  <c r="X36" i="46"/>
  <c r="P268" i="18"/>
  <c r="X265" i="18"/>
  <c r="Z265" i="18" s="1"/>
  <c r="R265" i="18"/>
  <c r="D98" i="92"/>
  <c r="L98" i="92" s="1"/>
  <c r="N98" i="92" s="1"/>
  <c r="L95" i="92"/>
  <c r="N95" i="92" s="1"/>
  <c r="P107" i="85"/>
  <c r="X104" i="85"/>
  <c r="Z104" i="85" s="1"/>
  <c r="R104" i="85"/>
  <c r="N98" i="79"/>
  <c r="L35" i="87"/>
  <c r="F35" i="87"/>
  <c r="N105" i="94"/>
  <c r="X135" i="36"/>
  <c r="Z135" i="36" s="1"/>
  <c r="R135" i="36"/>
  <c r="N111" i="9"/>
  <c r="V83" i="97"/>
  <c r="P116" i="21"/>
  <c r="X113" i="21"/>
  <c r="Z113" i="21" s="1"/>
  <c r="R113" i="21"/>
  <c r="X47" i="90"/>
  <c r="Z47" i="90" s="1"/>
  <c r="L36" i="49"/>
  <c r="P105" i="94"/>
  <c r="X102" i="94"/>
  <c r="Z102" i="94" s="1"/>
  <c r="R102" i="94"/>
  <c r="X36" i="50"/>
  <c r="P93" i="95"/>
  <c r="X93" i="95" s="1"/>
  <c r="Z93" i="95" s="1"/>
  <c r="X90" i="95"/>
  <c r="Z90" i="95" s="1"/>
  <c r="J290" i="3"/>
  <c r="L80" i="97"/>
  <c r="N80" i="97" s="1"/>
  <c r="D83" i="97"/>
  <c r="F80" i="97"/>
  <c r="L36" i="44"/>
  <c r="P83" i="97"/>
  <c r="X80" i="97"/>
  <c r="Z80" i="97" s="1"/>
  <c r="R80" i="97"/>
  <c r="J127" i="66"/>
  <c r="X67" i="61"/>
  <c r="Z67" i="61" s="1"/>
  <c r="N36" i="25"/>
  <c r="L36" i="25"/>
  <c r="L36" i="46"/>
  <c r="L36" i="16"/>
  <c r="X116" i="21" l="1"/>
  <c r="Z116" i="21" s="1"/>
  <c r="R116" i="21"/>
  <c r="L83" i="48"/>
  <c r="N83" i="48" s="1"/>
  <c r="F83" i="48"/>
  <c r="X86" i="73"/>
  <c r="Z86" i="73" s="1"/>
  <c r="R86" i="73"/>
  <c r="L137" i="77"/>
  <c r="N137" i="77" s="1"/>
  <c r="F137" i="77"/>
  <c r="X130" i="42"/>
  <c r="Z130" i="42" s="1"/>
  <c r="R130" i="42"/>
  <c r="X111" i="64"/>
  <c r="Z111" i="64" s="1"/>
  <c r="R111" i="64"/>
  <c r="X116" i="71"/>
  <c r="Z116" i="71" s="1"/>
  <c r="R116" i="71"/>
  <c r="L116" i="71"/>
  <c r="N116" i="71" s="1"/>
  <c r="F116" i="71"/>
  <c r="L127" i="66"/>
  <c r="N127" i="66" s="1"/>
  <c r="F127" i="66"/>
  <c r="L116" i="51"/>
  <c r="N116" i="51" s="1"/>
  <c r="F116" i="51"/>
  <c r="L245" i="15"/>
  <c r="N245" i="15" s="1"/>
  <c r="F245" i="15"/>
  <c r="X268" i="18"/>
  <c r="Z268" i="18" s="1"/>
  <c r="R268" i="18"/>
  <c r="X35" i="87"/>
  <c r="R35" i="87"/>
  <c r="X105" i="94"/>
  <c r="Z105" i="94" s="1"/>
  <c r="R105" i="94"/>
  <c r="L83" i="97"/>
  <c r="N83" i="97" s="1"/>
  <c r="F83" i="97"/>
  <c r="X107" i="85"/>
  <c r="Z107" i="85" s="1"/>
  <c r="R107" i="85"/>
  <c r="X98" i="92"/>
  <c r="Z98" i="92" s="1"/>
  <c r="R98" i="92"/>
  <c r="X128" i="27"/>
  <c r="Z128" i="27" s="1"/>
  <c r="R128" i="27"/>
  <c r="X56" i="75"/>
  <c r="Z56" i="75" s="1"/>
  <c r="R56" i="75"/>
  <c r="L116" i="21"/>
  <c r="N116" i="21" s="1"/>
  <c r="F116" i="21"/>
  <c r="L128" i="27"/>
  <c r="N128" i="27" s="1"/>
  <c r="F128" i="27"/>
  <c r="L130" i="42"/>
  <c r="N130" i="42" s="1"/>
  <c r="F130" i="42"/>
  <c r="X182" i="30"/>
  <c r="Z182" i="30" s="1"/>
  <c r="R182" i="30"/>
  <c r="L109" i="45"/>
  <c r="N109" i="45" s="1"/>
  <c r="F109" i="45"/>
  <c r="L95" i="33"/>
  <c r="N95" i="33" s="1"/>
  <c r="F95" i="33"/>
  <c r="L137" i="39"/>
  <c r="N137" i="39" s="1"/>
  <c r="F137" i="39"/>
  <c r="X83" i="97"/>
  <c r="Z83" i="97" s="1"/>
  <c r="R83" i="97"/>
  <c r="X109" i="45"/>
  <c r="Z109" i="45" s="1"/>
  <c r="R109" i="45"/>
  <c r="X127" i="66"/>
  <c r="Z127" i="66" s="1"/>
  <c r="R127" i="66"/>
  <c r="X92" i="70"/>
  <c r="Z92" i="70" s="1"/>
  <c r="R92" i="70"/>
  <c r="X245" i="15"/>
  <c r="Z245" i="15" s="1"/>
  <c r="R245" i="15"/>
  <c r="L135" i="36"/>
  <c r="N135" i="36" s="1"/>
  <c r="F135" i="36"/>
  <c r="L56" i="75"/>
  <c r="N56" i="75" s="1"/>
  <c r="F56" i="75"/>
  <c r="L182" i="30"/>
  <c r="N182" i="30" s="1"/>
  <c r="F182" i="30"/>
  <c r="X116" i="51"/>
  <c r="Z116" i="51" s="1"/>
  <c r="R116" i="51"/>
</calcChain>
</file>

<file path=xl/sharedStrings.xml><?xml version="1.0" encoding="utf-8"?>
<sst xmlns="http://schemas.openxmlformats.org/spreadsheetml/2006/main" count="2896" uniqueCount="315">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</sst>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3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Border="1"/>
    <xf numFmtId="0" fontId="2" fillId="0" borderId="0" xfId="0" applyFont="1" applyFill="1" applyBorder="1"/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95"/>
  <sheetViews>
    <sheetView tabSelected="1" zoomScale="80" workbookViewId="0">
      <pane xSplit="3" ySplit="10" topLeftCell="D204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451001.14999999997</v>
      </c>
      <c r="E12" s="4"/>
      <c r="F12" s="12"/>
      <c r="G12" s="4"/>
      <c r="H12" s="4">
        <f>SUM(OSRRefH13x_0)</f>
        <v>738619</v>
      </c>
      <c r="I12" s="4"/>
      <c r="J12" s="12"/>
      <c r="K12" s="4"/>
      <c r="L12" s="4">
        <f t="shared" ref="L12:L101" si="0">+D12-H12</f>
        <v>-287617.85000000003</v>
      </c>
      <c r="M12" s="4"/>
      <c r="N12" s="12">
        <f t="shared" ref="N12:N101" si="1">IF(H12=0,0,L12/H12)</f>
        <v>-0.38939947388301688</v>
      </c>
      <c r="O12" s="10"/>
      <c r="P12" s="4">
        <f>SUM(OSRRefP13x_0)</f>
        <v>10263289.989999998</v>
      </c>
      <c r="Q12" s="4"/>
      <c r="R12" s="12"/>
      <c r="S12" s="4"/>
      <c r="T12" s="4">
        <f>SUM(OSRRefT13x_0)</f>
        <v>17040174</v>
      </c>
      <c r="U12" s="4"/>
      <c r="V12" s="12"/>
      <c r="W12" s="4"/>
      <c r="X12" s="4">
        <f t="shared" ref="X12:X101" si="2">+P12-T12</f>
        <v>-6776884.0100000016</v>
      </c>
      <c r="Y12" s="4"/>
      <c r="Z12" s="12">
        <f t="shared" ref="Z12:Z101" si="3">IF(T12=0,0,X12/T12)</f>
        <v>-0.39770039965554355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-6674.19</f>
        <v>-6674.19</v>
      </c>
      <c r="E13" s="2"/>
      <c r="F13" s="19"/>
      <c r="G13" s="2"/>
      <c r="H13" s="2">
        <v>636800</v>
      </c>
      <c r="I13" s="2"/>
      <c r="J13" s="19"/>
      <c r="K13" s="2"/>
      <c r="L13" s="2">
        <f t="shared" si="0"/>
        <v>-643474.18999999994</v>
      </c>
      <c r="M13" s="2"/>
      <c r="N13" s="19">
        <f t="shared" si="1"/>
        <v>-1.0104808260050251</v>
      </c>
      <c r="O13" s="11"/>
      <c r="P13" s="2">
        <f>-154087.13</f>
        <v>-154087.13</v>
      </c>
      <c r="Q13" s="2"/>
      <c r="R13" s="19"/>
      <c r="S13" s="2"/>
      <c r="T13" s="2">
        <v>11272378</v>
      </c>
      <c r="U13" s="2"/>
      <c r="V13" s="19"/>
      <c r="W13" s="2"/>
      <c r="X13" s="2">
        <f t="shared" si="2"/>
        <v>-11426465.130000001</v>
      </c>
      <c r="Y13" s="2"/>
      <c r="Z13" s="19">
        <f t="shared" si="3"/>
        <v>-1.0136694431290363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--9691.34</f>
        <v>9691.34</v>
      </c>
      <c r="E14" s="2"/>
      <c r="F14" s="19"/>
      <c r="G14" s="2"/>
      <c r="H14" s="2"/>
      <c r="I14" s="2"/>
      <c r="J14" s="19"/>
      <c r="K14" s="2"/>
      <c r="L14" s="2">
        <f t="shared" si="0"/>
        <v>9691.34</v>
      </c>
      <c r="M14" s="2"/>
      <c r="N14" s="19">
        <f t="shared" si="1"/>
        <v>0</v>
      </c>
      <c r="O14" s="11"/>
      <c r="P14" s="2">
        <f>--1308779.9</f>
        <v>1308779.8999999999</v>
      </c>
      <c r="Q14" s="2"/>
      <c r="R14" s="19"/>
      <c r="S14" s="2"/>
      <c r="T14" s="2"/>
      <c r="U14" s="2"/>
      <c r="V14" s="19"/>
      <c r="W14" s="2"/>
      <c r="X14" s="2">
        <f t="shared" si="2"/>
        <v>1308779.8999999999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--6642.8</f>
        <v>6642.8</v>
      </c>
      <c r="E15" s="2"/>
      <c r="F15" s="19"/>
      <c r="G15" s="2"/>
      <c r="H15" s="2"/>
      <c r="I15" s="2"/>
      <c r="J15" s="19"/>
      <c r="K15" s="2"/>
      <c r="L15" s="2">
        <f t="shared" si="0"/>
        <v>6642.8</v>
      </c>
      <c r="M15" s="2"/>
      <c r="N15" s="19">
        <f t="shared" si="1"/>
        <v>0</v>
      </c>
      <c r="O15" s="11"/>
      <c r="P15" s="2">
        <f>--596913.27</f>
        <v>596913.27</v>
      </c>
      <c r="Q15" s="2"/>
      <c r="R15" s="19"/>
      <c r="S15" s="2"/>
      <c r="T15" s="2"/>
      <c r="U15" s="2"/>
      <c r="V15" s="19"/>
      <c r="W15" s="2"/>
      <c r="X15" s="2">
        <f t="shared" si="2"/>
        <v>596913.27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--25.1</f>
        <v>25.1</v>
      </c>
      <c r="E21" s="2"/>
      <c r="F21" s="19"/>
      <c r="G21" s="2"/>
      <c r="H21" s="2"/>
      <c r="I21" s="2"/>
      <c r="J21" s="19"/>
      <c r="K21" s="2"/>
      <c r="L21" s="2">
        <f t="shared" si="0"/>
        <v>25.1</v>
      </c>
      <c r="M21" s="2"/>
      <c r="N21" s="19">
        <f t="shared" si="1"/>
        <v>0</v>
      </c>
      <c r="O21" s="11"/>
      <c r="P21" s="2">
        <f>--547.64</f>
        <v>547.64</v>
      </c>
      <c r="Q21" s="2"/>
      <c r="R21" s="19"/>
      <c r="S21" s="2"/>
      <c r="T21" s="2"/>
      <c r="U21" s="2"/>
      <c r="V21" s="19"/>
      <c r="W21" s="2"/>
      <c r="X21" s="2">
        <f t="shared" si="2"/>
        <v>547.64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--3459.71</f>
        <v>3459.71</v>
      </c>
      <c r="E22" s="2"/>
      <c r="F22" s="19"/>
      <c r="G22" s="2"/>
      <c r="H22" s="2"/>
      <c r="I22" s="2"/>
      <c r="J22" s="19"/>
      <c r="K22" s="2"/>
      <c r="L22" s="2">
        <f t="shared" si="0"/>
        <v>3459.71</v>
      </c>
      <c r="M22" s="2"/>
      <c r="N22" s="19">
        <f t="shared" si="1"/>
        <v>0</v>
      </c>
      <c r="O22" s="11"/>
      <c r="P22" s="2">
        <f>--73564</f>
        <v>73564</v>
      </c>
      <c r="Q22" s="2"/>
      <c r="R22" s="19"/>
      <c r="S22" s="2"/>
      <c r="T22" s="2"/>
      <c r="U22" s="2"/>
      <c r="V22" s="19"/>
      <c r="W22" s="2"/>
      <c r="X22" s="2">
        <f t="shared" si="2"/>
        <v>73564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--2312.88</f>
        <v>2312.88</v>
      </c>
      <c r="E23" s="2"/>
      <c r="F23" s="19"/>
      <c r="G23" s="2"/>
      <c r="H23" s="2"/>
      <c r="I23" s="2"/>
      <c r="J23" s="19"/>
      <c r="K23" s="2"/>
      <c r="L23" s="2">
        <f t="shared" si="0"/>
        <v>2312.88</v>
      </c>
      <c r="M23" s="2"/>
      <c r="N23" s="19">
        <f t="shared" si="1"/>
        <v>0</v>
      </c>
      <c r="O23" s="11"/>
      <c r="P23" s="2">
        <f>--50708.2</f>
        <v>50708.2</v>
      </c>
      <c r="Q23" s="2"/>
      <c r="R23" s="19"/>
      <c r="S23" s="2"/>
      <c r="T23" s="2"/>
      <c r="U23" s="2"/>
      <c r="V23" s="19"/>
      <c r="W23" s="2"/>
      <c r="X23" s="2">
        <f t="shared" si="2"/>
        <v>50708.2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--380.76</f>
        <v>380.76</v>
      </c>
      <c r="E24" s="2"/>
      <c r="F24" s="19"/>
      <c r="G24" s="2"/>
      <c r="H24" s="2"/>
      <c r="I24" s="2"/>
      <c r="J24" s="19"/>
      <c r="K24" s="2"/>
      <c r="L24" s="2">
        <f t="shared" si="0"/>
        <v>380.76</v>
      </c>
      <c r="M24" s="2"/>
      <c r="N24" s="19">
        <f t="shared" si="1"/>
        <v>0</v>
      </c>
      <c r="O24" s="11"/>
      <c r="P24" s="2">
        <f>--5081.47</f>
        <v>5081.47</v>
      </c>
      <c r="Q24" s="2"/>
      <c r="R24" s="19"/>
      <c r="S24" s="2"/>
      <c r="T24" s="2"/>
      <c r="U24" s="2"/>
      <c r="V24" s="19"/>
      <c r="W24" s="2"/>
      <c r="X24" s="2">
        <f t="shared" si="2"/>
        <v>5081.47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--109798.76</f>
        <v>109798.76</v>
      </c>
      <c r="E27" s="2"/>
      <c r="F27" s="19"/>
      <c r="G27" s="2"/>
      <c r="H27" s="2"/>
      <c r="I27" s="2"/>
      <c r="J27" s="19"/>
      <c r="K27" s="2"/>
      <c r="L27" s="2">
        <f t="shared" si="0"/>
        <v>109798.76</v>
      </c>
      <c r="M27" s="2"/>
      <c r="N27" s="19">
        <f t="shared" si="1"/>
        <v>0</v>
      </c>
      <c r="O27" s="11"/>
      <c r="P27" s="2">
        <f>--1210378.91</f>
        <v>1210378.9099999999</v>
      </c>
      <c r="Q27" s="2"/>
      <c r="R27" s="19"/>
      <c r="S27" s="2"/>
      <c r="T27" s="2"/>
      <c r="U27" s="2"/>
      <c r="V27" s="19"/>
      <c r="W27" s="2"/>
      <c r="X27" s="2">
        <f t="shared" si="2"/>
        <v>1210378.9099999999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--80467.62</f>
        <v>80467.62</v>
      </c>
      <c r="E28" s="2"/>
      <c r="F28" s="19"/>
      <c r="G28" s="2"/>
      <c r="H28" s="2"/>
      <c r="I28" s="2"/>
      <c r="J28" s="19"/>
      <c r="K28" s="2"/>
      <c r="L28" s="2">
        <f t="shared" si="0"/>
        <v>80467.62</v>
      </c>
      <c r="M28" s="2"/>
      <c r="N28" s="19">
        <f t="shared" si="1"/>
        <v>0</v>
      </c>
      <c r="O28" s="11"/>
      <c r="P28" s="2">
        <f>--712240.21</f>
        <v>712240.21</v>
      </c>
      <c r="Q28" s="2"/>
      <c r="R28" s="19"/>
      <c r="S28" s="2"/>
      <c r="T28" s="2"/>
      <c r="U28" s="2"/>
      <c r="V28" s="19"/>
      <c r="W28" s="2"/>
      <c r="X28" s="2">
        <f t="shared" si="2"/>
        <v>712240.21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--7345.28</f>
        <v>7345.28</v>
      </c>
      <c r="E29" s="2"/>
      <c r="F29" s="19"/>
      <c r="G29" s="2"/>
      <c r="H29" s="2"/>
      <c r="I29" s="2"/>
      <c r="J29" s="19"/>
      <c r="K29" s="2"/>
      <c r="L29" s="2">
        <f t="shared" si="0"/>
        <v>7345.28</v>
      </c>
      <c r="M29" s="2"/>
      <c r="N29" s="19">
        <f t="shared" si="1"/>
        <v>0</v>
      </c>
      <c r="O29" s="11"/>
      <c r="P29" s="2">
        <f>--116251.83</f>
        <v>116251.83</v>
      </c>
      <c r="Q29" s="2"/>
      <c r="R29" s="19"/>
      <c r="S29" s="2"/>
      <c r="T29" s="2"/>
      <c r="U29" s="2"/>
      <c r="V29" s="19"/>
      <c r="W29" s="2"/>
      <c r="X29" s="2">
        <f t="shared" si="2"/>
        <v>116251.83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--2949.38</f>
        <v>2949.38</v>
      </c>
      <c r="E30" s="2"/>
      <c r="F30" s="19"/>
      <c r="G30" s="2"/>
      <c r="H30" s="2"/>
      <c r="I30" s="2"/>
      <c r="J30" s="19"/>
      <c r="K30" s="2"/>
      <c r="L30" s="2">
        <f t="shared" si="0"/>
        <v>2949.38</v>
      </c>
      <c r="M30" s="2"/>
      <c r="N30" s="19">
        <f t="shared" si="1"/>
        <v>0</v>
      </c>
      <c r="O30" s="11"/>
      <c r="P30" s="2">
        <f>--147027.05</f>
        <v>147027.04999999999</v>
      </c>
      <c r="Q30" s="2"/>
      <c r="R30" s="19"/>
      <c r="S30" s="2"/>
      <c r="T30" s="2"/>
      <c r="U30" s="2"/>
      <c r="V30" s="19"/>
      <c r="W30" s="2"/>
      <c r="X30" s="2">
        <f t="shared" si="2"/>
        <v>147027.04999999999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--2172.33</f>
        <v>2172.33</v>
      </c>
      <c r="E31" s="2"/>
      <c r="F31" s="19"/>
      <c r="G31" s="2"/>
      <c r="H31" s="2"/>
      <c r="I31" s="2"/>
      <c r="J31" s="19"/>
      <c r="K31" s="2"/>
      <c r="L31" s="2">
        <f t="shared" si="0"/>
        <v>2172.33</v>
      </c>
      <c r="M31" s="2"/>
      <c r="N31" s="19">
        <f t="shared" si="1"/>
        <v>0</v>
      </c>
      <c r="O31" s="11"/>
      <c r="P31" s="2">
        <f>--43288.66</f>
        <v>43288.66</v>
      </c>
      <c r="Q31" s="2"/>
      <c r="R31" s="19"/>
      <c r="S31" s="2"/>
      <c r="T31" s="2"/>
      <c r="U31" s="2"/>
      <c r="V31" s="19"/>
      <c r="W31" s="2"/>
      <c r="X31" s="2">
        <f t="shared" si="2"/>
        <v>43288.66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--81300.55</f>
        <v>81300.55</v>
      </c>
      <c r="E32" s="2"/>
      <c r="F32" s="19"/>
      <c r="G32" s="2"/>
      <c r="H32" s="2"/>
      <c r="I32" s="2"/>
      <c r="J32" s="19"/>
      <c r="K32" s="2"/>
      <c r="L32" s="2">
        <f t="shared" si="0"/>
        <v>81300.55</v>
      </c>
      <c r="M32" s="2"/>
      <c r="N32" s="19">
        <f t="shared" si="1"/>
        <v>0</v>
      </c>
      <c r="O32" s="11"/>
      <c r="P32" s="2">
        <f>--314878.48</f>
        <v>314878.48</v>
      </c>
      <c r="Q32" s="2"/>
      <c r="R32" s="19"/>
      <c r="S32" s="2"/>
      <c r="T32" s="2"/>
      <c r="U32" s="2"/>
      <c r="V32" s="19"/>
      <c r="W32" s="2"/>
      <c r="X32" s="2">
        <f t="shared" si="2"/>
        <v>314878.48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--9799.52</f>
        <v>9799.52</v>
      </c>
      <c r="E33" s="2"/>
      <c r="F33" s="19"/>
      <c r="G33" s="2"/>
      <c r="H33" s="2"/>
      <c r="I33" s="2"/>
      <c r="J33" s="19"/>
      <c r="K33" s="2"/>
      <c r="L33" s="2">
        <f t="shared" si="0"/>
        <v>9799.52</v>
      </c>
      <c r="M33" s="2"/>
      <c r="N33" s="19">
        <f t="shared" si="1"/>
        <v>0</v>
      </c>
      <c r="O33" s="11"/>
      <c r="P33" s="2">
        <f>--49082.44</f>
        <v>49082.44</v>
      </c>
      <c r="Q33" s="2"/>
      <c r="R33" s="19"/>
      <c r="S33" s="2"/>
      <c r="T33" s="2"/>
      <c r="U33" s="2"/>
      <c r="V33" s="19"/>
      <c r="W33" s="2"/>
      <c r="X33" s="2">
        <f t="shared" si="2"/>
        <v>49082.44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--61213.59</f>
        <v>61213.59</v>
      </c>
      <c r="E34" s="2"/>
      <c r="F34" s="19"/>
      <c r="G34" s="2"/>
      <c r="H34" s="2"/>
      <c r="I34" s="2"/>
      <c r="J34" s="19"/>
      <c r="K34" s="2"/>
      <c r="L34" s="2">
        <f t="shared" si="0"/>
        <v>61213.59</v>
      </c>
      <c r="M34" s="2"/>
      <c r="N34" s="19">
        <f t="shared" si="1"/>
        <v>0</v>
      </c>
      <c r="O34" s="11"/>
      <c r="P34" s="2">
        <f>--489866.6</f>
        <v>489866.6</v>
      </c>
      <c r="Q34" s="2"/>
      <c r="R34" s="19"/>
      <c r="S34" s="2"/>
      <c r="T34" s="2"/>
      <c r="U34" s="2"/>
      <c r="V34" s="19"/>
      <c r="W34" s="2"/>
      <c r="X34" s="2">
        <f t="shared" si="2"/>
        <v>489866.6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--10.83</f>
        <v>10.83</v>
      </c>
      <c r="E35" s="2"/>
      <c r="F35" s="19"/>
      <c r="G35" s="2"/>
      <c r="H35" s="2"/>
      <c r="I35" s="2"/>
      <c r="J35" s="19"/>
      <c r="K35" s="2"/>
      <c r="L35" s="2">
        <f t="shared" si="0"/>
        <v>10.83</v>
      </c>
      <c r="M35" s="2"/>
      <c r="N35" s="19">
        <f t="shared" si="1"/>
        <v>0</v>
      </c>
      <c r="O35" s="11"/>
      <c r="P35" s="2">
        <f>--1117.39</f>
        <v>1117.3900000000001</v>
      </c>
      <c r="Q35" s="2"/>
      <c r="R35" s="19"/>
      <c r="S35" s="2"/>
      <c r="T35" s="2"/>
      <c r="U35" s="2"/>
      <c r="V35" s="19"/>
      <c r="W35" s="2"/>
      <c r="X35" s="2">
        <f t="shared" si="2"/>
        <v>1117.3900000000001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--974.91</f>
        <v>974.91</v>
      </c>
      <c r="Q36" s="2"/>
      <c r="R36" s="19"/>
      <c r="S36" s="2"/>
      <c r="T36" s="2"/>
      <c r="U36" s="2"/>
      <c r="V36" s="19"/>
      <c r="W36" s="2"/>
      <c r="X36" s="2">
        <f t="shared" si="2"/>
        <v>974.91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>--1743.92</f>
        <v>1743.92</v>
      </c>
      <c r="E37" s="2"/>
      <c r="F37" s="19"/>
      <c r="G37" s="2"/>
      <c r="H37" s="2"/>
      <c r="I37" s="2"/>
      <c r="J37" s="19"/>
      <c r="K37" s="2"/>
      <c r="L37" s="2">
        <f t="shared" si="0"/>
        <v>1743.92</v>
      </c>
      <c r="M37" s="2"/>
      <c r="N37" s="19">
        <f t="shared" si="1"/>
        <v>0</v>
      </c>
      <c r="O37" s="11"/>
      <c r="P37" s="2">
        <f>--65769.85</f>
        <v>65769.850000000006</v>
      </c>
      <c r="Q37" s="2"/>
      <c r="R37" s="19"/>
      <c r="S37" s="2"/>
      <c r="T37" s="2"/>
      <c r="U37" s="2"/>
      <c r="V37" s="19"/>
      <c r="W37" s="2"/>
      <c r="X37" s="2">
        <f t="shared" si="2"/>
        <v>65769.850000000006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--78232.49</f>
        <v>78232.490000000005</v>
      </c>
      <c r="E38" s="2"/>
      <c r="F38" s="19"/>
      <c r="G38" s="2"/>
      <c r="H38" s="2"/>
      <c r="I38" s="2"/>
      <c r="J38" s="19"/>
      <c r="K38" s="2"/>
      <c r="L38" s="2">
        <f t="shared" si="0"/>
        <v>78232.490000000005</v>
      </c>
      <c r="M38" s="2"/>
      <c r="N38" s="19">
        <f t="shared" si="1"/>
        <v>0</v>
      </c>
      <c r="O38" s="11"/>
      <c r="P38" s="2">
        <f>--2207891.11</f>
        <v>2207891.11</v>
      </c>
      <c r="Q38" s="2"/>
      <c r="R38" s="19"/>
      <c r="S38" s="2"/>
      <c r="T38" s="2"/>
      <c r="U38" s="2"/>
      <c r="V38" s="19"/>
      <c r="W38" s="2"/>
      <c r="X38" s="2">
        <f t="shared" si="2"/>
        <v>2207891.11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--3971.25</f>
        <v>3971.25</v>
      </c>
      <c r="E39" s="2"/>
      <c r="F39" s="19"/>
      <c r="G39" s="2"/>
      <c r="H39" s="2"/>
      <c r="I39" s="2"/>
      <c r="J39" s="19"/>
      <c r="K39" s="2"/>
      <c r="L39" s="2">
        <f t="shared" si="0"/>
        <v>3971.25</v>
      </c>
      <c r="M39" s="2"/>
      <c r="N39" s="19">
        <f t="shared" si="1"/>
        <v>0</v>
      </c>
      <c r="O39" s="11"/>
      <c r="P39" s="2">
        <f>--141118.23</f>
        <v>141118.23000000001</v>
      </c>
      <c r="Q39" s="2"/>
      <c r="R39" s="19"/>
      <c r="S39" s="2"/>
      <c r="T39" s="2"/>
      <c r="U39" s="2"/>
      <c r="V39" s="19"/>
      <c r="W39" s="2"/>
      <c r="X39" s="2">
        <f t="shared" si="2"/>
        <v>141118.23000000001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--4870.79</f>
        <v>4870.79</v>
      </c>
      <c r="Q40" s="2"/>
      <c r="R40" s="19"/>
      <c r="S40" s="2"/>
      <c r="T40" s="2"/>
      <c r="U40" s="2"/>
      <c r="V40" s="19"/>
      <c r="W40" s="2"/>
      <c r="X40" s="2">
        <f t="shared" si="2"/>
        <v>4870.79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--850.72</f>
        <v>850.72</v>
      </c>
      <c r="E41" s="2"/>
      <c r="F41" s="19"/>
      <c r="G41" s="2"/>
      <c r="H41" s="2"/>
      <c r="I41" s="2"/>
      <c r="J41" s="19"/>
      <c r="K41" s="2"/>
      <c r="L41" s="2">
        <f t="shared" si="0"/>
        <v>850.72</v>
      </c>
      <c r="M41" s="2"/>
      <c r="N41" s="19">
        <f t="shared" si="1"/>
        <v>0</v>
      </c>
      <c r="O41" s="11"/>
      <c r="P41" s="2">
        <f>--67783.14</f>
        <v>67783.14</v>
      </c>
      <c r="Q41" s="2"/>
      <c r="R41" s="19"/>
      <c r="S41" s="2"/>
      <c r="T41" s="2"/>
      <c r="U41" s="2"/>
      <c r="V41" s="19"/>
      <c r="W41" s="2"/>
      <c r="X41" s="2">
        <f t="shared" si="2"/>
        <v>67783.14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"4095", " - ", "TAXABLE SALES-CUSTOMER SERVICE")</f>
        <v xml:space="preserve">          4095 - TAXABLE SALES-CUSTOMER SERVICE</v>
      </c>
      <c r="C42" s="11"/>
      <c r="D42" s="2">
        <f>--1688.17</f>
        <v>1688.17</v>
      </c>
      <c r="E42" s="2"/>
      <c r="F42" s="19"/>
      <c r="G42" s="2"/>
      <c r="H42" s="2"/>
      <c r="I42" s="2"/>
      <c r="J42" s="19"/>
      <c r="K42" s="2"/>
      <c r="L42" s="2">
        <f t="shared" si="0"/>
        <v>1688.17</v>
      </c>
      <c r="M42" s="2"/>
      <c r="N42" s="19">
        <f t="shared" si="1"/>
        <v>0</v>
      </c>
      <c r="O42" s="11"/>
      <c r="P42" s="2">
        <f>--15614</f>
        <v>15614</v>
      </c>
      <c r="Q42" s="2"/>
      <c r="R42" s="19"/>
      <c r="S42" s="2"/>
      <c r="T42" s="2"/>
      <c r="U42" s="2"/>
      <c r="V42" s="19"/>
      <c r="W42" s="2"/>
      <c r="X42" s="2">
        <f t="shared" si="2"/>
        <v>15614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"4100", " - ", "NON-TAXABLE SALES")</f>
        <v xml:space="preserve">          4100 - NON-TAXABLE SALES</v>
      </c>
      <c r="C43" s="11"/>
      <c r="D43" s="2">
        <f>--10487.8</f>
        <v>10487.8</v>
      </c>
      <c r="E43" s="2"/>
      <c r="F43" s="19"/>
      <c r="G43" s="2"/>
      <c r="H43" s="2">
        <v>101819</v>
      </c>
      <c r="I43" s="2"/>
      <c r="J43" s="19"/>
      <c r="K43" s="2"/>
      <c r="L43" s="2">
        <f t="shared" si="0"/>
        <v>-91331.199999999997</v>
      </c>
      <c r="M43" s="2"/>
      <c r="N43" s="19">
        <f t="shared" si="1"/>
        <v>-0.89699564914210506</v>
      </c>
      <c r="O43" s="11"/>
      <c r="P43" s="2">
        <f>--805058.78</f>
        <v>805058.78</v>
      </c>
      <c r="Q43" s="2"/>
      <c r="R43" s="19"/>
      <c r="S43" s="2"/>
      <c r="T43" s="2">
        <v>5767796</v>
      </c>
      <c r="U43" s="2"/>
      <c r="V43" s="19"/>
      <c r="W43" s="2"/>
      <c r="X43" s="2">
        <f t="shared" si="2"/>
        <v>-4962737.22</v>
      </c>
      <c r="Y43" s="2"/>
      <c r="Z43" s="19">
        <f t="shared" si="3"/>
        <v>-0.86042176595704833</v>
      </c>
    </row>
    <row r="44" spans="1:26" s="24" customFormat="1" hidden="1" outlineLevel="1" x14ac:dyDescent="0.25">
      <c r="A44" s="44"/>
      <c r="B44" s="11" t="str">
        <f>CONCATENATE("          ", "4101", " - ", "NON-TAXABLE SALES-NEW TEXT")</f>
        <v xml:space="preserve">          4101 - NON-TAXABLE SALES-NEW TEXT</v>
      </c>
      <c r="C44" s="11"/>
      <c r="D44" s="2">
        <f>--1301.39</f>
        <v>1301.3900000000001</v>
      </c>
      <c r="E44" s="2"/>
      <c r="F44" s="19"/>
      <c r="G44" s="2"/>
      <c r="H44" s="2"/>
      <c r="I44" s="2"/>
      <c r="J44" s="19"/>
      <c r="K44" s="2"/>
      <c r="L44" s="2">
        <f t="shared" si="0"/>
        <v>1301.3900000000001</v>
      </c>
      <c r="M44" s="2"/>
      <c r="N44" s="19">
        <f t="shared" si="1"/>
        <v>0</v>
      </c>
      <c r="O44" s="11"/>
      <c r="P44" s="2">
        <f>--120548.46</f>
        <v>120548.46</v>
      </c>
      <c r="Q44" s="2"/>
      <c r="R44" s="19"/>
      <c r="S44" s="2"/>
      <c r="T44" s="2"/>
      <c r="U44" s="2"/>
      <c r="V44" s="19"/>
      <c r="W44" s="2"/>
      <c r="X44" s="2">
        <f t="shared" si="2"/>
        <v>120548.46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"4102", " - ", "NON-TAXABLE SALES-USED TEXT")</f>
        <v xml:space="preserve">          4102 - NON-TAXABLE SALES-USED TEXT</v>
      </c>
      <c r="C45" s="11"/>
      <c r="D45" s="2">
        <f>--540.91</f>
        <v>540.91</v>
      </c>
      <c r="E45" s="2"/>
      <c r="F45" s="19"/>
      <c r="G45" s="2"/>
      <c r="H45" s="2"/>
      <c r="I45" s="2"/>
      <c r="J45" s="19"/>
      <c r="K45" s="2"/>
      <c r="L45" s="2">
        <f t="shared" si="0"/>
        <v>540.91</v>
      </c>
      <c r="M45" s="2"/>
      <c r="N45" s="19">
        <f t="shared" si="1"/>
        <v>0</v>
      </c>
      <c r="O45" s="11"/>
      <c r="P45" s="2">
        <f>--51587.64</f>
        <v>51587.64</v>
      </c>
      <c r="Q45" s="2"/>
      <c r="R45" s="19"/>
      <c r="S45" s="2"/>
      <c r="T45" s="2"/>
      <c r="U45" s="2"/>
      <c r="V45" s="19"/>
      <c r="W45" s="2"/>
      <c r="X45" s="2">
        <f t="shared" si="2"/>
        <v>51587.64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"4103", " - ", "NON-TAXABLE SALES-RENTAL TEXT")</f>
        <v xml:space="preserve">          4103 - NON-TAXABLE SALES-RENTAL TEXT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--1138.95</f>
        <v>1138.95</v>
      </c>
      <c r="Q46" s="2"/>
      <c r="R46" s="19"/>
      <c r="S46" s="2"/>
      <c r="T46" s="2"/>
      <c r="U46" s="2"/>
      <c r="V46" s="19"/>
      <c r="W46" s="2"/>
      <c r="X46" s="2">
        <f t="shared" si="2"/>
        <v>1138.95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--695.53</f>
        <v>695.53</v>
      </c>
      <c r="E47" s="2"/>
      <c r="F47" s="19"/>
      <c r="G47" s="2"/>
      <c r="H47" s="2"/>
      <c r="I47" s="2"/>
      <c r="J47" s="19"/>
      <c r="K47" s="2"/>
      <c r="L47" s="2">
        <f t="shared" si="0"/>
        <v>695.53</v>
      </c>
      <c r="M47" s="2"/>
      <c r="N47" s="19">
        <f t="shared" si="1"/>
        <v>0</v>
      </c>
      <c r="O47" s="11"/>
      <c r="P47" s="2">
        <f>--491583.26</f>
        <v>491583.26</v>
      </c>
      <c r="Q47" s="2"/>
      <c r="R47" s="19"/>
      <c r="S47" s="2"/>
      <c r="T47" s="2"/>
      <c r="U47" s="2"/>
      <c r="V47" s="19"/>
      <c r="W47" s="2"/>
      <c r="X47" s="2">
        <f t="shared" si="2"/>
        <v>491583.26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"4113", " - ", "NON-TAXABLE SALES-TRADE BOOKS")</f>
        <v xml:space="preserve">          4113 - NON-TAXABLE SALES-TRADE BOOKS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--12127.25</f>
        <v>12127.25</v>
      </c>
      <c r="Q48" s="2"/>
      <c r="R48" s="19"/>
      <c r="S48" s="2"/>
      <c r="T48" s="2"/>
      <c r="U48" s="2"/>
      <c r="V48" s="19"/>
      <c r="W48" s="2"/>
      <c r="X48" s="2">
        <f t="shared" si="2"/>
        <v>12127.25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"4118", " - ", "NON-TAXABLE SALES-STUDY GUIDES")</f>
        <v xml:space="preserve">          4118 - NON-TAXABLE SALES-STUDY GUIDES</v>
      </c>
      <c r="C49" s="11"/>
      <c r="D49" s="2">
        <f>--594.22</f>
        <v>594.22</v>
      </c>
      <c r="E49" s="2"/>
      <c r="F49" s="19"/>
      <c r="G49" s="2"/>
      <c r="H49" s="2"/>
      <c r="I49" s="2"/>
      <c r="J49" s="19"/>
      <c r="K49" s="2"/>
      <c r="L49" s="2">
        <f t="shared" si="0"/>
        <v>594.22</v>
      </c>
      <c r="M49" s="2"/>
      <c r="N49" s="19">
        <f t="shared" si="1"/>
        <v>0</v>
      </c>
      <c r="O49" s="11"/>
      <c r="P49" s="2">
        <f>--1365.95</f>
        <v>1365.95</v>
      </c>
      <c r="Q49" s="2"/>
      <c r="R49" s="19"/>
      <c r="S49" s="2"/>
      <c r="T49" s="2"/>
      <c r="U49" s="2"/>
      <c r="V49" s="19"/>
      <c r="W49" s="2"/>
      <c r="X49" s="2">
        <f t="shared" si="2"/>
        <v>1365.95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"4126", " - ", "NON-TAXABLE SALES-WRITING INST")</f>
        <v xml:space="preserve">          4126 - NON-TAXABLE SALES-WRITING INST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--52.68</f>
        <v>52.68</v>
      </c>
      <c r="Q50" s="2"/>
      <c r="R50" s="19"/>
      <c r="S50" s="2"/>
      <c r="T50" s="2"/>
      <c r="U50" s="2"/>
      <c r="V50" s="19"/>
      <c r="W50" s="2"/>
      <c r="X50" s="2">
        <f t="shared" si="2"/>
        <v>52.68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"4127", " - ", "NON-TAXABLE SALES-SCHOOL SUPPL")</f>
        <v xml:space="preserve">          4127 - NON-TAXABLE SALES-SCHOOL SUPPL</v>
      </c>
      <c r="C51" s="11"/>
      <c r="D51" s="2">
        <f>--99.87</f>
        <v>99.87</v>
      </c>
      <c r="E51" s="2"/>
      <c r="F51" s="19"/>
      <c r="G51" s="2"/>
      <c r="H51" s="2"/>
      <c r="I51" s="2"/>
      <c r="J51" s="19"/>
      <c r="K51" s="2"/>
      <c r="L51" s="2">
        <f t="shared" si="0"/>
        <v>99.87</v>
      </c>
      <c r="M51" s="2"/>
      <c r="N51" s="19">
        <f t="shared" si="1"/>
        <v>0</v>
      </c>
      <c r="O51" s="11"/>
      <c r="P51" s="2">
        <f>--7748.6</f>
        <v>7748.6</v>
      </c>
      <c r="Q51" s="2"/>
      <c r="R51" s="19"/>
      <c r="S51" s="2"/>
      <c r="T51" s="2"/>
      <c r="U51" s="2"/>
      <c r="V51" s="19"/>
      <c r="W51" s="2"/>
      <c r="X51" s="2">
        <f t="shared" si="2"/>
        <v>7748.6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"4128", " - ", "NON-TAXABLE SALES-ART/TECH")</f>
        <v xml:space="preserve">          4128 - NON-TAXABLE SALES-ART/TECH</v>
      </c>
      <c r="C52" s="11"/>
      <c r="D52" s="2">
        <f>0</f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--115.91</f>
        <v>115.91</v>
      </c>
      <c r="Q52" s="2"/>
      <c r="R52" s="19"/>
      <c r="S52" s="2"/>
      <c r="T52" s="2"/>
      <c r="U52" s="2"/>
      <c r="V52" s="19"/>
      <c r="W52" s="2"/>
      <c r="X52" s="2">
        <f t="shared" si="2"/>
        <v>115.91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"4131", " - ", "NON-TAXABLE SALES-FOOD")</f>
        <v xml:space="preserve">          4131 - NON-TAXABLE SALES-FOOD</v>
      </c>
      <c r="C53" s="11"/>
      <c r="D53" s="2">
        <f>--540.62</f>
        <v>540.62</v>
      </c>
      <c r="E53" s="2"/>
      <c r="F53" s="19"/>
      <c r="G53" s="2"/>
      <c r="H53" s="2"/>
      <c r="I53" s="2"/>
      <c r="J53" s="19"/>
      <c r="K53" s="2"/>
      <c r="L53" s="2">
        <f t="shared" si="0"/>
        <v>540.62</v>
      </c>
      <c r="M53" s="2"/>
      <c r="N53" s="19">
        <f t="shared" si="1"/>
        <v>0</v>
      </c>
      <c r="O53" s="11"/>
      <c r="P53" s="2">
        <f>--12696.76</f>
        <v>12696.76</v>
      </c>
      <c r="Q53" s="2"/>
      <c r="R53" s="19"/>
      <c r="S53" s="2"/>
      <c r="T53" s="2"/>
      <c r="U53" s="2"/>
      <c r="V53" s="19"/>
      <c r="W53" s="2"/>
      <c r="X53" s="2">
        <f t="shared" si="2"/>
        <v>12696.76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"4132", " - ", "NON-TAXABLE SALES-JUICE")</f>
        <v xml:space="preserve">          4132 - NON-TAXABLE SALES-JUICE</v>
      </c>
      <c r="C54" s="11"/>
      <c r="D54" s="2">
        <f t="shared" ref="D54:D57" si="5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--2054.37</f>
        <v>2054.37</v>
      </c>
      <c r="Q54" s="2"/>
      <c r="R54" s="19"/>
      <c r="S54" s="2"/>
      <c r="T54" s="2"/>
      <c r="U54" s="2"/>
      <c r="V54" s="19"/>
      <c r="W54" s="2"/>
      <c r="X54" s="2">
        <f t="shared" si="2"/>
        <v>2054.37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"4133", " - ", "NON-TAXABLE SALES-CANDY")</f>
        <v xml:space="preserve">          4133 - NON-TAXABLE SALES-CANDY</v>
      </c>
      <c r="C55" s="11"/>
      <c r="D55" s="2">
        <f t="shared" si="5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--80.71</f>
        <v>80.709999999999994</v>
      </c>
      <c r="Q55" s="2"/>
      <c r="R55" s="19"/>
      <c r="S55" s="2"/>
      <c r="T55" s="2"/>
      <c r="U55" s="2"/>
      <c r="V55" s="19"/>
      <c r="W55" s="2"/>
      <c r="X55" s="2">
        <f t="shared" si="2"/>
        <v>80.709999999999994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"4134", " - ", "NON-TAXABLE SALES-SODA")</f>
        <v xml:space="preserve">          4134 - NON-TAXABLE SALES-SODA</v>
      </c>
      <c r="C56" s="11"/>
      <c r="D56" s="2">
        <f t="shared" si="5"/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--45.53</f>
        <v>45.53</v>
      </c>
      <c r="Q56" s="2"/>
      <c r="R56" s="19"/>
      <c r="S56" s="2"/>
      <c r="T56" s="2"/>
      <c r="U56" s="2"/>
      <c r="V56" s="19"/>
      <c r="W56" s="2"/>
      <c r="X56" s="2">
        <f t="shared" si="2"/>
        <v>45.53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"4137", " - ", "NON-TAXABLE SALES-WATER")</f>
        <v xml:space="preserve">          4137 - NON-TAXABLE SALES-WATER</v>
      </c>
      <c r="C57" s="11"/>
      <c r="D57" s="2">
        <f t="shared" si="5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--68.25</f>
        <v>68.25</v>
      </c>
      <c r="Q57" s="2"/>
      <c r="R57" s="19"/>
      <c r="S57" s="2"/>
      <c r="T57" s="2"/>
      <c r="U57" s="2"/>
      <c r="V57" s="19"/>
      <c r="W57" s="2"/>
      <c r="X57" s="2">
        <f t="shared" si="2"/>
        <v>68.25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"4140", " - ", "NON-TAXABLE SALES-LOGO CLOTHIN")</f>
        <v xml:space="preserve">          4140 - NON-TAXABLE SALES-LOGO CLOTHIN</v>
      </c>
      <c r="C58" s="11"/>
      <c r="D58" s="2">
        <f>--9520.45</f>
        <v>9520.4500000000007</v>
      </c>
      <c r="E58" s="2"/>
      <c r="F58" s="19"/>
      <c r="G58" s="2"/>
      <c r="H58" s="2"/>
      <c r="I58" s="2"/>
      <c r="J58" s="19"/>
      <c r="K58" s="2"/>
      <c r="L58" s="2">
        <f t="shared" si="0"/>
        <v>9520.4500000000007</v>
      </c>
      <c r="M58" s="2"/>
      <c r="N58" s="19">
        <f t="shared" si="1"/>
        <v>0</v>
      </c>
      <c r="O58" s="11"/>
      <c r="P58" s="2">
        <f>--181046.21</f>
        <v>181046.21</v>
      </c>
      <c r="Q58" s="2"/>
      <c r="R58" s="19"/>
      <c r="S58" s="2"/>
      <c r="T58" s="2"/>
      <c r="U58" s="2"/>
      <c r="V58" s="19"/>
      <c r="W58" s="2"/>
      <c r="X58" s="2">
        <f t="shared" si="2"/>
        <v>181046.21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"4141", " - ", "NON-TAXABLE SALES-LOGO GIFTS")</f>
        <v xml:space="preserve">          4141 - NON-TAXABLE SALES-LOGO GIFTS</v>
      </c>
      <c r="C59" s="11"/>
      <c r="D59" s="2">
        <f>-25127.54</f>
        <v>-25127.54</v>
      </c>
      <c r="E59" s="2"/>
      <c r="F59" s="19"/>
      <c r="G59" s="2"/>
      <c r="H59" s="2"/>
      <c r="I59" s="2"/>
      <c r="J59" s="19"/>
      <c r="K59" s="2"/>
      <c r="L59" s="2">
        <f t="shared" si="0"/>
        <v>-25127.54</v>
      </c>
      <c r="M59" s="2"/>
      <c r="N59" s="19">
        <f t="shared" si="1"/>
        <v>0</v>
      </c>
      <c r="O59" s="11"/>
      <c r="P59" s="2">
        <f>--14028.49</f>
        <v>14028.49</v>
      </c>
      <c r="Q59" s="2"/>
      <c r="R59" s="19"/>
      <c r="S59" s="2"/>
      <c r="T59" s="2"/>
      <c r="U59" s="2"/>
      <c r="V59" s="19"/>
      <c r="W59" s="2"/>
      <c r="X59" s="2">
        <f t="shared" si="2"/>
        <v>14028.49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"4142", " - ", "NON-TAXABLE SALES-EVERYDAY GIF")</f>
        <v xml:space="preserve">          4142 - NON-TAXABLE SALES-EVERYDAY GIF</v>
      </c>
      <c r="C60" s="11"/>
      <c r="D60" s="2">
        <f>--54.07</f>
        <v>54.07</v>
      </c>
      <c r="E60" s="2"/>
      <c r="F60" s="19"/>
      <c r="G60" s="2"/>
      <c r="H60" s="2"/>
      <c r="I60" s="2"/>
      <c r="J60" s="19"/>
      <c r="K60" s="2"/>
      <c r="L60" s="2">
        <f t="shared" si="0"/>
        <v>54.07</v>
      </c>
      <c r="M60" s="2"/>
      <c r="N60" s="19">
        <f t="shared" si="1"/>
        <v>0</v>
      </c>
      <c r="O60" s="11"/>
      <c r="P60" s="2">
        <f>--2658.52</f>
        <v>2658.52</v>
      </c>
      <c r="Q60" s="2"/>
      <c r="R60" s="19"/>
      <c r="S60" s="2"/>
      <c r="T60" s="2"/>
      <c r="U60" s="2"/>
      <c r="V60" s="19"/>
      <c r="W60" s="2"/>
      <c r="X60" s="2">
        <f t="shared" si="2"/>
        <v>2658.52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"4143", " - ", "NON-TAXABLE SALES-CARDS")</f>
        <v xml:space="preserve">          4143 - NON-TAXABLE SALES-CARDS</v>
      </c>
      <c r="C61" s="11"/>
      <c r="D61" s="2">
        <f>--9.95</f>
        <v>9.9499999999999993</v>
      </c>
      <c r="E61" s="2"/>
      <c r="F61" s="19"/>
      <c r="G61" s="2"/>
      <c r="H61" s="2"/>
      <c r="I61" s="2"/>
      <c r="J61" s="19"/>
      <c r="K61" s="2"/>
      <c r="L61" s="2">
        <f t="shared" si="0"/>
        <v>9.9499999999999993</v>
      </c>
      <c r="M61" s="2"/>
      <c r="N61" s="19">
        <f t="shared" si="1"/>
        <v>0</v>
      </c>
      <c r="O61" s="11"/>
      <c r="P61" s="2">
        <f>--2562.11</f>
        <v>2562.11</v>
      </c>
      <c r="Q61" s="2"/>
      <c r="R61" s="19"/>
      <c r="S61" s="2"/>
      <c r="T61" s="2"/>
      <c r="U61" s="2"/>
      <c r="V61" s="19"/>
      <c r="W61" s="2"/>
      <c r="X61" s="2">
        <f t="shared" si="2"/>
        <v>2562.11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"4144", " - ", "NON-TAXABLE SALES-ACCESSORIES")</f>
        <v xml:space="preserve">          4144 - NON-TAXABLE SALES-ACCESSORIES</v>
      </c>
      <c r="C62" s="11"/>
      <c r="D62" s="2">
        <f>--129.75</f>
        <v>129.75</v>
      </c>
      <c r="E62" s="2"/>
      <c r="F62" s="19"/>
      <c r="G62" s="2"/>
      <c r="H62" s="2"/>
      <c r="I62" s="2"/>
      <c r="J62" s="19"/>
      <c r="K62" s="2"/>
      <c r="L62" s="2">
        <f t="shared" si="0"/>
        <v>129.75</v>
      </c>
      <c r="M62" s="2"/>
      <c r="N62" s="19">
        <f t="shared" si="1"/>
        <v>0</v>
      </c>
      <c r="O62" s="11"/>
      <c r="P62" s="2">
        <f>--1003.55</f>
        <v>1003.55</v>
      </c>
      <c r="Q62" s="2"/>
      <c r="R62" s="19"/>
      <c r="S62" s="2"/>
      <c r="T62" s="2"/>
      <c r="U62" s="2"/>
      <c r="V62" s="19"/>
      <c r="W62" s="2"/>
      <c r="X62" s="2">
        <f t="shared" si="2"/>
        <v>1003.55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"4145", " - ", "NON-TAXABLE SALES-SPECIAL ORDE")</f>
        <v xml:space="preserve">          4145 - NON-TAXABLE SALES-SPECIAL ORDE</v>
      </c>
      <c r="C63" s="11"/>
      <c r="D63" s="2">
        <f>--30</f>
        <v>30</v>
      </c>
      <c r="E63" s="2"/>
      <c r="F63" s="19"/>
      <c r="G63" s="2"/>
      <c r="H63" s="2"/>
      <c r="I63" s="2"/>
      <c r="J63" s="19"/>
      <c r="K63" s="2"/>
      <c r="L63" s="2">
        <f t="shared" si="0"/>
        <v>30</v>
      </c>
      <c r="M63" s="2"/>
      <c r="N63" s="19">
        <f t="shared" si="1"/>
        <v>0</v>
      </c>
      <c r="O63" s="11"/>
      <c r="P63" s="2">
        <f>--74096.89</f>
        <v>74096.89</v>
      </c>
      <c r="Q63" s="2"/>
      <c r="R63" s="19"/>
      <c r="S63" s="2"/>
      <c r="T63" s="2"/>
      <c r="U63" s="2"/>
      <c r="V63" s="19"/>
      <c r="W63" s="2"/>
      <c r="X63" s="2">
        <f t="shared" si="2"/>
        <v>74096.89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--282.2</f>
        <v>282.2</v>
      </c>
      <c r="E64" s="2"/>
      <c r="F64" s="19"/>
      <c r="G64" s="2"/>
      <c r="H64" s="2"/>
      <c r="I64" s="2"/>
      <c r="J64" s="19"/>
      <c r="K64" s="2"/>
      <c r="L64" s="2">
        <f t="shared" si="0"/>
        <v>282.2</v>
      </c>
      <c r="M64" s="2"/>
      <c r="N64" s="19">
        <f t="shared" si="1"/>
        <v>0</v>
      </c>
      <c r="O64" s="11"/>
      <c r="P64" s="2">
        <f>--668.1</f>
        <v>668.1</v>
      </c>
      <c r="Q64" s="2"/>
      <c r="R64" s="19"/>
      <c r="S64" s="2"/>
      <c r="T64" s="2"/>
      <c r="U64" s="2"/>
      <c r="V64" s="19"/>
      <c r="W64" s="2"/>
      <c r="X64" s="2">
        <f t="shared" si="2"/>
        <v>668.1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"4147", " - ", "NON-TAXABLE SALES-MISC")</f>
        <v xml:space="preserve">          4147 - NON-TAXABLE SALES-MISC</v>
      </c>
      <c r="C65" s="11"/>
      <c r="D65" s="2">
        <f>--4</f>
        <v>4</v>
      </c>
      <c r="E65" s="2"/>
      <c r="F65" s="19"/>
      <c r="G65" s="2"/>
      <c r="H65" s="2"/>
      <c r="I65" s="2"/>
      <c r="J65" s="19"/>
      <c r="K65" s="2"/>
      <c r="L65" s="2">
        <f t="shared" si="0"/>
        <v>4</v>
      </c>
      <c r="M65" s="2"/>
      <c r="N65" s="19">
        <f t="shared" si="1"/>
        <v>0</v>
      </c>
      <c r="O65" s="11"/>
      <c r="P65" s="2">
        <f>--172</f>
        <v>172</v>
      </c>
      <c r="Q65" s="2"/>
      <c r="R65" s="19"/>
      <c r="S65" s="2"/>
      <c r="T65" s="2"/>
      <c r="U65" s="2"/>
      <c r="V65" s="19"/>
      <c r="W65" s="2"/>
      <c r="X65" s="2">
        <f t="shared" si="2"/>
        <v>172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"4151", " - ", "NON-TAXABLE SALES-FOOD")</f>
        <v xml:space="preserve">          4151 - NON-TAXABLE SALES-FOOD</v>
      </c>
      <c r="C66" s="11"/>
      <c r="D66" s="2">
        <f>--34861.45</f>
        <v>34861.449999999997</v>
      </c>
      <c r="E66" s="2"/>
      <c r="F66" s="19"/>
      <c r="G66" s="2"/>
      <c r="H66" s="2"/>
      <c r="I66" s="2"/>
      <c r="J66" s="19"/>
      <c r="K66" s="2"/>
      <c r="L66" s="2">
        <f t="shared" si="0"/>
        <v>34861.449999999997</v>
      </c>
      <c r="M66" s="2"/>
      <c r="N66" s="19">
        <f t="shared" si="1"/>
        <v>0</v>
      </c>
      <c r="O66" s="11"/>
      <c r="P66" s="2">
        <f>--1013188.44</f>
        <v>1013188.44</v>
      </c>
      <c r="Q66" s="2"/>
      <c r="R66" s="19"/>
      <c r="S66" s="2"/>
      <c r="T66" s="2"/>
      <c r="U66" s="2"/>
      <c r="V66" s="19"/>
      <c r="W66" s="2"/>
      <c r="X66" s="2">
        <f t="shared" si="2"/>
        <v>1013188.44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"4152", " - ", "NON-TAXABLE SALES-FOOD")</f>
        <v xml:space="preserve">          4152 - NON-TAXABLE SALES-FOOD</v>
      </c>
      <c r="C67" s="11"/>
      <c r="D67" s="2">
        <f>-11580.95</f>
        <v>-11580.95</v>
      </c>
      <c r="E67" s="2"/>
      <c r="F67" s="19"/>
      <c r="G67" s="2"/>
      <c r="H67" s="2"/>
      <c r="I67" s="2"/>
      <c r="J67" s="19"/>
      <c r="K67" s="2"/>
      <c r="L67" s="2">
        <f t="shared" si="0"/>
        <v>-11580.95</v>
      </c>
      <c r="M67" s="2"/>
      <c r="N67" s="19">
        <f t="shared" si="1"/>
        <v>0</v>
      </c>
      <c r="O67" s="11"/>
      <c r="P67" s="2">
        <f>0</f>
        <v>0</v>
      </c>
      <c r="Q67" s="2"/>
      <c r="R67" s="19"/>
      <c r="S67" s="2"/>
      <c r="T67" s="2"/>
      <c r="U67" s="2"/>
      <c r="V67" s="19"/>
      <c r="W67" s="2"/>
      <c r="X67" s="2">
        <f t="shared" si="2"/>
        <v>0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"4153", " - ", "NON-TAXABLE SALES-FOOD")</f>
        <v xml:space="preserve">          4153 - NON-TAXABLE SALES-FOOD</v>
      </c>
      <c r="C68" s="11"/>
      <c r="D68" s="2">
        <f>--2535.62</f>
        <v>2535.62</v>
      </c>
      <c r="E68" s="2"/>
      <c r="F68" s="19"/>
      <c r="G68" s="2"/>
      <c r="H68" s="2"/>
      <c r="I68" s="2"/>
      <c r="J68" s="19"/>
      <c r="K68" s="2"/>
      <c r="L68" s="2">
        <f t="shared" si="0"/>
        <v>2535.62</v>
      </c>
      <c r="M68" s="2"/>
      <c r="N68" s="19">
        <f t="shared" si="1"/>
        <v>0</v>
      </c>
      <c r="O68" s="11"/>
      <c r="P68" s="2">
        <f>--53270.39</f>
        <v>53270.39</v>
      </c>
      <c r="Q68" s="2"/>
      <c r="R68" s="19"/>
      <c r="S68" s="2"/>
      <c r="T68" s="2"/>
      <c r="U68" s="2"/>
      <c r="V68" s="19"/>
      <c r="W68" s="2"/>
      <c r="X68" s="2">
        <f t="shared" si="2"/>
        <v>53270.39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"4181", " - ", "NON-TAXABLE SALES-ELECTRONICS")</f>
        <v xml:space="preserve">          4181 - NON-TAXABLE SALES-ELECTRONICS</v>
      </c>
      <c r="C69" s="11"/>
      <c r="D69" s="2">
        <f>--33.97</f>
        <v>33.97</v>
      </c>
      <c r="E69" s="2"/>
      <c r="F69" s="19"/>
      <c r="G69" s="2"/>
      <c r="H69" s="2"/>
      <c r="I69" s="2"/>
      <c r="J69" s="19"/>
      <c r="K69" s="2"/>
      <c r="L69" s="2">
        <f t="shared" si="0"/>
        <v>33.97</v>
      </c>
      <c r="M69" s="2"/>
      <c r="N69" s="19">
        <f t="shared" si="1"/>
        <v>0</v>
      </c>
      <c r="O69" s="11"/>
      <c r="P69" s="2">
        <f>--14322.55</f>
        <v>14322.55</v>
      </c>
      <c r="Q69" s="2"/>
      <c r="R69" s="19"/>
      <c r="S69" s="2"/>
      <c r="T69" s="2"/>
      <c r="U69" s="2"/>
      <c r="V69" s="19"/>
      <c r="W69" s="2"/>
      <c r="X69" s="2">
        <f t="shared" si="2"/>
        <v>14322.55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"4182", " - ", "NON-TAXABLE SALES-COMPUTER HAR")</f>
        <v xml:space="preserve">          4182 - NON-TAXABLE SALES-COMPUTER HAR</v>
      </c>
      <c r="C70" s="11"/>
      <c r="D70" s="2">
        <f>--19892.86</f>
        <v>19892.86</v>
      </c>
      <c r="E70" s="2"/>
      <c r="F70" s="19"/>
      <c r="G70" s="2"/>
      <c r="H70" s="2"/>
      <c r="I70" s="2"/>
      <c r="J70" s="19"/>
      <c r="K70" s="2"/>
      <c r="L70" s="2">
        <f t="shared" si="0"/>
        <v>19892.86</v>
      </c>
      <c r="M70" s="2"/>
      <c r="N70" s="19">
        <f t="shared" si="1"/>
        <v>0</v>
      </c>
      <c r="O70" s="11"/>
      <c r="P70" s="2">
        <f>--367422.08</f>
        <v>367422.08</v>
      </c>
      <c r="Q70" s="2"/>
      <c r="R70" s="19"/>
      <c r="S70" s="2"/>
      <c r="T70" s="2"/>
      <c r="U70" s="2"/>
      <c r="V70" s="19"/>
      <c r="W70" s="2"/>
      <c r="X70" s="2">
        <f t="shared" si="2"/>
        <v>367422.08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"4183", " - ", "NON-TAXABLE SALES-COMPUTER EQU")</f>
        <v xml:space="preserve">          4183 - NON-TAXABLE SALES-COMPUTER EQU</v>
      </c>
      <c r="C71" s="11"/>
      <c r="D71" s="2">
        <f>--1441.27</f>
        <v>1441.27</v>
      </c>
      <c r="E71" s="2"/>
      <c r="F71" s="19"/>
      <c r="G71" s="2"/>
      <c r="H71" s="2"/>
      <c r="I71" s="2"/>
      <c r="J71" s="19"/>
      <c r="K71" s="2"/>
      <c r="L71" s="2">
        <f t="shared" si="0"/>
        <v>1441.27</v>
      </c>
      <c r="M71" s="2"/>
      <c r="N71" s="19">
        <f t="shared" si="1"/>
        <v>0</v>
      </c>
      <c r="O71" s="11"/>
      <c r="P71" s="2">
        <f>--23887.02</f>
        <v>23887.02</v>
      </c>
      <c r="Q71" s="2"/>
      <c r="R71" s="19"/>
      <c r="S71" s="2"/>
      <c r="T71" s="2"/>
      <c r="U71" s="2"/>
      <c r="V71" s="19"/>
      <c r="W71" s="2"/>
      <c r="X71" s="2">
        <f t="shared" si="2"/>
        <v>23887.02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"4185", " - ", "NON-TAXABLE SALES-SOFTWARE")</f>
        <v xml:space="preserve">          4185 - NON-TAXABLE SALES-SOFTWARE</v>
      </c>
      <c r="C72" s="11"/>
      <c r="D72" s="2">
        <f>--3849.74</f>
        <v>3849.74</v>
      </c>
      <c r="E72" s="2"/>
      <c r="F72" s="19"/>
      <c r="G72" s="2"/>
      <c r="H72" s="2"/>
      <c r="I72" s="2"/>
      <c r="J72" s="19"/>
      <c r="K72" s="2"/>
      <c r="L72" s="2">
        <f t="shared" si="0"/>
        <v>3849.74</v>
      </c>
      <c r="M72" s="2"/>
      <c r="N72" s="19">
        <f t="shared" si="1"/>
        <v>0</v>
      </c>
      <c r="O72" s="11"/>
      <c r="P72" s="2">
        <f>--59807.35</f>
        <v>59807.35</v>
      </c>
      <c r="Q72" s="2"/>
      <c r="R72" s="19"/>
      <c r="S72" s="2"/>
      <c r="T72" s="2"/>
      <c r="U72" s="2"/>
      <c r="V72" s="19"/>
      <c r="W72" s="2"/>
      <c r="X72" s="2">
        <f t="shared" si="2"/>
        <v>59807.35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--317.9</f>
        <v>317.89999999999998</v>
      </c>
      <c r="E73" s="2"/>
      <c r="F73" s="19"/>
      <c r="G73" s="2"/>
      <c r="H73" s="2"/>
      <c r="I73" s="2"/>
      <c r="J73" s="19"/>
      <c r="K73" s="2"/>
      <c r="L73" s="2">
        <f t="shared" si="0"/>
        <v>317.89999999999998</v>
      </c>
      <c r="M73" s="2"/>
      <c r="N73" s="19">
        <f t="shared" si="1"/>
        <v>0</v>
      </c>
      <c r="O73" s="11"/>
      <c r="P73" s="2">
        <f>--3797.04</f>
        <v>3797.04</v>
      </c>
      <c r="Q73" s="2"/>
      <c r="R73" s="19"/>
      <c r="S73" s="2"/>
      <c r="T73" s="2"/>
      <c r="U73" s="2"/>
      <c r="V73" s="19"/>
      <c r="W73" s="2"/>
      <c r="X73" s="2">
        <f t="shared" si="2"/>
        <v>3797.04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-1101.25</f>
        <v>-1101.25</v>
      </c>
      <c r="E74" s="2"/>
      <c r="F74" s="19"/>
      <c r="G74" s="2"/>
      <c r="H74" s="2"/>
      <c r="I74" s="2"/>
      <c r="J74" s="19"/>
      <c r="K74" s="2"/>
      <c r="L74" s="2">
        <f t="shared" si="0"/>
        <v>-1101.25</v>
      </c>
      <c r="M74" s="2"/>
      <c r="N74" s="19">
        <f t="shared" si="1"/>
        <v>0</v>
      </c>
      <c r="O74" s="11"/>
      <c r="P74" s="2">
        <f>-53397.67</f>
        <v>-53397.67</v>
      </c>
      <c r="Q74" s="2"/>
      <c r="R74" s="19"/>
      <c r="S74" s="2"/>
      <c r="T74" s="2"/>
      <c r="U74" s="2"/>
      <c r="V74" s="19"/>
      <c r="W74" s="2"/>
      <c r="X74" s="2">
        <f t="shared" si="2"/>
        <v>-53397.67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-433.75</f>
        <v>-433.75</v>
      </c>
      <c r="E75" s="2"/>
      <c r="F75" s="19"/>
      <c r="G75" s="2"/>
      <c r="H75" s="2"/>
      <c r="I75" s="2"/>
      <c r="J75" s="19"/>
      <c r="K75" s="2"/>
      <c r="L75" s="2">
        <f t="shared" si="0"/>
        <v>-433.75</v>
      </c>
      <c r="M75" s="2"/>
      <c r="N75" s="19">
        <f t="shared" si="1"/>
        <v>0</v>
      </c>
      <c r="O75" s="11"/>
      <c r="P75" s="2">
        <f>-20889.41</f>
        <v>-20889.41</v>
      </c>
      <c r="Q75" s="2"/>
      <c r="R75" s="19"/>
      <c r="S75" s="2"/>
      <c r="T75" s="2"/>
      <c r="U75" s="2"/>
      <c r="V75" s="19"/>
      <c r="W75" s="2"/>
      <c r="X75" s="2">
        <f t="shared" si="2"/>
        <v>-20889.41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-1763.1</f>
        <v>-1763.1</v>
      </c>
      <c r="Q76" s="2"/>
      <c r="R76" s="19"/>
      <c r="S76" s="2"/>
      <c r="T76" s="2"/>
      <c r="U76" s="2"/>
      <c r="V76" s="19"/>
      <c r="W76" s="2"/>
      <c r="X76" s="2">
        <f t="shared" si="2"/>
        <v>-1763.1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>-25</f>
        <v>-25</v>
      </c>
      <c r="E77" s="2"/>
      <c r="F77" s="19"/>
      <c r="G77" s="2"/>
      <c r="H77" s="2"/>
      <c r="I77" s="2"/>
      <c r="J77" s="19"/>
      <c r="K77" s="2"/>
      <c r="L77" s="2">
        <f t="shared" si="0"/>
        <v>-25</v>
      </c>
      <c r="M77" s="2"/>
      <c r="N77" s="19">
        <f t="shared" si="1"/>
        <v>0</v>
      </c>
      <c r="O77" s="11"/>
      <c r="P77" s="2">
        <f>-103.92</f>
        <v>-103.92</v>
      </c>
      <c r="Q77" s="2"/>
      <c r="R77" s="19"/>
      <c r="S77" s="2"/>
      <c r="T77" s="2"/>
      <c r="U77" s="2"/>
      <c r="V77" s="19"/>
      <c r="W77" s="2"/>
      <c r="X77" s="2">
        <f t="shared" si="2"/>
        <v>-103.92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>-23.44</f>
        <v>-23.44</v>
      </c>
      <c r="E78" s="2"/>
      <c r="F78" s="19"/>
      <c r="G78" s="2"/>
      <c r="H78" s="2"/>
      <c r="I78" s="2"/>
      <c r="J78" s="19"/>
      <c r="K78" s="2"/>
      <c r="L78" s="2">
        <f t="shared" si="0"/>
        <v>-23.44</v>
      </c>
      <c r="M78" s="2"/>
      <c r="N78" s="19">
        <f t="shared" si="1"/>
        <v>0</v>
      </c>
      <c r="O78" s="11"/>
      <c r="P78" s="2">
        <f>-28.65</f>
        <v>-28.65</v>
      </c>
      <c r="Q78" s="2"/>
      <c r="R78" s="19"/>
      <c r="S78" s="2"/>
      <c r="T78" s="2"/>
      <c r="U78" s="2"/>
      <c r="V78" s="19"/>
      <c r="W78" s="2"/>
      <c r="X78" s="2">
        <f t="shared" si="2"/>
        <v>-28.65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"4226", " - ", "SALES RETURN TAXABLE-WRITING I")</f>
        <v xml:space="preserve">          4226 - SALES RETURN TAXABLE-WRITING I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-35.02</f>
        <v>-35.020000000000003</v>
      </c>
      <c r="Q79" s="2"/>
      <c r="R79" s="19"/>
      <c r="S79" s="2"/>
      <c r="T79" s="2"/>
      <c r="U79" s="2"/>
      <c r="V79" s="19"/>
      <c r="W79" s="2"/>
      <c r="X79" s="2">
        <f t="shared" si="2"/>
        <v>-35.020000000000003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"4227", " - ", "SALES RETURN TAXABLE-SCHOOL SU")</f>
        <v xml:space="preserve">          4227 - SALES RETURN TAXABLE-SCHOOL SU</v>
      </c>
      <c r="C80" s="11"/>
      <c r="D80" s="2">
        <f>-80.63</f>
        <v>-80.63</v>
      </c>
      <c r="E80" s="2"/>
      <c r="F80" s="19"/>
      <c r="G80" s="2"/>
      <c r="H80" s="2"/>
      <c r="I80" s="2"/>
      <c r="J80" s="19"/>
      <c r="K80" s="2"/>
      <c r="L80" s="2">
        <f t="shared" si="0"/>
        <v>-80.63</v>
      </c>
      <c r="M80" s="2"/>
      <c r="N80" s="19">
        <f t="shared" si="1"/>
        <v>0</v>
      </c>
      <c r="O80" s="11"/>
      <c r="P80" s="2">
        <f>-1565.11</f>
        <v>-1565.11</v>
      </c>
      <c r="Q80" s="2"/>
      <c r="R80" s="19"/>
      <c r="S80" s="2"/>
      <c r="T80" s="2"/>
      <c r="U80" s="2"/>
      <c r="V80" s="19"/>
      <c r="W80" s="2"/>
      <c r="X80" s="2">
        <f t="shared" si="2"/>
        <v>-1565.11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"4228", " - ", "SALES RETURN TAXABLE-ART/TECH")</f>
        <v xml:space="preserve">          4228 - SALES RETURN TAXABLE-ART/TECH</v>
      </c>
      <c r="C81" s="11"/>
      <c r="D81" s="2">
        <f>-105.6</f>
        <v>-105.6</v>
      </c>
      <c r="E81" s="2"/>
      <c r="F81" s="19"/>
      <c r="G81" s="2"/>
      <c r="H81" s="2"/>
      <c r="I81" s="2"/>
      <c r="J81" s="19"/>
      <c r="K81" s="2"/>
      <c r="L81" s="2">
        <f t="shared" si="0"/>
        <v>-105.6</v>
      </c>
      <c r="M81" s="2"/>
      <c r="N81" s="19">
        <f t="shared" si="1"/>
        <v>0</v>
      </c>
      <c r="O81" s="11"/>
      <c r="P81" s="2">
        <f>-13079.33</f>
        <v>-13079.33</v>
      </c>
      <c r="Q81" s="2"/>
      <c r="R81" s="19"/>
      <c r="S81" s="2"/>
      <c r="T81" s="2"/>
      <c r="U81" s="2"/>
      <c r="V81" s="19"/>
      <c r="W81" s="2"/>
      <c r="X81" s="2">
        <f t="shared" si="2"/>
        <v>-13079.33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"4240", " - ", "SALES RETURN TAXABLE-LOGO CLOT")</f>
        <v xml:space="preserve">          4240 - SALES RETURN TAXABLE-LOGO CLOT</v>
      </c>
      <c r="C82" s="11"/>
      <c r="D82" s="2">
        <f>-4795.71</f>
        <v>-4795.71</v>
      </c>
      <c r="E82" s="2"/>
      <c r="F82" s="19"/>
      <c r="G82" s="2"/>
      <c r="H82" s="2"/>
      <c r="I82" s="2"/>
      <c r="J82" s="19"/>
      <c r="K82" s="2"/>
      <c r="L82" s="2">
        <f t="shared" si="0"/>
        <v>-4795.71</v>
      </c>
      <c r="M82" s="2"/>
      <c r="N82" s="19">
        <f t="shared" si="1"/>
        <v>0</v>
      </c>
      <c r="O82" s="11"/>
      <c r="P82" s="2">
        <f>-51889.15</f>
        <v>-51889.15</v>
      </c>
      <c r="Q82" s="2"/>
      <c r="R82" s="19"/>
      <c r="S82" s="2"/>
      <c r="T82" s="2"/>
      <c r="U82" s="2"/>
      <c r="V82" s="19"/>
      <c r="W82" s="2"/>
      <c r="X82" s="2">
        <f t="shared" si="2"/>
        <v>-51889.15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"4241", " - ", "SALES RETURN TAXABLE-LOGO GIFT")</f>
        <v xml:space="preserve">          4241 - SALES RETURN TAXABLE-LOGO GIFT</v>
      </c>
      <c r="C83" s="11"/>
      <c r="D83" s="2">
        <f>-1907.39</f>
        <v>-1907.39</v>
      </c>
      <c r="E83" s="2"/>
      <c r="F83" s="19"/>
      <c r="G83" s="2"/>
      <c r="H83" s="2"/>
      <c r="I83" s="2"/>
      <c r="J83" s="19"/>
      <c r="K83" s="2"/>
      <c r="L83" s="2">
        <f t="shared" si="0"/>
        <v>-1907.39</v>
      </c>
      <c r="M83" s="2"/>
      <c r="N83" s="19">
        <f t="shared" si="1"/>
        <v>0</v>
      </c>
      <c r="O83" s="11"/>
      <c r="P83" s="2">
        <f>-18587.93</f>
        <v>-18587.93</v>
      </c>
      <c r="Q83" s="2"/>
      <c r="R83" s="19"/>
      <c r="S83" s="2"/>
      <c r="T83" s="2"/>
      <c r="U83" s="2"/>
      <c r="V83" s="19"/>
      <c r="W83" s="2"/>
      <c r="X83" s="2">
        <f t="shared" si="2"/>
        <v>-18587.93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"4242", " - ", "SALES RETURN TAXABLE-EVERYDAY")</f>
        <v xml:space="preserve">          4242 - SALES RETURN TAXABLE-EVERYDAY</v>
      </c>
      <c r="C84" s="11"/>
      <c r="D84" s="2">
        <f>-131.98</f>
        <v>-131.97999999999999</v>
      </c>
      <c r="E84" s="2"/>
      <c r="F84" s="19"/>
      <c r="G84" s="2"/>
      <c r="H84" s="2"/>
      <c r="I84" s="2"/>
      <c r="J84" s="19"/>
      <c r="K84" s="2"/>
      <c r="L84" s="2">
        <f t="shared" si="0"/>
        <v>-131.97999999999999</v>
      </c>
      <c r="M84" s="2"/>
      <c r="N84" s="19">
        <f t="shared" si="1"/>
        <v>0</v>
      </c>
      <c r="O84" s="11"/>
      <c r="P84" s="2">
        <f>-2875.07</f>
        <v>-2875.07</v>
      </c>
      <c r="Q84" s="2"/>
      <c r="R84" s="19"/>
      <c r="S84" s="2"/>
      <c r="T84" s="2"/>
      <c r="U84" s="2"/>
      <c r="V84" s="19"/>
      <c r="W84" s="2"/>
      <c r="X84" s="2">
        <f t="shared" si="2"/>
        <v>-2875.07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"4243", " - ", "SALES RETURN TAXABLE-CARDS")</f>
        <v xml:space="preserve">          4243 - SALES RETURN TAXABLE-CARDS</v>
      </c>
      <c r="C85" s="11"/>
      <c r="D85" s="2">
        <f>-9.99</f>
        <v>-9.99</v>
      </c>
      <c r="E85" s="2"/>
      <c r="F85" s="19"/>
      <c r="G85" s="2"/>
      <c r="H85" s="2"/>
      <c r="I85" s="2"/>
      <c r="J85" s="19"/>
      <c r="K85" s="2"/>
      <c r="L85" s="2">
        <f t="shared" si="0"/>
        <v>-9.99</v>
      </c>
      <c r="M85" s="2"/>
      <c r="N85" s="19">
        <f t="shared" si="1"/>
        <v>0</v>
      </c>
      <c r="O85" s="11"/>
      <c r="P85" s="2">
        <f>-6228.98</f>
        <v>-6228.98</v>
      </c>
      <c r="Q85" s="2"/>
      <c r="R85" s="19"/>
      <c r="S85" s="2"/>
      <c r="T85" s="2"/>
      <c r="U85" s="2"/>
      <c r="V85" s="19"/>
      <c r="W85" s="2"/>
      <c r="X85" s="2">
        <f t="shared" si="2"/>
        <v>-6228.98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"4244", " - ", "SALES RETURN TAXABLE-ACCESSORI")</f>
        <v xml:space="preserve">          4244 - SALES RETURN TAXABLE-ACCESSORI</v>
      </c>
      <c r="C86" s="11"/>
      <c r="D86" s="2">
        <f>-34.84</f>
        <v>-34.840000000000003</v>
      </c>
      <c r="E86" s="2"/>
      <c r="F86" s="19"/>
      <c r="G86" s="2"/>
      <c r="H86" s="2"/>
      <c r="I86" s="2"/>
      <c r="J86" s="19"/>
      <c r="K86" s="2"/>
      <c r="L86" s="2">
        <f t="shared" si="0"/>
        <v>-34.840000000000003</v>
      </c>
      <c r="M86" s="2"/>
      <c r="N86" s="19">
        <f t="shared" si="1"/>
        <v>0</v>
      </c>
      <c r="O86" s="11"/>
      <c r="P86" s="2">
        <f>-1302.75</f>
        <v>-1302.75</v>
      </c>
      <c r="Q86" s="2"/>
      <c r="R86" s="19"/>
      <c r="S86" s="2"/>
      <c r="T86" s="2"/>
      <c r="U86" s="2"/>
      <c r="V86" s="19"/>
      <c r="W86" s="2"/>
      <c r="X86" s="2">
        <f t="shared" si="2"/>
        <v>-1302.75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"4245", " - ", "SALES RETURN TAXABLE-SPECIAL O")</f>
        <v xml:space="preserve">          4245 - SALES RETURN TAXABLE-SPECIAL O</v>
      </c>
      <c r="C87" s="11"/>
      <c r="D87" s="2">
        <f>-3318.4</f>
        <v>-3318.4</v>
      </c>
      <c r="E87" s="2"/>
      <c r="F87" s="19"/>
      <c r="G87" s="2"/>
      <c r="H87" s="2"/>
      <c r="I87" s="2"/>
      <c r="J87" s="19"/>
      <c r="K87" s="2"/>
      <c r="L87" s="2">
        <f t="shared" si="0"/>
        <v>-3318.4</v>
      </c>
      <c r="M87" s="2"/>
      <c r="N87" s="19">
        <f t="shared" si="1"/>
        <v>0</v>
      </c>
      <c r="O87" s="11"/>
      <c r="P87" s="2">
        <f>-18779.13</f>
        <v>-18779.13</v>
      </c>
      <c r="Q87" s="2"/>
      <c r="R87" s="19"/>
      <c r="S87" s="2"/>
      <c r="T87" s="2"/>
      <c r="U87" s="2"/>
      <c r="V87" s="19"/>
      <c r="W87" s="2"/>
      <c r="X87" s="2">
        <f t="shared" si="2"/>
        <v>-18779.13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"4281", " - ", "SALES RETURN TAXABLE-ELECTRONI")</f>
        <v xml:space="preserve">          4281 - SALES RETURN TAXABLE-ELECTRONI</v>
      </c>
      <c r="C88" s="11"/>
      <c r="D88" s="2">
        <f>-529.99</f>
        <v>-529.99</v>
      </c>
      <c r="E88" s="2"/>
      <c r="F88" s="19"/>
      <c r="G88" s="2"/>
      <c r="H88" s="2"/>
      <c r="I88" s="2"/>
      <c r="J88" s="19"/>
      <c r="K88" s="2"/>
      <c r="L88" s="2">
        <f t="shared" si="0"/>
        <v>-529.99</v>
      </c>
      <c r="M88" s="2"/>
      <c r="N88" s="19">
        <f t="shared" si="1"/>
        <v>0</v>
      </c>
      <c r="O88" s="11"/>
      <c r="P88" s="2">
        <f>-15372.12</f>
        <v>-15372.12</v>
      </c>
      <c r="Q88" s="2"/>
      <c r="R88" s="19"/>
      <c r="S88" s="2"/>
      <c r="T88" s="2"/>
      <c r="U88" s="2"/>
      <c r="V88" s="19"/>
      <c r="W88" s="2"/>
      <c r="X88" s="2">
        <f t="shared" si="2"/>
        <v>-15372.12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"4282", " - ", "SALES RETURN TAXABLE-COMPUTER")</f>
        <v xml:space="preserve">          4282 - SALES RETURN TAXABLE-COMPUTER</v>
      </c>
      <c r="C89" s="11"/>
      <c r="D89" s="2">
        <f>-44973</f>
        <v>-44973</v>
      </c>
      <c r="E89" s="2"/>
      <c r="F89" s="19"/>
      <c r="G89" s="2"/>
      <c r="H89" s="2"/>
      <c r="I89" s="2"/>
      <c r="J89" s="19"/>
      <c r="K89" s="2"/>
      <c r="L89" s="2">
        <f t="shared" si="0"/>
        <v>-44973</v>
      </c>
      <c r="M89" s="2"/>
      <c r="N89" s="19">
        <f t="shared" si="1"/>
        <v>0</v>
      </c>
      <c r="O89" s="11"/>
      <c r="P89" s="2">
        <f>-285193.17</f>
        <v>-285193.17</v>
      </c>
      <c r="Q89" s="2"/>
      <c r="R89" s="19"/>
      <c r="S89" s="2"/>
      <c r="T89" s="2"/>
      <c r="U89" s="2"/>
      <c r="V89" s="19"/>
      <c r="W89" s="2"/>
      <c r="X89" s="2">
        <f t="shared" si="2"/>
        <v>-285193.17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"4283", " - ", "SALES RETURN TAXABLE-COMPUTER")</f>
        <v xml:space="preserve">          4283 - SALES RETURN TAXABLE-COMPUTER</v>
      </c>
      <c r="C90" s="11"/>
      <c r="D90" s="2">
        <f>-23.47</f>
        <v>-23.47</v>
      </c>
      <c r="E90" s="2"/>
      <c r="F90" s="19"/>
      <c r="G90" s="2"/>
      <c r="H90" s="2"/>
      <c r="I90" s="2"/>
      <c r="J90" s="19"/>
      <c r="K90" s="2"/>
      <c r="L90" s="2">
        <f t="shared" si="0"/>
        <v>-23.47</v>
      </c>
      <c r="M90" s="2"/>
      <c r="N90" s="19">
        <f t="shared" si="1"/>
        <v>0</v>
      </c>
      <c r="O90" s="11"/>
      <c r="P90" s="2">
        <f>-4152.64</f>
        <v>-4152.6400000000003</v>
      </c>
      <c r="Q90" s="2"/>
      <c r="R90" s="19"/>
      <c r="S90" s="2"/>
      <c r="T90" s="2"/>
      <c r="U90" s="2"/>
      <c r="V90" s="19"/>
      <c r="W90" s="2"/>
      <c r="X90" s="2">
        <f t="shared" si="2"/>
        <v>-4152.6400000000003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"4285", " - ", "SALES RETURN TAXABLE-SOFTWARE")</f>
        <v xml:space="preserve">          4285 - SALES RETURN TAXABLE-SOFTWARE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-1091.79</f>
        <v>-1091.79</v>
      </c>
      <c r="Q91" s="2"/>
      <c r="R91" s="19"/>
      <c r="S91" s="2"/>
      <c r="T91" s="2"/>
      <c r="U91" s="2"/>
      <c r="V91" s="19"/>
      <c r="W91" s="2"/>
      <c r="X91" s="2">
        <f t="shared" si="2"/>
        <v>-1091.79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"4286", " - ", "SALES RETURN TAXABLE-COMPUTER")</f>
        <v xml:space="preserve">          4286 - SALES RETURN TAXABLE-COMPUTER</v>
      </c>
      <c r="C92" s="11"/>
      <c r="D92" s="2">
        <f>-9.99</f>
        <v>-9.99</v>
      </c>
      <c r="E92" s="2"/>
      <c r="F92" s="19"/>
      <c r="G92" s="2"/>
      <c r="H92" s="2"/>
      <c r="I92" s="2"/>
      <c r="J92" s="19"/>
      <c r="K92" s="2"/>
      <c r="L92" s="2">
        <f t="shared" si="0"/>
        <v>-9.99</v>
      </c>
      <c r="M92" s="2"/>
      <c r="N92" s="19">
        <f t="shared" si="1"/>
        <v>0</v>
      </c>
      <c r="O92" s="11"/>
      <c r="P92" s="2">
        <f>-4812.28</f>
        <v>-4812.28</v>
      </c>
      <c r="Q92" s="2"/>
      <c r="R92" s="19"/>
      <c r="S92" s="2"/>
      <c r="T92" s="2"/>
      <c r="U92" s="2"/>
      <c r="V92" s="19"/>
      <c r="W92" s="2"/>
      <c r="X92" s="2">
        <f t="shared" si="2"/>
        <v>-4812.28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"4301", " - ", "SALES RETURN NON TAXABLE-NEW T")</f>
        <v xml:space="preserve">          4301 - SALES RETURN NON TAXABLE-NEW T</v>
      </c>
      <c r="C93" s="11"/>
      <c r="D93" s="2">
        <f>-169.32</f>
        <v>-169.32</v>
      </c>
      <c r="E93" s="2"/>
      <c r="F93" s="19"/>
      <c r="G93" s="2"/>
      <c r="H93" s="2"/>
      <c r="I93" s="2"/>
      <c r="J93" s="19"/>
      <c r="K93" s="2"/>
      <c r="L93" s="2">
        <f t="shared" si="0"/>
        <v>-169.32</v>
      </c>
      <c r="M93" s="2"/>
      <c r="N93" s="19">
        <f t="shared" si="1"/>
        <v>0</v>
      </c>
      <c r="O93" s="11"/>
      <c r="P93" s="2">
        <f>-4965.68</f>
        <v>-4965.68</v>
      </c>
      <c r="Q93" s="2"/>
      <c r="R93" s="19"/>
      <c r="S93" s="2"/>
      <c r="T93" s="2"/>
      <c r="U93" s="2"/>
      <c r="V93" s="19"/>
      <c r="W93" s="2"/>
      <c r="X93" s="2">
        <f t="shared" si="2"/>
        <v>-4965.68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"4302", " - ", "SALES RETURN NON TAXABLE-TEXT")</f>
        <v xml:space="preserve">          4302 - SALES RETURN NON TAXABLE-TEXT</v>
      </c>
      <c r="C94" s="11"/>
      <c r="D94" s="2">
        <f>-111.43</f>
        <v>-111.43</v>
      </c>
      <c r="E94" s="2"/>
      <c r="F94" s="19"/>
      <c r="G94" s="2"/>
      <c r="H94" s="2"/>
      <c r="I94" s="2"/>
      <c r="J94" s="19"/>
      <c r="K94" s="2"/>
      <c r="L94" s="2">
        <f t="shared" si="0"/>
        <v>-111.43</v>
      </c>
      <c r="M94" s="2"/>
      <c r="N94" s="19">
        <f t="shared" si="1"/>
        <v>0</v>
      </c>
      <c r="O94" s="11"/>
      <c r="P94" s="2">
        <f>-2688.97</f>
        <v>-2688.97</v>
      </c>
      <c r="Q94" s="2"/>
      <c r="R94" s="19"/>
      <c r="S94" s="2"/>
      <c r="T94" s="2"/>
      <c r="U94" s="2"/>
      <c r="V94" s="19"/>
      <c r="W94" s="2"/>
      <c r="X94" s="2">
        <f t="shared" si="2"/>
        <v>-2688.97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-144.89</f>
        <v>-144.88999999999999</v>
      </c>
      <c r="E95" s="2"/>
      <c r="F95" s="19"/>
      <c r="G95" s="2"/>
      <c r="H95" s="2"/>
      <c r="I95" s="2"/>
      <c r="J95" s="19"/>
      <c r="K95" s="2"/>
      <c r="L95" s="2">
        <f t="shared" si="0"/>
        <v>-144.88999999999999</v>
      </c>
      <c r="M95" s="2"/>
      <c r="N95" s="19">
        <f t="shared" si="1"/>
        <v>0</v>
      </c>
      <c r="O95" s="11"/>
      <c r="P95" s="2">
        <f>-31026.87</f>
        <v>-31026.87</v>
      </c>
      <c r="Q95" s="2"/>
      <c r="R95" s="19"/>
      <c r="S95" s="2"/>
      <c r="T95" s="2"/>
      <c r="U95" s="2"/>
      <c r="V95" s="19"/>
      <c r="W95" s="2"/>
      <c r="X95" s="2">
        <f t="shared" si="2"/>
        <v>-31026.87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"4327", " - ", "SALES RETURN NON TAXABLE-SCHOO")</f>
        <v xml:space="preserve">          4327 - SALES RETURN NON TAXABLE-SCHOO</v>
      </c>
      <c r="C96" s="11"/>
      <c r="D96" s="2">
        <f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-17.41</f>
        <v>-17.41</v>
      </c>
      <c r="Q96" s="2"/>
      <c r="R96" s="19"/>
      <c r="S96" s="2"/>
      <c r="T96" s="2"/>
      <c r="U96" s="2"/>
      <c r="V96" s="19"/>
      <c r="W96" s="2"/>
      <c r="X96" s="2">
        <f t="shared" si="2"/>
        <v>-17.41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"4340", " - ", "SALES RETURN NON TAXABLE-LOGO")</f>
        <v xml:space="preserve">          4340 - SALES RETURN NON TAXABLE-LOGO</v>
      </c>
      <c r="C97" s="11"/>
      <c r="D97" s="2">
        <f>-286.5</f>
        <v>-286.5</v>
      </c>
      <c r="E97" s="2"/>
      <c r="F97" s="19"/>
      <c r="G97" s="2"/>
      <c r="H97" s="2"/>
      <c r="I97" s="2"/>
      <c r="J97" s="19"/>
      <c r="K97" s="2"/>
      <c r="L97" s="2">
        <f t="shared" si="0"/>
        <v>-286.5</v>
      </c>
      <c r="M97" s="2"/>
      <c r="N97" s="19">
        <f t="shared" si="1"/>
        <v>0</v>
      </c>
      <c r="O97" s="11"/>
      <c r="P97" s="2">
        <f>-3737.76</f>
        <v>-3737.76</v>
      </c>
      <c r="Q97" s="2"/>
      <c r="R97" s="19"/>
      <c r="S97" s="2"/>
      <c r="T97" s="2"/>
      <c r="U97" s="2"/>
      <c r="V97" s="19"/>
      <c r="W97" s="2"/>
      <c r="X97" s="2">
        <f t="shared" si="2"/>
        <v>-3737.76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"4341", " - ", "SALES RETURN NON TAXABLE-LOGO")</f>
        <v xml:space="preserve">          4341 - SALES RETURN NON TAXABLE-LOGO</v>
      </c>
      <c r="C98" s="11"/>
      <c r="D98" s="2">
        <f>-20.85</f>
        <v>-20.85</v>
      </c>
      <c r="E98" s="2"/>
      <c r="F98" s="19"/>
      <c r="G98" s="2"/>
      <c r="H98" s="2"/>
      <c r="I98" s="2"/>
      <c r="J98" s="19"/>
      <c r="K98" s="2"/>
      <c r="L98" s="2">
        <f t="shared" si="0"/>
        <v>-20.85</v>
      </c>
      <c r="M98" s="2"/>
      <c r="N98" s="19">
        <f t="shared" si="1"/>
        <v>0</v>
      </c>
      <c r="O98" s="11"/>
      <c r="P98" s="2">
        <f>-527.59</f>
        <v>-527.59</v>
      </c>
      <c r="Q98" s="2"/>
      <c r="R98" s="19"/>
      <c r="S98" s="2"/>
      <c r="T98" s="2"/>
      <c r="U98" s="2"/>
      <c r="V98" s="19"/>
      <c r="W98" s="2"/>
      <c r="X98" s="2">
        <f t="shared" si="2"/>
        <v>-527.59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"4342", " - ", "SALES RETURN NON TAXABLE-EVERY")</f>
        <v xml:space="preserve">          4342 - SALES RETURN NON TAXABLE-EVERY</v>
      </c>
      <c r="C99" s="11"/>
      <c r="D99" s="2">
        <f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-118.7</f>
        <v>-118.7</v>
      </c>
      <c r="Q99" s="2"/>
      <c r="R99" s="19"/>
      <c r="S99" s="2"/>
      <c r="T99" s="2"/>
      <c r="U99" s="2"/>
      <c r="V99" s="19"/>
      <c r="W99" s="2"/>
      <c r="X99" s="2">
        <f t="shared" si="2"/>
        <v>-118.7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"4381", " - ", "SALES RETURN NON TAXABLE-ELECT")</f>
        <v xml:space="preserve">          4381 - SALES RETURN NON TAXABLE-ELECT</v>
      </c>
      <c r="C100" s="11"/>
      <c r="D100" s="2">
        <f>-1.99</f>
        <v>-1.99</v>
      </c>
      <c r="E100" s="2"/>
      <c r="F100" s="19"/>
      <c r="G100" s="2"/>
      <c r="H100" s="2"/>
      <c r="I100" s="2"/>
      <c r="J100" s="19"/>
      <c r="K100" s="2"/>
      <c r="L100" s="2">
        <f t="shared" si="0"/>
        <v>-1.99</v>
      </c>
      <c r="M100" s="2"/>
      <c r="N100" s="19">
        <f t="shared" si="1"/>
        <v>0</v>
      </c>
      <c r="O100" s="11"/>
      <c r="P100" s="2">
        <f>-5626.14</f>
        <v>-5626.14</v>
      </c>
      <c r="Q100" s="2"/>
      <c r="R100" s="19"/>
      <c r="S100" s="2"/>
      <c r="T100" s="2"/>
      <c r="U100" s="2"/>
      <c r="V100" s="19"/>
      <c r="W100" s="2"/>
      <c r="X100" s="2">
        <f t="shared" si="2"/>
        <v>-5626.14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"4383", " - ", "SALES RETURN NON TAXABLE-COMPU")</f>
        <v xml:space="preserve">          4383 - SALES RETURN NON TAXABLE-COMPU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-14.99</f>
        <v>-14.99</v>
      </c>
      <c r="Q101" s="2"/>
      <c r="R101" s="19"/>
      <c r="S101" s="2"/>
      <c r="T101" s="2"/>
      <c r="U101" s="2"/>
      <c r="V101" s="19"/>
      <c r="W101" s="2"/>
      <c r="X101" s="2">
        <f t="shared" si="2"/>
        <v>-14.99</v>
      </c>
      <c r="Y101" s="2"/>
      <c r="Z101" s="19">
        <f t="shared" si="3"/>
        <v>0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collapsed="1" x14ac:dyDescent="0.25">
      <c r="A103" s="10"/>
      <c r="B103" s="29" t="s">
        <v>257</v>
      </c>
      <c r="C103" s="10"/>
      <c r="D103" s="4">
        <f>SUM(OSRRefD16x_0)</f>
        <v>317774.34999999992</v>
      </c>
      <c r="E103" s="4"/>
      <c r="F103" s="12">
        <f t="shared" ref="F103:F160" si="6">IF(D$12=0,0,D103/D$12)</f>
        <v>0.7045976490303848</v>
      </c>
      <c r="G103" s="4"/>
      <c r="H103" s="4">
        <f>SUM(OSRRefH16x_0)</f>
        <v>431870</v>
      </c>
      <c r="I103" s="4"/>
      <c r="J103" s="12">
        <f t="shared" ref="J103:J160" si="7">IF(H$12=0,0,H103/H$12)</f>
        <v>0.58469928339238497</v>
      </c>
      <c r="K103" s="4"/>
      <c r="L103" s="4">
        <f t="shared" ref="L103:L160" si="8">+D103-H103</f>
        <v>-114095.65000000008</v>
      </c>
      <c r="M103" s="4"/>
      <c r="N103" s="12">
        <f t="shared" ref="N103:N160" si="9">IF(H103=0,0,L103/H103)</f>
        <v>-0.26418980248685964</v>
      </c>
      <c r="O103" s="10"/>
      <c r="P103" s="4">
        <f>SUM(OSRRefP16x_0)</f>
        <v>6288271.2600000007</v>
      </c>
      <c r="Q103" s="4"/>
      <c r="R103" s="12">
        <f t="shared" ref="R103:R160" si="10">IF(P$12=0,0,P103/P$12)</f>
        <v>0.61269546764506866</v>
      </c>
      <c r="S103" s="4"/>
      <c r="T103" s="4">
        <f>SUM(OSRRefT16x_0)</f>
        <v>8730260</v>
      </c>
      <c r="U103" s="4"/>
      <c r="V103" s="12">
        <f t="shared" ref="V103:V160" si="11">IF(T$12=0,0,T103/T$12)</f>
        <v>0.51233397029866012</v>
      </c>
      <c r="W103" s="4"/>
      <c r="X103" s="4">
        <f t="shared" ref="X103:X160" si="12">+P103-T103</f>
        <v>-2441988.7399999993</v>
      </c>
      <c r="Y103" s="4"/>
      <c r="Z103" s="12">
        <f t="shared" ref="Z103:Z160" si="13">IF(T103=0,0,X103/T103)</f>
        <v>-0.27971546551878174</v>
      </c>
    </row>
    <row r="104" spans="1:26" s="24" customFormat="1" hidden="1" outlineLevel="1" x14ac:dyDescent="0.25">
      <c r="A104" s="44"/>
      <c r="B104" s="11" t="str">
        <f>CONCATENATE("          ", "5000", " - ", "PURCHASES @ COST")</f>
        <v xml:space="preserve">          5000 - PURCHASES @ COST</v>
      </c>
      <c r="C104" s="11"/>
      <c r="D104" s="2"/>
      <c r="E104" s="2"/>
      <c r="F104" s="19">
        <f t="shared" si="6"/>
        <v>0</v>
      </c>
      <c r="G104" s="2"/>
      <c r="H104" s="2">
        <v>431870</v>
      </c>
      <c r="I104" s="2"/>
      <c r="J104" s="19">
        <f t="shared" si="7"/>
        <v>0.58469928339238497</v>
      </c>
      <c r="K104" s="2"/>
      <c r="L104" s="2">
        <f t="shared" si="8"/>
        <v>-431870</v>
      </c>
      <c r="M104" s="2"/>
      <c r="N104" s="19">
        <f t="shared" si="9"/>
        <v>-1</v>
      </c>
      <c r="O104" s="11"/>
      <c r="P104" s="2">
        <v>0</v>
      </c>
      <c r="Q104" s="2"/>
      <c r="R104" s="19">
        <f t="shared" si="10"/>
        <v>0</v>
      </c>
      <c r="S104" s="2"/>
      <c r="T104" s="2">
        <v>8730260</v>
      </c>
      <c r="U104" s="2"/>
      <c r="V104" s="19">
        <f t="shared" si="11"/>
        <v>0.51233397029866012</v>
      </c>
      <c r="W104" s="2"/>
      <c r="X104" s="2">
        <f t="shared" si="12"/>
        <v>-8730260</v>
      </c>
      <c r="Y104" s="2"/>
      <c r="Z104" s="19">
        <f t="shared" si="13"/>
        <v>-1</v>
      </c>
    </row>
    <row r="105" spans="1:26" s="24" customFormat="1" hidden="1" outlineLevel="1" x14ac:dyDescent="0.25">
      <c r="A105" s="44"/>
      <c r="B105" s="11" t="str">
        <f>CONCATENATE("          ", "5001", " - ", "PURCHASES @ COST-NEW TEXT")</f>
        <v xml:space="preserve">          5001 - PURCHASES @ COST-NEW TEXT</v>
      </c>
      <c r="C105" s="11"/>
      <c r="D105" s="2">
        <v>142777.26</v>
      </c>
      <c r="E105" s="2"/>
      <c r="F105" s="19">
        <f t="shared" si="6"/>
        <v>0.31657848322559712</v>
      </c>
      <c r="G105" s="2"/>
      <c r="H105" s="2"/>
      <c r="I105" s="2"/>
      <c r="J105" s="19">
        <f t="shared" si="7"/>
        <v>0</v>
      </c>
      <c r="K105" s="2"/>
      <c r="L105" s="2">
        <f t="shared" si="8"/>
        <v>142777.26</v>
      </c>
      <c r="M105" s="2"/>
      <c r="N105" s="19">
        <f t="shared" si="9"/>
        <v>0</v>
      </c>
      <c r="O105" s="11"/>
      <c r="P105" s="2">
        <v>1214343.74</v>
      </c>
      <c r="Q105" s="2"/>
      <c r="R105" s="19">
        <f t="shared" si="10"/>
        <v>0.11831914923803105</v>
      </c>
      <c r="S105" s="2"/>
      <c r="T105" s="2"/>
      <c r="U105" s="2"/>
      <c r="V105" s="19">
        <f t="shared" si="11"/>
        <v>0</v>
      </c>
      <c r="W105" s="2"/>
      <c r="X105" s="2">
        <f t="shared" si="12"/>
        <v>1214343.74</v>
      </c>
      <c r="Y105" s="2"/>
      <c r="Z105" s="19">
        <f t="shared" si="13"/>
        <v>0</v>
      </c>
    </row>
    <row r="106" spans="1:26" s="24" customFormat="1" hidden="1" outlineLevel="1" x14ac:dyDescent="0.25">
      <c r="A106" s="44"/>
      <c r="B106" s="11" t="str">
        <f>CONCATENATE("          ", "5002", " - ", "PURCHASES @ COST-USED TEXT")</f>
        <v xml:space="preserve">          5002 - PURCHASES @ COST-USED TEXT</v>
      </c>
      <c r="C106" s="11"/>
      <c r="D106" s="2">
        <v>-17366.759999999998</v>
      </c>
      <c r="E106" s="2"/>
      <c r="F106" s="19">
        <f t="shared" si="6"/>
        <v>-3.8507130192461818E-2</v>
      </c>
      <c r="G106" s="2"/>
      <c r="H106" s="2"/>
      <c r="I106" s="2"/>
      <c r="J106" s="19">
        <f t="shared" si="7"/>
        <v>0</v>
      </c>
      <c r="K106" s="2"/>
      <c r="L106" s="2">
        <f t="shared" si="8"/>
        <v>-17366.759999999998</v>
      </c>
      <c r="M106" s="2"/>
      <c r="N106" s="19">
        <f t="shared" si="9"/>
        <v>0</v>
      </c>
      <c r="O106" s="11"/>
      <c r="P106" s="2">
        <v>262546.52</v>
      </c>
      <c r="Q106" s="2"/>
      <c r="R106" s="19">
        <f t="shared" si="10"/>
        <v>2.5581126544783526E-2</v>
      </c>
      <c r="S106" s="2"/>
      <c r="T106" s="2"/>
      <c r="U106" s="2"/>
      <c r="V106" s="19">
        <f t="shared" si="11"/>
        <v>0</v>
      </c>
      <c r="W106" s="2"/>
      <c r="X106" s="2">
        <f t="shared" si="12"/>
        <v>262546.52</v>
      </c>
      <c r="Y106" s="2"/>
      <c r="Z106" s="19">
        <f t="shared" si="13"/>
        <v>0</v>
      </c>
    </row>
    <row r="107" spans="1:26" s="24" customFormat="1" hidden="1" outlineLevel="1" x14ac:dyDescent="0.25">
      <c r="A107" s="44"/>
      <c r="B107" s="11" t="str">
        <f>CONCATENATE("          ", "5003", " - ", "PURCHASES @ COST-RENTAL TEXT")</f>
        <v xml:space="preserve">          5003 - PURCHASES @ COST-RENTAL TEXT</v>
      </c>
      <c r="C107" s="11"/>
      <c r="D107" s="2">
        <v>6024.36</v>
      </c>
      <c r="E107" s="2"/>
      <c r="F107" s="19">
        <f t="shared" si="6"/>
        <v>1.3357748644321639E-2</v>
      </c>
      <c r="G107" s="2"/>
      <c r="H107" s="2"/>
      <c r="I107" s="2"/>
      <c r="J107" s="19">
        <f t="shared" si="7"/>
        <v>0</v>
      </c>
      <c r="K107" s="2"/>
      <c r="L107" s="2">
        <f t="shared" si="8"/>
        <v>6024.36</v>
      </c>
      <c r="M107" s="2"/>
      <c r="N107" s="19">
        <f t="shared" si="9"/>
        <v>0</v>
      </c>
      <c r="O107" s="11"/>
      <c r="P107" s="2">
        <v>13236.44</v>
      </c>
      <c r="Q107" s="2"/>
      <c r="R107" s="19">
        <f t="shared" si="10"/>
        <v>1.2896878109160787E-3</v>
      </c>
      <c r="S107" s="2"/>
      <c r="T107" s="2"/>
      <c r="U107" s="2"/>
      <c r="V107" s="19">
        <f t="shared" si="11"/>
        <v>0</v>
      </c>
      <c r="W107" s="2"/>
      <c r="X107" s="2">
        <f t="shared" si="12"/>
        <v>13236.44</v>
      </c>
      <c r="Y107" s="2"/>
      <c r="Z107" s="19">
        <f t="shared" si="13"/>
        <v>0</v>
      </c>
    </row>
    <row r="108" spans="1:26" s="24" customFormat="1" hidden="1" outlineLevel="1" x14ac:dyDescent="0.25">
      <c r="A108" s="44"/>
      <c r="B108" s="11" t="str">
        <f>CONCATENATE("          ", "5004", " - ", "PURCHASES @ COST-DIGITAL TEXT")</f>
        <v xml:space="preserve">          5004 - PURCHASES @ COST-DIGITAL TEXT</v>
      </c>
      <c r="C108" s="11"/>
      <c r="D108" s="2">
        <v>178285.37</v>
      </c>
      <c r="E108" s="2"/>
      <c r="F108" s="19">
        <f t="shared" si="6"/>
        <v>0.39531023368787421</v>
      </c>
      <c r="G108" s="2"/>
      <c r="H108" s="2"/>
      <c r="I108" s="2"/>
      <c r="J108" s="19">
        <f t="shared" si="7"/>
        <v>0</v>
      </c>
      <c r="K108" s="2"/>
      <c r="L108" s="2">
        <f t="shared" si="8"/>
        <v>178285.37</v>
      </c>
      <c r="M108" s="2"/>
      <c r="N108" s="19">
        <f t="shared" si="9"/>
        <v>0</v>
      </c>
      <c r="O108" s="11"/>
      <c r="P108" s="2">
        <v>377891.8</v>
      </c>
      <c r="Q108" s="2"/>
      <c r="R108" s="19">
        <f t="shared" si="10"/>
        <v>3.6819752766237487E-2</v>
      </c>
      <c r="S108" s="2"/>
      <c r="T108" s="2"/>
      <c r="U108" s="2"/>
      <c r="V108" s="19">
        <f t="shared" si="11"/>
        <v>0</v>
      </c>
      <c r="W108" s="2"/>
      <c r="X108" s="2">
        <f t="shared" si="12"/>
        <v>377891.8</v>
      </c>
      <c r="Y108" s="2"/>
      <c r="Z108" s="19">
        <f t="shared" si="13"/>
        <v>0</v>
      </c>
    </row>
    <row r="109" spans="1:26" s="24" customFormat="1" hidden="1" outlineLevel="1" x14ac:dyDescent="0.25">
      <c r="A109" s="44"/>
      <c r="B109" s="11" t="str">
        <f>CONCATENATE("          ", "5011", " - ", "PURCHASES @ COST-NO VALUE TEXT")</f>
        <v xml:space="preserve">          5011 - PURCHASES @ COST-NO VALUE TEXT</v>
      </c>
      <c r="C109" s="11"/>
      <c r="D109" s="2">
        <v>63.17</v>
      </c>
      <c r="E109" s="2"/>
      <c r="F109" s="19">
        <f t="shared" si="6"/>
        <v>1.4006616169382274E-4</v>
      </c>
      <c r="G109" s="2"/>
      <c r="H109" s="2"/>
      <c r="I109" s="2"/>
      <c r="J109" s="19">
        <f t="shared" si="7"/>
        <v>0</v>
      </c>
      <c r="K109" s="2"/>
      <c r="L109" s="2">
        <f t="shared" si="8"/>
        <v>63.17</v>
      </c>
      <c r="M109" s="2"/>
      <c r="N109" s="19">
        <f t="shared" si="9"/>
        <v>0</v>
      </c>
      <c r="O109" s="11"/>
      <c r="P109" s="2">
        <v>130.34</v>
      </c>
      <c r="Q109" s="2"/>
      <c r="R109" s="19">
        <f t="shared" si="10"/>
        <v>1.2699631417118325E-5</v>
      </c>
      <c r="S109" s="2"/>
      <c r="T109" s="2"/>
      <c r="U109" s="2"/>
      <c r="V109" s="19">
        <f t="shared" si="11"/>
        <v>0</v>
      </c>
      <c r="W109" s="2"/>
      <c r="X109" s="2">
        <f t="shared" si="12"/>
        <v>130.34</v>
      </c>
      <c r="Y109" s="2"/>
      <c r="Z109" s="19">
        <f t="shared" si="13"/>
        <v>0</v>
      </c>
    </row>
    <row r="110" spans="1:26" s="24" customFormat="1" hidden="1" outlineLevel="1" x14ac:dyDescent="0.25">
      <c r="A110" s="44"/>
      <c r="B110" s="11" t="str">
        <f>CONCATENATE("          ", "5013", " - ", "PURCHASES @ COST-TRADE BOOKS")</f>
        <v xml:space="preserve">          5013 - PURCHASES @ COST-TRADE BOOKS</v>
      </c>
      <c r="C110" s="11"/>
      <c r="D110" s="2">
        <v>1964.92</v>
      </c>
      <c r="E110" s="2"/>
      <c r="F110" s="19">
        <f t="shared" si="6"/>
        <v>4.3567959859969318E-3</v>
      </c>
      <c r="G110" s="2"/>
      <c r="H110" s="2"/>
      <c r="I110" s="2"/>
      <c r="J110" s="19">
        <f t="shared" si="7"/>
        <v>0</v>
      </c>
      <c r="K110" s="2"/>
      <c r="L110" s="2">
        <f t="shared" si="8"/>
        <v>1964.92</v>
      </c>
      <c r="M110" s="2"/>
      <c r="N110" s="19">
        <f t="shared" si="9"/>
        <v>0</v>
      </c>
      <c r="O110" s="11"/>
      <c r="P110" s="2">
        <v>11634.94</v>
      </c>
      <c r="Q110" s="2"/>
      <c r="R110" s="19">
        <f t="shared" si="10"/>
        <v>1.1336462295556751E-3</v>
      </c>
      <c r="S110" s="2"/>
      <c r="T110" s="2"/>
      <c r="U110" s="2"/>
      <c r="V110" s="19">
        <f t="shared" si="11"/>
        <v>0</v>
      </c>
      <c r="W110" s="2"/>
      <c r="X110" s="2">
        <f t="shared" si="12"/>
        <v>11634.94</v>
      </c>
      <c r="Y110" s="2"/>
      <c r="Z110" s="19">
        <f t="shared" si="13"/>
        <v>0</v>
      </c>
    </row>
    <row r="111" spans="1:26" s="24" customFormat="1" hidden="1" outlineLevel="1" x14ac:dyDescent="0.25">
      <c r="A111" s="44"/>
      <c r="B111" s="11" t="str">
        <f>CONCATENATE("          ", "5014", " - ", "PURCHASES @ COST-REMAINDERS")</f>
        <v xml:space="preserve">          5014 - PURCHASES @ COST-REMAINDERS</v>
      </c>
      <c r="C111" s="11"/>
      <c r="D111" s="2">
        <v>-161.43</v>
      </c>
      <c r="E111" s="2"/>
      <c r="F111" s="19">
        <f t="shared" si="6"/>
        <v>-3.5793700304311867E-4</v>
      </c>
      <c r="G111" s="2"/>
      <c r="H111" s="2"/>
      <c r="I111" s="2"/>
      <c r="J111" s="19">
        <f t="shared" si="7"/>
        <v>0</v>
      </c>
      <c r="K111" s="2"/>
      <c r="L111" s="2">
        <f t="shared" si="8"/>
        <v>-161.43</v>
      </c>
      <c r="M111" s="2"/>
      <c r="N111" s="19">
        <f t="shared" si="9"/>
        <v>0</v>
      </c>
      <c r="O111" s="11"/>
      <c r="P111" s="2">
        <v>-49.86</v>
      </c>
      <c r="Q111" s="2"/>
      <c r="R111" s="19">
        <f t="shared" si="10"/>
        <v>-4.858091318532451E-6</v>
      </c>
      <c r="S111" s="2"/>
      <c r="T111" s="2"/>
      <c r="U111" s="2"/>
      <c r="V111" s="19">
        <f t="shared" si="11"/>
        <v>0</v>
      </c>
      <c r="W111" s="2"/>
      <c r="X111" s="2">
        <f t="shared" si="12"/>
        <v>-49.86</v>
      </c>
      <c r="Y111" s="2"/>
      <c r="Z111" s="19">
        <f t="shared" si="13"/>
        <v>0</v>
      </c>
    </row>
    <row r="112" spans="1:26" s="24" customFormat="1" hidden="1" outlineLevel="1" x14ac:dyDescent="0.25">
      <c r="A112" s="44"/>
      <c r="B112" s="11" t="str">
        <f>CONCATENATE("          ", "5018", " - ", "PURCHASES @ COST-STUDY GUIDES")</f>
        <v xml:space="preserve">          5018 - PURCHASES @ COST-STUDY GUIDES</v>
      </c>
      <c r="C112" s="11"/>
      <c r="D112" s="2">
        <v>476.17</v>
      </c>
      <c r="E112" s="2"/>
      <c r="F112" s="19">
        <f t="shared" si="6"/>
        <v>1.0558066204487506E-3</v>
      </c>
      <c r="G112" s="2"/>
      <c r="H112" s="2"/>
      <c r="I112" s="2"/>
      <c r="J112" s="19">
        <f t="shared" si="7"/>
        <v>0</v>
      </c>
      <c r="K112" s="2"/>
      <c r="L112" s="2">
        <f t="shared" si="8"/>
        <v>476.17</v>
      </c>
      <c r="M112" s="2"/>
      <c r="N112" s="19">
        <f t="shared" si="9"/>
        <v>0</v>
      </c>
      <c r="O112" s="11"/>
      <c r="P112" s="2">
        <v>1443.38</v>
      </c>
      <c r="Q112" s="2"/>
      <c r="R112" s="19">
        <f t="shared" si="10"/>
        <v>1.4063521555040853E-4</v>
      </c>
      <c r="S112" s="2"/>
      <c r="T112" s="2"/>
      <c r="U112" s="2"/>
      <c r="V112" s="19">
        <f t="shared" si="11"/>
        <v>0</v>
      </c>
      <c r="W112" s="2"/>
      <c r="X112" s="2">
        <f t="shared" si="12"/>
        <v>1443.38</v>
      </c>
      <c r="Y112" s="2"/>
      <c r="Z112" s="19">
        <f t="shared" si="13"/>
        <v>0</v>
      </c>
    </row>
    <row r="113" spans="1:26" s="24" customFormat="1" hidden="1" outlineLevel="1" x14ac:dyDescent="0.25">
      <c r="A113" s="44"/>
      <c r="B113" s="11" t="str">
        <f>CONCATENATE("          ", "5025", " - ", "PURCHASES @ COST-TEST FORMS")</f>
        <v xml:space="preserve">          5025 - PURCHASES @ COST-TEST FORMS</v>
      </c>
      <c r="C113" s="11"/>
      <c r="D113" s="2">
        <v>161</v>
      </c>
      <c r="E113" s="2"/>
      <c r="F113" s="19">
        <f t="shared" si="6"/>
        <v>3.5698356866717526E-4</v>
      </c>
      <c r="G113" s="2"/>
      <c r="H113" s="2"/>
      <c r="I113" s="2"/>
      <c r="J113" s="19">
        <f t="shared" si="7"/>
        <v>0</v>
      </c>
      <c r="K113" s="2"/>
      <c r="L113" s="2">
        <f t="shared" si="8"/>
        <v>161</v>
      </c>
      <c r="M113" s="2"/>
      <c r="N113" s="19">
        <f t="shared" si="9"/>
        <v>0</v>
      </c>
      <c r="O113" s="11"/>
      <c r="P113" s="2">
        <v>760.29</v>
      </c>
      <c r="Q113" s="2"/>
      <c r="R113" s="19">
        <f t="shared" si="10"/>
        <v>7.4078585009366976E-5</v>
      </c>
      <c r="S113" s="2"/>
      <c r="T113" s="2"/>
      <c r="U113" s="2"/>
      <c r="V113" s="19">
        <f t="shared" si="11"/>
        <v>0</v>
      </c>
      <c r="W113" s="2"/>
      <c r="X113" s="2">
        <f t="shared" si="12"/>
        <v>760.29</v>
      </c>
      <c r="Y113" s="2"/>
      <c r="Z113" s="19">
        <f t="shared" si="13"/>
        <v>0</v>
      </c>
    </row>
    <row r="114" spans="1:26" s="24" customFormat="1" hidden="1" outlineLevel="1" x14ac:dyDescent="0.25">
      <c r="A114" s="44"/>
      <c r="B114" s="11" t="str">
        <f>CONCATENATE("          ", "5026", " - ", "PURCHASES @ COST-WRITING INSTR")</f>
        <v xml:space="preserve">          5026 - PURCHASES @ COST-WRITING INSTR</v>
      </c>
      <c r="C114" s="11"/>
      <c r="D114" s="2">
        <v>1361.75</v>
      </c>
      <c r="E114" s="2"/>
      <c r="F114" s="19">
        <f t="shared" si="6"/>
        <v>3.0193936312579248E-3</v>
      </c>
      <c r="G114" s="2"/>
      <c r="H114" s="2"/>
      <c r="I114" s="2"/>
      <c r="J114" s="19">
        <f t="shared" si="7"/>
        <v>0</v>
      </c>
      <c r="K114" s="2"/>
      <c r="L114" s="2">
        <f t="shared" si="8"/>
        <v>1361.75</v>
      </c>
      <c r="M114" s="2"/>
      <c r="N114" s="19">
        <f t="shared" si="9"/>
        <v>0</v>
      </c>
      <c r="O114" s="11"/>
      <c r="P114" s="2">
        <v>1944.25</v>
      </c>
      <c r="Q114" s="2"/>
      <c r="R114" s="19">
        <f t="shared" si="10"/>
        <v>1.894373053761877E-4</v>
      </c>
      <c r="S114" s="2"/>
      <c r="T114" s="2"/>
      <c r="U114" s="2"/>
      <c r="V114" s="19">
        <f t="shared" si="11"/>
        <v>0</v>
      </c>
      <c r="W114" s="2"/>
      <c r="X114" s="2">
        <f t="shared" si="12"/>
        <v>1944.25</v>
      </c>
      <c r="Y114" s="2"/>
      <c r="Z114" s="19">
        <f t="shared" si="13"/>
        <v>0</v>
      </c>
    </row>
    <row r="115" spans="1:26" s="24" customFormat="1" hidden="1" outlineLevel="1" x14ac:dyDescent="0.25">
      <c r="A115" s="44"/>
      <c r="B115" s="11" t="str">
        <f>CONCATENATE("          ", "5027", " - ", "PURCHASES @ COST-SCHOOL SUPPLI")</f>
        <v xml:space="preserve">          5027 - PURCHASES @ COST-SCHOOL SUPPLI</v>
      </c>
      <c r="C115" s="11"/>
      <c r="D115" s="2">
        <v>-23546.66</v>
      </c>
      <c r="E115" s="2"/>
      <c r="F115" s="19">
        <f t="shared" si="6"/>
        <v>-5.2209756006165398E-2</v>
      </c>
      <c r="G115" s="2"/>
      <c r="H115" s="2"/>
      <c r="I115" s="2"/>
      <c r="J115" s="19">
        <f t="shared" si="7"/>
        <v>0</v>
      </c>
      <c r="K115" s="2"/>
      <c r="L115" s="2">
        <f t="shared" si="8"/>
        <v>-23546.66</v>
      </c>
      <c r="M115" s="2"/>
      <c r="N115" s="19">
        <f t="shared" si="9"/>
        <v>0</v>
      </c>
      <c r="O115" s="11"/>
      <c r="P115" s="2">
        <v>188.33</v>
      </c>
      <c r="Q115" s="2"/>
      <c r="R115" s="19">
        <f t="shared" si="10"/>
        <v>1.8349866386265878E-5</v>
      </c>
      <c r="S115" s="2"/>
      <c r="T115" s="2"/>
      <c r="U115" s="2"/>
      <c r="V115" s="19">
        <f t="shared" si="11"/>
        <v>0</v>
      </c>
      <c r="W115" s="2"/>
      <c r="X115" s="2">
        <f t="shared" si="12"/>
        <v>188.33</v>
      </c>
      <c r="Y115" s="2"/>
      <c r="Z115" s="19">
        <f t="shared" si="13"/>
        <v>0</v>
      </c>
    </row>
    <row r="116" spans="1:26" s="24" customFormat="1" hidden="1" outlineLevel="1" x14ac:dyDescent="0.25">
      <c r="A116" s="44"/>
      <c r="B116" s="11" t="str">
        <f>CONCATENATE("          ", "5028", " - ", "PURCHASES @ COST-ART/TECH")</f>
        <v xml:space="preserve">          5028 - PURCHASES @ COST-ART/TECH</v>
      </c>
      <c r="C116" s="11"/>
      <c r="D116" s="2">
        <v>4965.34</v>
      </c>
      <c r="E116" s="2"/>
      <c r="F116" s="19">
        <f t="shared" si="6"/>
        <v>1.1009594986620323E-2</v>
      </c>
      <c r="G116" s="2"/>
      <c r="H116" s="2"/>
      <c r="I116" s="2"/>
      <c r="J116" s="19">
        <f t="shared" si="7"/>
        <v>0</v>
      </c>
      <c r="K116" s="2"/>
      <c r="L116" s="2">
        <f t="shared" si="8"/>
        <v>4965.34</v>
      </c>
      <c r="M116" s="2"/>
      <c r="N116" s="19">
        <f t="shared" si="9"/>
        <v>0</v>
      </c>
      <c r="O116" s="11"/>
      <c r="P116" s="2">
        <v>52646.080000000002</v>
      </c>
      <c r="Q116" s="2"/>
      <c r="R116" s="19">
        <f t="shared" si="10"/>
        <v>5.1295520297385665E-3</v>
      </c>
      <c r="S116" s="2"/>
      <c r="T116" s="2"/>
      <c r="U116" s="2"/>
      <c r="V116" s="19">
        <f t="shared" si="11"/>
        <v>0</v>
      </c>
      <c r="W116" s="2"/>
      <c r="X116" s="2">
        <f t="shared" si="12"/>
        <v>52646.080000000002</v>
      </c>
      <c r="Y116" s="2"/>
      <c r="Z116" s="19">
        <f t="shared" si="13"/>
        <v>0</v>
      </c>
    </row>
    <row r="117" spans="1:26" s="24" customFormat="1" hidden="1" outlineLevel="1" x14ac:dyDescent="0.25">
      <c r="A117" s="44"/>
      <c r="B117" s="11" t="str">
        <f>CONCATENATE("          ", "5031", " - ", "PURCHASES @ COST-FOOD")</f>
        <v xml:space="preserve">          5031 - PURCHASES @ COST-FOOD</v>
      </c>
      <c r="C117" s="11"/>
      <c r="D117" s="2">
        <v>75599.55</v>
      </c>
      <c r="E117" s="2"/>
      <c r="F117" s="19">
        <f t="shared" si="6"/>
        <v>0.16762606924616491</v>
      </c>
      <c r="G117" s="2"/>
      <c r="H117" s="2"/>
      <c r="I117" s="2"/>
      <c r="J117" s="19">
        <f t="shared" si="7"/>
        <v>0</v>
      </c>
      <c r="K117" s="2"/>
      <c r="L117" s="2">
        <f t="shared" si="8"/>
        <v>75599.55</v>
      </c>
      <c r="M117" s="2"/>
      <c r="N117" s="19">
        <f t="shared" si="9"/>
        <v>0</v>
      </c>
      <c r="O117" s="11"/>
      <c r="P117" s="2">
        <v>83665.64</v>
      </c>
      <c r="Q117" s="2"/>
      <c r="R117" s="19">
        <f t="shared" si="10"/>
        <v>8.1519317958977412E-3</v>
      </c>
      <c r="S117" s="2"/>
      <c r="T117" s="2"/>
      <c r="U117" s="2"/>
      <c r="V117" s="19">
        <f t="shared" si="11"/>
        <v>0</v>
      </c>
      <c r="W117" s="2"/>
      <c r="X117" s="2">
        <f t="shared" si="12"/>
        <v>83665.64</v>
      </c>
      <c r="Y117" s="2"/>
      <c r="Z117" s="19">
        <f t="shared" si="13"/>
        <v>0</v>
      </c>
    </row>
    <row r="118" spans="1:26" s="24" customFormat="1" hidden="1" outlineLevel="1" x14ac:dyDescent="0.25">
      <c r="A118" s="44"/>
      <c r="B118" s="11" t="str">
        <f>CONCATENATE("          ", "5032", " - ", "PURCHASES @ COST-JUICE")</f>
        <v xml:space="preserve">          5032 - PURCHASES @ COST-JUICE</v>
      </c>
      <c r="C118" s="11"/>
      <c r="D118" s="2">
        <v>291</v>
      </c>
      <c r="E118" s="2"/>
      <c r="F118" s="19">
        <f t="shared" si="6"/>
        <v>6.4523117069657148E-4</v>
      </c>
      <c r="G118" s="2"/>
      <c r="H118" s="2"/>
      <c r="I118" s="2"/>
      <c r="J118" s="19">
        <f t="shared" si="7"/>
        <v>0</v>
      </c>
      <c r="K118" s="2"/>
      <c r="L118" s="2">
        <f t="shared" si="8"/>
        <v>291</v>
      </c>
      <c r="M118" s="2"/>
      <c r="N118" s="19">
        <f t="shared" si="9"/>
        <v>0</v>
      </c>
      <c r="O118" s="11"/>
      <c r="P118" s="2">
        <v>291</v>
      </c>
      <c r="Q118" s="2"/>
      <c r="R118" s="19">
        <f t="shared" si="10"/>
        <v>2.8353481221278447E-5</v>
      </c>
      <c r="S118" s="2"/>
      <c r="T118" s="2"/>
      <c r="U118" s="2"/>
      <c r="V118" s="19">
        <f t="shared" si="11"/>
        <v>0</v>
      </c>
      <c r="W118" s="2"/>
      <c r="X118" s="2">
        <f t="shared" si="12"/>
        <v>291</v>
      </c>
      <c r="Y118" s="2"/>
      <c r="Z118" s="19">
        <f t="shared" si="13"/>
        <v>0</v>
      </c>
    </row>
    <row r="119" spans="1:26" s="24" customFormat="1" hidden="1" outlineLevel="1" x14ac:dyDescent="0.25">
      <c r="A119" s="44"/>
      <c r="B119" s="11" t="str">
        <f>CONCATENATE("          ", "5033", " - ", "PURCHASES @ COST-CANDY")</f>
        <v xml:space="preserve">          5033 - PURCHASES @ COST-CANDY</v>
      </c>
      <c r="C119" s="11"/>
      <c r="D119" s="2">
        <v>1266</v>
      </c>
      <c r="E119" s="2"/>
      <c r="F119" s="19">
        <f t="shared" si="6"/>
        <v>2.8070881859170427E-3</v>
      </c>
      <c r="G119" s="2"/>
      <c r="H119" s="2"/>
      <c r="I119" s="2"/>
      <c r="J119" s="19">
        <f t="shared" si="7"/>
        <v>0</v>
      </c>
      <c r="K119" s="2"/>
      <c r="L119" s="2">
        <f t="shared" si="8"/>
        <v>1266</v>
      </c>
      <c r="M119" s="2"/>
      <c r="N119" s="19">
        <f t="shared" si="9"/>
        <v>0</v>
      </c>
      <c r="O119" s="11"/>
      <c r="P119" s="2">
        <v>1266</v>
      </c>
      <c r="Q119" s="2"/>
      <c r="R119" s="19">
        <f t="shared" si="10"/>
        <v>1.2335225850906707E-4</v>
      </c>
      <c r="S119" s="2"/>
      <c r="T119" s="2"/>
      <c r="U119" s="2"/>
      <c r="V119" s="19">
        <f t="shared" si="11"/>
        <v>0</v>
      </c>
      <c r="W119" s="2"/>
      <c r="X119" s="2">
        <f t="shared" si="12"/>
        <v>1266</v>
      </c>
      <c r="Y119" s="2"/>
      <c r="Z119" s="19">
        <f t="shared" si="13"/>
        <v>0</v>
      </c>
    </row>
    <row r="120" spans="1:26" s="24" customFormat="1" hidden="1" outlineLevel="1" x14ac:dyDescent="0.25">
      <c r="A120" s="44"/>
      <c r="B120" s="11" t="str">
        <f>CONCATENATE("          ", "5034", " - ", "PURCHASES @ COST-SODA")</f>
        <v xml:space="preserve">          5034 - PURCHASES @ COST-SODA</v>
      </c>
      <c r="C120" s="11"/>
      <c r="D120" s="2">
        <v>567</v>
      </c>
      <c r="E120" s="2"/>
      <c r="F120" s="19">
        <f t="shared" si="6"/>
        <v>1.2572030026974433E-3</v>
      </c>
      <c r="G120" s="2"/>
      <c r="H120" s="2"/>
      <c r="I120" s="2"/>
      <c r="J120" s="19">
        <f t="shared" si="7"/>
        <v>0</v>
      </c>
      <c r="K120" s="2"/>
      <c r="L120" s="2">
        <f t="shared" si="8"/>
        <v>567</v>
      </c>
      <c r="M120" s="2"/>
      <c r="N120" s="19">
        <f t="shared" si="9"/>
        <v>0</v>
      </c>
      <c r="O120" s="11"/>
      <c r="P120" s="2">
        <v>567</v>
      </c>
      <c r="Q120" s="2"/>
      <c r="R120" s="19">
        <f t="shared" si="10"/>
        <v>5.5245442791975527E-5</v>
      </c>
      <c r="S120" s="2"/>
      <c r="T120" s="2"/>
      <c r="U120" s="2"/>
      <c r="V120" s="19">
        <f t="shared" si="11"/>
        <v>0</v>
      </c>
      <c r="W120" s="2"/>
      <c r="X120" s="2">
        <f t="shared" si="12"/>
        <v>567</v>
      </c>
      <c r="Y120" s="2"/>
      <c r="Z120" s="19">
        <f t="shared" si="13"/>
        <v>0</v>
      </c>
    </row>
    <row r="121" spans="1:26" s="24" customFormat="1" hidden="1" outlineLevel="1" x14ac:dyDescent="0.25">
      <c r="A121" s="44"/>
      <c r="B121" s="11" t="str">
        <f>CONCATENATE("          ", "5035", " - ", "PURCHASES @ COST-HEALTH &amp; BEAU")</f>
        <v xml:space="preserve">          5035 - PURCHASES @ COST-HEALTH &amp; BEAU</v>
      </c>
      <c r="C121" s="11"/>
      <c r="D121" s="2">
        <v>339</v>
      </c>
      <c r="E121" s="2"/>
      <c r="F121" s="19">
        <f t="shared" si="6"/>
        <v>7.5166105452281003E-4</v>
      </c>
      <c r="G121" s="2"/>
      <c r="H121" s="2"/>
      <c r="I121" s="2"/>
      <c r="J121" s="19">
        <f t="shared" si="7"/>
        <v>0</v>
      </c>
      <c r="K121" s="2"/>
      <c r="L121" s="2">
        <f t="shared" si="8"/>
        <v>339</v>
      </c>
      <c r="M121" s="2"/>
      <c r="N121" s="19">
        <f t="shared" si="9"/>
        <v>0</v>
      </c>
      <c r="O121" s="11"/>
      <c r="P121" s="2">
        <v>339</v>
      </c>
      <c r="Q121" s="2"/>
      <c r="R121" s="19">
        <f t="shared" si="10"/>
        <v>3.3030344103138806E-5</v>
      </c>
      <c r="S121" s="2"/>
      <c r="T121" s="2"/>
      <c r="U121" s="2"/>
      <c r="V121" s="19">
        <f t="shared" si="11"/>
        <v>0</v>
      </c>
      <c r="W121" s="2"/>
      <c r="X121" s="2">
        <f t="shared" si="12"/>
        <v>339</v>
      </c>
      <c r="Y121" s="2"/>
      <c r="Z121" s="19">
        <f t="shared" si="13"/>
        <v>0</v>
      </c>
    </row>
    <row r="122" spans="1:26" s="24" customFormat="1" hidden="1" outlineLevel="1" x14ac:dyDescent="0.25">
      <c r="A122" s="44"/>
      <c r="B122" s="11" t="str">
        <f>CONCATENATE("          ", "5037", " - ", "PURCHASES @ COST-WATER")</f>
        <v xml:space="preserve">          5037 - PURCHASES @ COST-WATER</v>
      </c>
      <c r="C122" s="11"/>
      <c r="D122" s="2">
        <v>190.95</v>
      </c>
      <c r="E122" s="2"/>
      <c r="F122" s="19">
        <f t="shared" si="6"/>
        <v>4.2339138159625537E-4</v>
      </c>
      <c r="G122" s="2"/>
      <c r="H122" s="2"/>
      <c r="I122" s="2"/>
      <c r="J122" s="19">
        <f t="shared" si="7"/>
        <v>0</v>
      </c>
      <c r="K122" s="2"/>
      <c r="L122" s="2">
        <f t="shared" si="8"/>
        <v>190.95</v>
      </c>
      <c r="M122" s="2"/>
      <c r="N122" s="19">
        <f t="shared" si="9"/>
        <v>0</v>
      </c>
      <c r="O122" s="11"/>
      <c r="P122" s="2">
        <v>190.95</v>
      </c>
      <c r="Q122" s="2"/>
      <c r="R122" s="19">
        <f t="shared" si="10"/>
        <v>1.8605145151900752E-5</v>
      </c>
      <c r="S122" s="2"/>
      <c r="T122" s="2"/>
      <c r="U122" s="2"/>
      <c r="V122" s="19">
        <f t="shared" si="11"/>
        <v>0</v>
      </c>
      <c r="W122" s="2"/>
      <c r="X122" s="2">
        <f t="shared" si="12"/>
        <v>190.95</v>
      </c>
      <c r="Y122" s="2"/>
      <c r="Z122" s="19">
        <f t="shared" si="13"/>
        <v>0</v>
      </c>
    </row>
    <row r="123" spans="1:26" s="24" customFormat="1" hidden="1" outlineLevel="1" x14ac:dyDescent="0.25">
      <c r="A123" s="44"/>
      <c r="B123" s="11" t="str">
        <f>CONCATENATE("          ", "5040", " - ", "PURCHASES @ COST-LOGO CLOTHING")</f>
        <v xml:space="preserve">          5040 - PURCHASES @ COST-LOGO CLOTHING</v>
      </c>
      <c r="C123" s="11"/>
      <c r="D123" s="2">
        <v>65486.18</v>
      </c>
      <c r="E123" s="2"/>
      <c r="F123" s="19">
        <f t="shared" si="6"/>
        <v>0.14520180270050309</v>
      </c>
      <c r="G123" s="2"/>
      <c r="H123" s="2"/>
      <c r="I123" s="2"/>
      <c r="J123" s="19">
        <f t="shared" si="7"/>
        <v>0</v>
      </c>
      <c r="K123" s="2"/>
      <c r="L123" s="2">
        <f t="shared" si="8"/>
        <v>65486.18</v>
      </c>
      <c r="M123" s="2"/>
      <c r="N123" s="19">
        <f t="shared" si="9"/>
        <v>0</v>
      </c>
      <c r="O123" s="11"/>
      <c r="P123" s="2">
        <v>392865.16</v>
      </c>
      <c r="Q123" s="2"/>
      <c r="R123" s="19">
        <f t="shared" si="10"/>
        <v>3.8278676757919419E-2</v>
      </c>
      <c r="S123" s="2"/>
      <c r="T123" s="2"/>
      <c r="U123" s="2"/>
      <c r="V123" s="19">
        <f t="shared" si="11"/>
        <v>0</v>
      </c>
      <c r="W123" s="2"/>
      <c r="X123" s="2">
        <f t="shared" si="12"/>
        <v>392865.16</v>
      </c>
      <c r="Y123" s="2"/>
      <c r="Z123" s="19">
        <f t="shared" si="13"/>
        <v>0</v>
      </c>
    </row>
    <row r="124" spans="1:26" s="24" customFormat="1" hidden="1" outlineLevel="1" x14ac:dyDescent="0.25">
      <c r="A124" s="44"/>
      <c r="B124" s="11" t="str">
        <f>CONCATENATE("          ", "5041", " - ", "PURCHASES @ COST-LOGO GIFTS")</f>
        <v xml:space="preserve">          5041 - PURCHASES @ COST-LOGO GIFTS</v>
      </c>
      <c r="C124" s="11"/>
      <c r="D124" s="2">
        <v>115476.79</v>
      </c>
      <c r="E124" s="2"/>
      <c r="F124" s="19">
        <f t="shared" si="6"/>
        <v>0.25604544467347812</v>
      </c>
      <c r="G124" s="2"/>
      <c r="H124" s="2"/>
      <c r="I124" s="2"/>
      <c r="J124" s="19">
        <f t="shared" si="7"/>
        <v>0</v>
      </c>
      <c r="K124" s="2"/>
      <c r="L124" s="2">
        <f t="shared" si="8"/>
        <v>115476.79</v>
      </c>
      <c r="M124" s="2"/>
      <c r="N124" s="19">
        <f t="shared" si="9"/>
        <v>0</v>
      </c>
      <c r="O124" s="11"/>
      <c r="P124" s="2">
        <v>221875.64</v>
      </c>
      <c r="Q124" s="2"/>
      <c r="R124" s="19">
        <f t="shared" si="10"/>
        <v>2.1618373856354425E-2</v>
      </c>
      <c r="S124" s="2"/>
      <c r="T124" s="2"/>
      <c r="U124" s="2"/>
      <c r="V124" s="19">
        <f t="shared" si="11"/>
        <v>0</v>
      </c>
      <c r="W124" s="2"/>
      <c r="X124" s="2">
        <f t="shared" si="12"/>
        <v>221875.64</v>
      </c>
      <c r="Y124" s="2"/>
      <c r="Z124" s="19">
        <f t="shared" si="13"/>
        <v>0</v>
      </c>
    </row>
    <row r="125" spans="1:26" s="24" customFormat="1" hidden="1" outlineLevel="1" x14ac:dyDescent="0.25">
      <c r="A125" s="44"/>
      <c r="B125" s="11" t="str">
        <f>CONCATENATE("          ", "5042", " - ", "PURCHASES @ COST-EVERYDAY GIFT")</f>
        <v xml:space="preserve">          5042 - PURCHASES @ COST-EVERYDAY GIFT</v>
      </c>
      <c r="C125" s="11"/>
      <c r="D125" s="2">
        <v>-39.200000000000003</v>
      </c>
      <c r="E125" s="2"/>
      <c r="F125" s="19">
        <f t="shared" si="6"/>
        <v>-8.6917738458094852E-5</v>
      </c>
      <c r="G125" s="2"/>
      <c r="H125" s="2"/>
      <c r="I125" s="2"/>
      <c r="J125" s="19">
        <f t="shared" si="7"/>
        <v>0</v>
      </c>
      <c r="K125" s="2"/>
      <c r="L125" s="2">
        <f t="shared" si="8"/>
        <v>-39.200000000000003</v>
      </c>
      <c r="M125" s="2"/>
      <c r="N125" s="19">
        <f t="shared" si="9"/>
        <v>0</v>
      </c>
      <c r="O125" s="11"/>
      <c r="P125" s="2">
        <v>18708.87</v>
      </c>
      <c r="Q125" s="2"/>
      <c r="R125" s="19">
        <f t="shared" si="10"/>
        <v>1.8228920763448098E-3</v>
      </c>
      <c r="S125" s="2"/>
      <c r="T125" s="2"/>
      <c r="U125" s="2"/>
      <c r="V125" s="19">
        <f t="shared" si="11"/>
        <v>0</v>
      </c>
      <c r="W125" s="2"/>
      <c r="X125" s="2">
        <f t="shared" si="12"/>
        <v>18708.87</v>
      </c>
      <c r="Y125" s="2"/>
      <c r="Z125" s="19">
        <f t="shared" si="13"/>
        <v>0</v>
      </c>
    </row>
    <row r="126" spans="1:26" s="24" customFormat="1" hidden="1" outlineLevel="1" x14ac:dyDescent="0.25">
      <c r="A126" s="44"/>
      <c r="B126" s="11" t="str">
        <f>CONCATENATE("          ", "5043", " - ", "PURCHASES @ COST-CARDS")</f>
        <v xml:space="preserve">          5043 - PURCHASES @ COST-CARDS</v>
      </c>
      <c r="C126" s="11"/>
      <c r="D126" s="2">
        <v>-4615.6499999999996</v>
      </c>
      <c r="E126" s="2"/>
      <c r="F126" s="19">
        <f t="shared" si="6"/>
        <v>-1.0234231110053711E-2</v>
      </c>
      <c r="G126" s="2"/>
      <c r="H126" s="2"/>
      <c r="I126" s="2"/>
      <c r="J126" s="19">
        <f t="shared" si="7"/>
        <v>0</v>
      </c>
      <c r="K126" s="2"/>
      <c r="L126" s="2">
        <f t="shared" si="8"/>
        <v>-4615.6499999999996</v>
      </c>
      <c r="M126" s="2"/>
      <c r="N126" s="19">
        <f t="shared" si="9"/>
        <v>0</v>
      </c>
      <c r="O126" s="11"/>
      <c r="P126" s="2">
        <v>50967.68</v>
      </c>
      <c r="Q126" s="2"/>
      <c r="R126" s="19">
        <f t="shared" si="10"/>
        <v>4.9660177243028491E-3</v>
      </c>
      <c r="S126" s="2"/>
      <c r="T126" s="2"/>
      <c r="U126" s="2"/>
      <c r="V126" s="19">
        <f t="shared" si="11"/>
        <v>0</v>
      </c>
      <c r="W126" s="2"/>
      <c r="X126" s="2">
        <f t="shared" si="12"/>
        <v>50967.68</v>
      </c>
      <c r="Y126" s="2"/>
      <c r="Z126" s="19">
        <f t="shared" si="13"/>
        <v>0</v>
      </c>
    </row>
    <row r="127" spans="1:26" s="24" customFormat="1" hidden="1" outlineLevel="1" x14ac:dyDescent="0.25">
      <c r="A127" s="44"/>
      <c r="B127" s="11" t="str">
        <f>CONCATENATE("          ", "5044", " - ", "PURCHASES @ COST-ACCESSORIES")</f>
        <v xml:space="preserve">          5044 - PURCHASES @ COST-ACCESSORIES</v>
      </c>
      <c r="C127" s="11"/>
      <c r="D127" s="2">
        <v>4371.2</v>
      </c>
      <c r="E127" s="2"/>
      <c r="F127" s="19">
        <f t="shared" si="6"/>
        <v>9.6922147537761277E-3</v>
      </c>
      <c r="G127" s="2"/>
      <c r="H127" s="2"/>
      <c r="I127" s="2"/>
      <c r="J127" s="19">
        <f t="shared" si="7"/>
        <v>0</v>
      </c>
      <c r="K127" s="2"/>
      <c r="L127" s="2">
        <f t="shared" si="8"/>
        <v>4371.2</v>
      </c>
      <c r="M127" s="2"/>
      <c r="N127" s="19">
        <f t="shared" si="9"/>
        <v>0</v>
      </c>
      <c r="O127" s="11"/>
      <c r="P127" s="2">
        <v>6926.91</v>
      </c>
      <c r="Q127" s="2"/>
      <c r="R127" s="19">
        <f t="shared" si="10"/>
        <v>6.7492100552056999E-4</v>
      </c>
      <c r="S127" s="2"/>
      <c r="T127" s="2"/>
      <c r="U127" s="2"/>
      <c r="V127" s="19">
        <f t="shared" si="11"/>
        <v>0</v>
      </c>
      <c r="W127" s="2"/>
      <c r="X127" s="2">
        <f t="shared" si="12"/>
        <v>6926.91</v>
      </c>
      <c r="Y127" s="2"/>
      <c r="Z127" s="19">
        <f t="shared" si="13"/>
        <v>0</v>
      </c>
    </row>
    <row r="128" spans="1:26" s="24" customFormat="1" hidden="1" outlineLevel="1" x14ac:dyDescent="0.25">
      <c r="A128" s="44"/>
      <c r="B128" s="11" t="str">
        <f>CONCATENATE("          ", "5045", " - ", "PURCHASES @ COST-SPECIAL ORDER")</f>
        <v xml:space="preserve">          5045 - PURCHASES @ COST-SPECIAL ORDER</v>
      </c>
      <c r="C128" s="11"/>
      <c r="D128" s="2">
        <v>33785.81</v>
      </c>
      <c r="E128" s="2"/>
      <c r="F128" s="19">
        <f t="shared" si="6"/>
        <v>7.4912913193236869E-2</v>
      </c>
      <c r="G128" s="2"/>
      <c r="H128" s="2"/>
      <c r="I128" s="2"/>
      <c r="J128" s="19">
        <f t="shared" si="7"/>
        <v>0</v>
      </c>
      <c r="K128" s="2"/>
      <c r="L128" s="2">
        <f t="shared" si="8"/>
        <v>33785.81</v>
      </c>
      <c r="M128" s="2"/>
      <c r="N128" s="19">
        <f t="shared" si="9"/>
        <v>0</v>
      </c>
      <c r="O128" s="11"/>
      <c r="P128" s="2">
        <v>172925.05</v>
      </c>
      <c r="Q128" s="2"/>
      <c r="R128" s="19">
        <f t="shared" si="10"/>
        <v>1.6848890576850982E-2</v>
      </c>
      <c r="S128" s="2"/>
      <c r="T128" s="2"/>
      <c r="U128" s="2"/>
      <c r="V128" s="19">
        <f t="shared" si="11"/>
        <v>0</v>
      </c>
      <c r="W128" s="2"/>
      <c r="X128" s="2">
        <f t="shared" si="12"/>
        <v>172925.05</v>
      </c>
      <c r="Y128" s="2"/>
      <c r="Z128" s="19">
        <f t="shared" si="13"/>
        <v>0</v>
      </c>
    </row>
    <row r="129" spans="1:26" s="24" customFormat="1" hidden="1" outlineLevel="1" x14ac:dyDescent="0.25">
      <c r="A129" s="44"/>
      <c r="B129" s="11" t="str">
        <f>CONCATENATE("          ", "5053", " - ", "PURCHASES @ COST-FOOD")</f>
        <v xml:space="preserve">          5053 - PURCHASES @ COST-FOOD</v>
      </c>
      <c r="C129" s="11"/>
      <c r="D129" s="2">
        <v>21907.02</v>
      </c>
      <c r="E129" s="2"/>
      <c r="F129" s="19">
        <f t="shared" si="6"/>
        <v>4.8574199866230947E-2</v>
      </c>
      <c r="G129" s="2"/>
      <c r="H129" s="2"/>
      <c r="I129" s="2"/>
      <c r="J129" s="19">
        <f t="shared" si="7"/>
        <v>0</v>
      </c>
      <c r="K129" s="2"/>
      <c r="L129" s="2">
        <f t="shared" si="8"/>
        <v>21907.02</v>
      </c>
      <c r="M129" s="2"/>
      <c r="N129" s="19">
        <f t="shared" si="9"/>
        <v>0</v>
      </c>
      <c r="O129" s="11"/>
      <c r="P129" s="2">
        <v>475283.97</v>
      </c>
      <c r="Q129" s="2"/>
      <c r="R129" s="19">
        <f t="shared" si="10"/>
        <v>4.6309124117421538E-2</v>
      </c>
      <c r="S129" s="2"/>
      <c r="T129" s="2"/>
      <c r="U129" s="2"/>
      <c r="V129" s="19">
        <f t="shared" si="11"/>
        <v>0</v>
      </c>
      <c r="W129" s="2"/>
      <c r="X129" s="2">
        <f t="shared" si="12"/>
        <v>475283.97</v>
      </c>
      <c r="Y129" s="2"/>
      <c r="Z129" s="19">
        <f t="shared" si="13"/>
        <v>0</v>
      </c>
    </row>
    <row r="130" spans="1:26" s="24" customFormat="1" hidden="1" outlineLevel="1" x14ac:dyDescent="0.25">
      <c r="A130" s="44"/>
      <c r="B130" s="11" t="str">
        <f>CONCATENATE("          ", "5059", " - ", "PURCHASES @ COST-FOOD")</f>
        <v xml:space="preserve">          5059 - PURCHASES @ COST-FOOD</v>
      </c>
      <c r="C130" s="11"/>
      <c r="D130" s="2">
        <v>7282</v>
      </c>
      <c r="E130" s="2"/>
      <c r="F130" s="19">
        <f t="shared" si="6"/>
        <v>1.6146300292138947E-2</v>
      </c>
      <c r="G130" s="2"/>
      <c r="H130" s="2"/>
      <c r="I130" s="2"/>
      <c r="J130" s="19">
        <f t="shared" si="7"/>
        <v>0</v>
      </c>
      <c r="K130" s="2"/>
      <c r="L130" s="2">
        <f t="shared" si="8"/>
        <v>7282</v>
      </c>
      <c r="M130" s="2"/>
      <c r="N130" s="19">
        <f t="shared" si="9"/>
        <v>0</v>
      </c>
      <c r="O130" s="11"/>
      <c r="P130" s="2">
        <v>41131.300000000003</v>
      </c>
      <c r="Q130" s="2"/>
      <c r="R130" s="19">
        <f t="shared" si="10"/>
        <v>4.007613546930482E-3</v>
      </c>
      <c r="S130" s="2"/>
      <c r="T130" s="2"/>
      <c r="U130" s="2"/>
      <c r="V130" s="19">
        <f t="shared" si="11"/>
        <v>0</v>
      </c>
      <c r="W130" s="2"/>
      <c r="X130" s="2">
        <f t="shared" si="12"/>
        <v>41131.300000000003</v>
      </c>
      <c r="Y130" s="2"/>
      <c r="Z130" s="19">
        <f t="shared" si="13"/>
        <v>0</v>
      </c>
    </row>
    <row r="131" spans="1:26" s="24" customFormat="1" hidden="1" outlineLevel="1" x14ac:dyDescent="0.25">
      <c r="A131" s="44"/>
      <c r="B131" s="11" t="str">
        <f>CONCATENATE("          ", "5081", " - ", "PURCHASES @ COST-ELECTRONICS")</f>
        <v xml:space="preserve">          5081 - PURCHASES @ COST-ELECTRONICS</v>
      </c>
      <c r="C131" s="11"/>
      <c r="D131" s="2">
        <v>-4801.84</v>
      </c>
      <c r="E131" s="2"/>
      <c r="F131" s="19">
        <f t="shared" si="6"/>
        <v>-1.0647068194837198E-2</v>
      </c>
      <c r="G131" s="2"/>
      <c r="H131" s="2"/>
      <c r="I131" s="2"/>
      <c r="J131" s="19">
        <f t="shared" si="7"/>
        <v>0</v>
      </c>
      <c r="K131" s="2"/>
      <c r="L131" s="2">
        <f t="shared" si="8"/>
        <v>-4801.84</v>
      </c>
      <c r="M131" s="2"/>
      <c r="N131" s="19">
        <f t="shared" si="9"/>
        <v>0</v>
      </c>
      <c r="O131" s="11"/>
      <c r="P131" s="2">
        <v>27617.62</v>
      </c>
      <c r="Q131" s="2"/>
      <c r="R131" s="19">
        <f t="shared" si="10"/>
        <v>2.6909129554859245E-3</v>
      </c>
      <c r="S131" s="2"/>
      <c r="T131" s="2"/>
      <c r="U131" s="2"/>
      <c r="V131" s="19">
        <f t="shared" si="11"/>
        <v>0</v>
      </c>
      <c r="W131" s="2"/>
      <c r="X131" s="2">
        <f t="shared" si="12"/>
        <v>27617.62</v>
      </c>
      <c r="Y131" s="2"/>
      <c r="Z131" s="19">
        <f t="shared" si="13"/>
        <v>0</v>
      </c>
    </row>
    <row r="132" spans="1:26" s="24" customFormat="1" hidden="1" outlineLevel="1" x14ac:dyDescent="0.25">
      <c r="A132" s="44"/>
      <c r="B132" s="11" t="str">
        <f>CONCATENATE("          ", "5082", " - ", "PURCHASES @ COST-COMPUTER HARD")</f>
        <v xml:space="preserve">          5082 - PURCHASES @ COST-COMPUTER HARD</v>
      </c>
      <c r="C132" s="11"/>
      <c r="D132" s="2">
        <v>153062.79</v>
      </c>
      <c r="E132" s="2"/>
      <c r="F132" s="19">
        <f t="shared" si="6"/>
        <v>0.33938447828791574</v>
      </c>
      <c r="G132" s="2"/>
      <c r="H132" s="2"/>
      <c r="I132" s="2"/>
      <c r="J132" s="19">
        <f t="shared" si="7"/>
        <v>0</v>
      </c>
      <c r="K132" s="2"/>
      <c r="L132" s="2">
        <f t="shared" si="8"/>
        <v>153062.79</v>
      </c>
      <c r="M132" s="2"/>
      <c r="N132" s="19">
        <f t="shared" si="9"/>
        <v>0</v>
      </c>
      <c r="O132" s="11"/>
      <c r="P132" s="2">
        <v>1955597.66</v>
      </c>
      <c r="Q132" s="2"/>
      <c r="R132" s="19">
        <f t="shared" si="10"/>
        <v>0.19054296058139542</v>
      </c>
      <c r="S132" s="2"/>
      <c r="T132" s="2"/>
      <c r="U132" s="2"/>
      <c r="V132" s="19">
        <f t="shared" si="11"/>
        <v>0</v>
      </c>
      <c r="W132" s="2"/>
      <c r="X132" s="2">
        <f t="shared" si="12"/>
        <v>1955597.66</v>
      </c>
      <c r="Y132" s="2"/>
      <c r="Z132" s="19">
        <f t="shared" si="13"/>
        <v>0</v>
      </c>
    </row>
    <row r="133" spans="1:26" s="24" customFormat="1" hidden="1" outlineLevel="1" x14ac:dyDescent="0.25">
      <c r="A133" s="44"/>
      <c r="B133" s="11" t="str">
        <f>CONCATENATE("          ", "5083", " - ", "PURCHASES @ COST-COMPUTER EQUI")</f>
        <v xml:space="preserve">          5083 - PURCHASES @ COST-COMPUTER EQUI</v>
      </c>
      <c r="C133" s="11"/>
      <c r="D133" s="2">
        <v>24791.69</v>
      </c>
      <c r="E133" s="2"/>
      <c r="F133" s="19">
        <f t="shared" si="6"/>
        <v>5.4970347636585849E-2</v>
      </c>
      <c r="G133" s="2"/>
      <c r="H133" s="2"/>
      <c r="I133" s="2"/>
      <c r="J133" s="19">
        <f t="shared" si="7"/>
        <v>0</v>
      </c>
      <c r="K133" s="2"/>
      <c r="L133" s="2">
        <f t="shared" si="8"/>
        <v>24791.69</v>
      </c>
      <c r="M133" s="2"/>
      <c r="N133" s="19">
        <f t="shared" si="9"/>
        <v>0</v>
      </c>
      <c r="O133" s="11"/>
      <c r="P133" s="2">
        <v>151821.63</v>
      </c>
      <c r="Q133" s="2"/>
      <c r="R133" s="19">
        <f t="shared" si="10"/>
        <v>1.4792686375219534E-2</v>
      </c>
      <c r="S133" s="2"/>
      <c r="T133" s="2"/>
      <c r="U133" s="2"/>
      <c r="V133" s="19">
        <f t="shared" si="11"/>
        <v>0</v>
      </c>
      <c r="W133" s="2"/>
      <c r="X133" s="2">
        <f t="shared" si="12"/>
        <v>151821.63</v>
      </c>
      <c r="Y133" s="2"/>
      <c r="Z133" s="19">
        <f t="shared" si="13"/>
        <v>0</v>
      </c>
    </row>
    <row r="134" spans="1:26" s="24" customFormat="1" hidden="1" outlineLevel="1" x14ac:dyDescent="0.25">
      <c r="A134" s="44"/>
      <c r="B134" s="11" t="str">
        <f>CONCATENATE("          ", "5084", " - ", "PURCHASES @ COST-SOFTWARE LICE")</f>
        <v xml:space="preserve">          5084 - PURCHASES @ COST-SOFTWARE LICE</v>
      </c>
      <c r="C134" s="11"/>
      <c r="D134" s="2">
        <v>2421</v>
      </c>
      <c r="E134" s="2"/>
      <c r="F134" s="19">
        <f t="shared" si="6"/>
        <v>5.3680572654859092E-3</v>
      </c>
      <c r="G134" s="2"/>
      <c r="H134" s="2"/>
      <c r="I134" s="2"/>
      <c r="J134" s="19">
        <f t="shared" si="7"/>
        <v>0</v>
      </c>
      <c r="K134" s="2"/>
      <c r="L134" s="2">
        <f t="shared" si="8"/>
        <v>2421</v>
      </c>
      <c r="M134" s="2"/>
      <c r="N134" s="19">
        <f t="shared" si="9"/>
        <v>0</v>
      </c>
      <c r="O134" s="11"/>
      <c r="P134" s="2">
        <v>2421</v>
      </c>
      <c r="Q134" s="2"/>
      <c r="R134" s="19">
        <f t="shared" si="10"/>
        <v>2.3588927160383201E-4</v>
      </c>
      <c r="S134" s="2"/>
      <c r="T134" s="2"/>
      <c r="U134" s="2"/>
      <c r="V134" s="19">
        <f t="shared" si="11"/>
        <v>0</v>
      </c>
      <c r="W134" s="2"/>
      <c r="X134" s="2">
        <f t="shared" si="12"/>
        <v>2421</v>
      </c>
      <c r="Y134" s="2"/>
      <c r="Z134" s="19">
        <f t="shared" si="13"/>
        <v>0</v>
      </c>
    </row>
    <row r="135" spans="1:26" s="24" customFormat="1" hidden="1" outlineLevel="1" x14ac:dyDescent="0.25">
      <c r="A135" s="44"/>
      <c r="B135" s="11" t="str">
        <f>CONCATENATE("          ", "5085", " - ", "PURCHASES @ COST-SOFTWARE")</f>
        <v xml:space="preserve">          5085 - PURCHASES @ COST-SOFTWARE</v>
      </c>
      <c r="C135" s="11"/>
      <c r="D135" s="2">
        <v>10694.79</v>
      </c>
      <c r="E135" s="2"/>
      <c r="F135" s="19">
        <f t="shared" si="6"/>
        <v>2.3713442859292048E-2</v>
      </c>
      <c r="G135" s="2"/>
      <c r="H135" s="2"/>
      <c r="I135" s="2"/>
      <c r="J135" s="19">
        <f t="shared" si="7"/>
        <v>0</v>
      </c>
      <c r="K135" s="2"/>
      <c r="L135" s="2">
        <f t="shared" si="8"/>
        <v>10694.79</v>
      </c>
      <c r="M135" s="2"/>
      <c r="N135" s="19">
        <f t="shared" si="9"/>
        <v>0</v>
      </c>
      <c r="O135" s="11"/>
      <c r="P135" s="2">
        <v>56981.16</v>
      </c>
      <c r="Q135" s="2"/>
      <c r="R135" s="19">
        <f t="shared" si="10"/>
        <v>5.5519390035280499E-3</v>
      </c>
      <c r="S135" s="2"/>
      <c r="T135" s="2"/>
      <c r="U135" s="2"/>
      <c r="V135" s="19">
        <f t="shared" si="11"/>
        <v>0</v>
      </c>
      <c r="W135" s="2"/>
      <c r="X135" s="2">
        <f t="shared" si="12"/>
        <v>56981.16</v>
      </c>
      <c r="Y135" s="2"/>
      <c r="Z135" s="19">
        <f t="shared" si="13"/>
        <v>0</v>
      </c>
    </row>
    <row r="136" spans="1:26" s="24" customFormat="1" hidden="1" outlineLevel="1" x14ac:dyDescent="0.25">
      <c r="A136" s="44"/>
      <c r="B136" s="11" t="str">
        <f>CONCATENATE("          ", "5086", " - ", "PURCHASES @ COST-COMPUTER SUPP")</f>
        <v xml:space="preserve">          5086 - PURCHASES @ COST-COMPUTER SUPP</v>
      </c>
      <c r="C136" s="11"/>
      <c r="D136" s="2">
        <v>853.49</v>
      </c>
      <c r="E136" s="2"/>
      <c r="F136" s="19">
        <f t="shared" si="6"/>
        <v>1.8924341988928411E-3</v>
      </c>
      <c r="G136" s="2"/>
      <c r="H136" s="2"/>
      <c r="I136" s="2"/>
      <c r="J136" s="19">
        <f t="shared" si="7"/>
        <v>0</v>
      </c>
      <c r="K136" s="2"/>
      <c r="L136" s="2">
        <f t="shared" si="8"/>
        <v>853.49</v>
      </c>
      <c r="M136" s="2"/>
      <c r="N136" s="19">
        <f t="shared" si="9"/>
        <v>0</v>
      </c>
      <c r="O136" s="11"/>
      <c r="P136" s="2">
        <v>24629.71</v>
      </c>
      <c r="Q136" s="2"/>
      <c r="R136" s="19">
        <f t="shared" si="10"/>
        <v>2.3997870102080202E-3</v>
      </c>
      <c r="S136" s="2"/>
      <c r="T136" s="2"/>
      <c r="U136" s="2"/>
      <c r="V136" s="19">
        <f t="shared" si="11"/>
        <v>0</v>
      </c>
      <c r="W136" s="2"/>
      <c r="X136" s="2">
        <f t="shared" si="12"/>
        <v>24629.71</v>
      </c>
      <c r="Y136" s="2"/>
      <c r="Z136" s="19">
        <f t="shared" si="13"/>
        <v>0</v>
      </c>
    </row>
    <row r="137" spans="1:26" s="24" customFormat="1" hidden="1" outlineLevel="1" x14ac:dyDescent="0.25">
      <c r="A137" s="44"/>
      <c r="B137" s="11" t="str">
        <f>CONCATENATE("          ", "5092", " - ", "PURCHASES @ COST-GRAD MERCH")</f>
        <v xml:space="preserve">          5092 - PURCHASES @ COST-GRAD MERCH</v>
      </c>
      <c r="C137" s="11"/>
      <c r="D137" s="2"/>
      <c r="E137" s="2"/>
      <c r="F137" s="19">
        <f t="shared" si="6"/>
        <v>0</v>
      </c>
      <c r="G137" s="2"/>
      <c r="H137" s="2"/>
      <c r="I137" s="2"/>
      <c r="J137" s="19">
        <f t="shared" si="7"/>
        <v>0</v>
      </c>
      <c r="K137" s="2"/>
      <c r="L137" s="2">
        <f t="shared" si="8"/>
        <v>0</v>
      </c>
      <c r="M137" s="2"/>
      <c r="N137" s="19">
        <f t="shared" si="9"/>
        <v>0</v>
      </c>
      <c r="O137" s="11"/>
      <c r="P137" s="2">
        <v>0</v>
      </c>
      <c r="Q137" s="2"/>
      <c r="R137" s="19">
        <f t="shared" si="10"/>
        <v>0</v>
      </c>
      <c r="S137" s="2"/>
      <c r="T137" s="2"/>
      <c r="U137" s="2"/>
      <c r="V137" s="19">
        <f t="shared" si="11"/>
        <v>0</v>
      </c>
      <c r="W137" s="2"/>
      <c r="X137" s="2">
        <f t="shared" si="12"/>
        <v>0</v>
      </c>
      <c r="Y137" s="2"/>
      <c r="Z137" s="19">
        <f t="shared" si="13"/>
        <v>0</v>
      </c>
    </row>
    <row r="138" spans="1:26" s="24" customFormat="1" hidden="1" outlineLevel="1" x14ac:dyDescent="0.25">
      <c r="A138" s="44"/>
      <c r="B138" s="11" t="str">
        <f>CONCATENATE("          ", "5200", " - ", "PURCHASES OFFSET")</f>
        <v xml:space="preserve">          5200 - PURCHASES OFFSET</v>
      </c>
      <c r="C138" s="11"/>
      <c r="D138" s="2">
        <v>-715181.51</v>
      </c>
      <c r="E138" s="2"/>
      <c r="F138" s="19">
        <f t="shared" si="6"/>
        <v>-1.5857642713327895</v>
      </c>
      <c r="G138" s="2"/>
      <c r="H138" s="2"/>
      <c r="I138" s="2"/>
      <c r="J138" s="19">
        <f t="shared" si="7"/>
        <v>0</v>
      </c>
      <c r="K138" s="2"/>
      <c r="L138" s="2">
        <f t="shared" si="8"/>
        <v>-715181.51</v>
      </c>
      <c r="M138" s="2"/>
      <c r="N138" s="19">
        <f t="shared" si="9"/>
        <v>0</v>
      </c>
      <c r="O138" s="11"/>
      <c r="P138" s="2">
        <v>-4591688.47</v>
      </c>
      <c r="Q138" s="2"/>
      <c r="R138" s="19">
        <f t="shared" si="10"/>
        <v>-0.4473895285501916</v>
      </c>
      <c r="S138" s="2"/>
      <c r="T138" s="2"/>
      <c r="U138" s="2"/>
      <c r="V138" s="19">
        <f t="shared" si="11"/>
        <v>0</v>
      </c>
      <c r="W138" s="2"/>
      <c r="X138" s="2">
        <f t="shared" si="12"/>
        <v>-4591688.47</v>
      </c>
      <c r="Y138" s="2"/>
      <c r="Z138" s="19">
        <f t="shared" si="13"/>
        <v>0</v>
      </c>
    </row>
    <row r="139" spans="1:26" s="24" customFormat="1" hidden="1" outlineLevel="1" x14ac:dyDescent="0.25">
      <c r="A139" s="44"/>
      <c r="B139" s="11" t="str">
        <f>CONCATENATE("          ", "5300", " - ", "COG$ OFFSET")</f>
        <v xml:space="preserve">          5300 - COG$ OFFSET</v>
      </c>
      <c r="C139" s="11"/>
      <c r="D139" s="2">
        <v>223946</v>
      </c>
      <c r="E139" s="2"/>
      <c r="F139" s="19">
        <f t="shared" si="6"/>
        <v>0.49655305756980889</v>
      </c>
      <c r="G139" s="2"/>
      <c r="H139" s="2"/>
      <c r="I139" s="2"/>
      <c r="J139" s="19">
        <f t="shared" si="7"/>
        <v>0</v>
      </c>
      <c r="K139" s="2"/>
      <c r="L139" s="2">
        <f t="shared" si="8"/>
        <v>223946</v>
      </c>
      <c r="M139" s="2"/>
      <c r="N139" s="19">
        <f t="shared" si="9"/>
        <v>0</v>
      </c>
      <c r="O139" s="11"/>
      <c r="P139" s="2">
        <v>5152122</v>
      </c>
      <c r="Q139" s="2"/>
      <c r="R139" s="19">
        <f t="shared" si="10"/>
        <v>0.50199516967950364</v>
      </c>
      <c r="S139" s="2"/>
      <c r="T139" s="2"/>
      <c r="U139" s="2"/>
      <c r="V139" s="19">
        <f t="shared" si="11"/>
        <v>0</v>
      </c>
      <c r="W139" s="2"/>
      <c r="X139" s="2">
        <f t="shared" si="12"/>
        <v>5152122</v>
      </c>
      <c r="Y139" s="2"/>
      <c r="Z139" s="19">
        <f t="shared" si="13"/>
        <v>0</v>
      </c>
    </row>
    <row r="140" spans="1:26" s="24" customFormat="1" hidden="1" outlineLevel="1" x14ac:dyDescent="0.25">
      <c r="A140" s="44"/>
      <c r="B140" s="11" t="str">
        <f>CONCATENATE("          ", "5500", " - ", "FREIGHT-IN")</f>
        <v xml:space="preserve">          5500 - FREIGHT-IN</v>
      </c>
      <c r="C140" s="11"/>
      <c r="D140" s="2">
        <v>65</v>
      </c>
      <c r="E140" s="2"/>
      <c r="F140" s="19">
        <f t="shared" si="6"/>
        <v>1.4412380101469808E-4</v>
      </c>
      <c r="G140" s="2"/>
      <c r="H140" s="2"/>
      <c r="I140" s="2"/>
      <c r="J140" s="19">
        <f t="shared" si="7"/>
        <v>0</v>
      </c>
      <c r="K140" s="2"/>
      <c r="L140" s="2">
        <f t="shared" si="8"/>
        <v>65</v>
      </c>
      <c r="M140" s="2"/>
      <c r="N140" s="19">
        <f t="shared" si="9"/>
        <v>0</v>
      </c>
      <c r="O140" s="11"/>
      <c r="P140" s="2">
        <v>65</v>
      </c>
      <c r="Q140" s="2"/>
      <c r="R140" s="19">
        <f t="shared" si="10"/>
        <v>6.3332518191859074E-6</v>
      </c>
      <c r="S140" s="2"/>
      <c r="T140" s="2"/>
      <c r="U140" s="2"/>
      <c r="V140" s="19">
        <f t="shared" si="11"/>
        <v>0</v>
      </c>
      <c r="W140" s="2"/>
      <c r="X140" s="2">
        <f t="shared" si="12"/>
        <v>65</v>
      </c>
      <c r="Y140" s="2"/>
      <c r="Z140" s="19">
        <f t="shared" si="13"/>
        <v>0</v>
      </c>
    </row>
    <row r="141" spans="1:26" s="24" customFormat="1" hidden="1" outlineLevel="1" x14ac:dyDescent="0.25">
      <c r="A141" s="44"/>
      <c r="B141" s="11" t="str">
        <f>CONCATENATE("          ", "5501", " - ", "FREIGHT-IN-NEW TEXT")</f>
        <v xml:space="preserve">          5501 - FREIGHT-IN-NEW TEXT</v>
      </c>
      <c r="C141" s="11"/>
      <c r="D141" s="2">
        <v>1565.85</v>
      </c>
      <c r="E141" s="2"/>
      <c r="F141" s="19">
        <f t="shared" si="6"/>
        <v>3.4719423664440769E-3</v>
      </c>
      <c r="G141" s="2"/>
      <c r="H141" s="2"/>
      <c r="I141" s="2"/>
      <c r="J141" s="19">
        <f t="shared" si="7"/>
        <v>0</v>
      </c>
      <c r="K141" s="2"/>
      <c r="L141" s="2">
        <f t="shared" si="8"/>
        <v>1565.85</v>
      </c>
      <c r="M141" s="2"/>
      <c r="N141" s="19">
        <f t="shared" si="9"/>
        <v>0</v>
      </c>
      <c r="O141" s="11"/>
      <c r="P141" s="2">
        <v>53401.99</v>
      </c>
      <c r="Q141" s="2"/>
      <c r="R141" s="19">
        <f t="shared" si="10"/>
        <v>5.203203851009963E-3</v>
      </c>
      <c r="S141" s="2"/>
      <c r="T141" s="2"/>
      <c r="U141" s="2"/>
      <c r="V141" s="19">
        <f t="shared" si="11"/>
        <v>0</v>
      </c>
      <c r="W141" s="2"/>
      <c r="X141" s="2">
        <f t="shared" si="12"/>
        <v>53401.99</v>
      </c>
      <c r="Y141" s="2"/>
      <c r="Z141" s="19">
        <f t="shared" si="13"/>
        <v>0</v>
      </c>
    </row>
    <row r="142" spans="1:26" s="24" customFormat="1" hidden="1" outlineLevel="1" x14ac:dyDescent="0.25">
      <c r="A142" s="44"/>
      <c r="B142" s="11" t="str">
        <f>CONCATENATE("          ", "5502", " - ", "FREIGHT-IN-USED TEXT")</f>
        <v xml:space="preserve">          5502 - FREIGHT-IN-USED TEXT</v>
      </c>
      <c r="C142" s="11"/>
      <c r="D142" s="2">
        <v>149.80000000000001</v>
      </c>
      <c r="E142" s="2"/>
      <c r="F142" s="19">
        <f t="shared" si="6"/>
        <v>3.3214992910771964E-4</v>
      </c>
      <c r="G142" s="2"/>
      <c r="H142" s="2"/>
      <c r="I142" s="2"/>
      <c r="J142" s="19">
        <f t="shared" si="7"/>
        <v>0</v>
      </c>
      <c r="K142" s="2"/>
      <c r="L142" s="2">
        <f t="shared" si="8"/>
        <v>149.80000000000001</v>
      </c>
      <c r="M142" s="2"/>
      <c r="N142" s="19">
        <f t="shared" si="9"/>
        <v>0</v>
      </c>
      <c r="O142" s="11"/>
      <c r="P142" s="2">
        <v>18142.669999999998</v>
      </c>
      <c r="Q142" s="2"/>
      <c r="R142" s="19">
        <f t="shared" si="10"/>
        <v>1.7677245812675318E-3</v>
      </c>
      <c r="S142" s="2"/>
      <c r="T142" s="2"/>
      <c r="U142" s="2"/>
      <c r="V142" s="19">
        <f t="shared" si="11"/>
        <v>0</v>
      </c>
      <c r="W142" s="2"/>
      <c r="X142" s="2">
        <f t="shared" si="12"/>
        <v>18142.669999999998</v>
      </c>
      <c r="Y142" s="2"/>
      <c r="Z142" s="19">
        <f t="shared" si="13"/>
        <v>0</v>
      </c>
    </row>
    <row r="143" spans="1:26" s="24" customFormat="1" hidden="1" outlineLevel="1" x14ac:dyDescent="0.25">
      <c r="A143" s="44"/>
      <c r="B143" s="11" t="str">
        <f>CONCATENATE("          ", "5504", " - ", "FREIGHT-IN-DIGITAL TEXT")</f>
        <v xml:space="preserve">          5504 - FREIGHT-IN-DIGITAL TEXT</v>
      </c>
      <c r="C143" s="11"/>
      <c r="D143" s="2">
        <v>4.28</v>
      </c>
      <c r="E143" s="2"/>
      <c r="F143" s="19">
        <f t="shared" si="6"/>
        <v>9.4899979745062752E-6</v>
      </c>
      <c r="G143" s="2"/>
      <c r="H143" s="2"/>
      <c r="I143" s="2"/>
      <c r="J143" s="19">
        <f t="shared" si="7"/>
        <v>0</v>
      </c>
      <c r="K143" s="2"/>
      <c r="L143" s="2">
        <f t="shared" si="8"/>
        <v>4.28</v>
      </c>
      <c r="M143" s="2"/>
      <c r="N143" s="19">
        <f t="shared" si="9"/>
        <v>0</v>
      </c>
      <c r="O143" s="11"/>
      <c r="P143" s="2">
        <v>33.200000000000003</v>
      </c>
      <c r="Q143" s="2"/>
      <c r="R143" s="19">
        <f t="shared" si="10"/>
        <v>3.2348301599534175E-6</v>
      </c>
      <c r="S143" s="2"/>
      <c r="T143" s="2"/>
      <c r="U143" s="2"/>
      <c r="V143" s="19">
        <f t="shared" si="11"/>
        <v>0</v>
      </c>
      <c r="W143" s="2"/>
      <c r="X143" s="2">
        <f t="shared" si="12"/>
        <v>33.200000000000003</v>
      </c>
      <c r="Y143" s="2"/>
      <c r="Z143" s="19">
        <f t="shared" si="13"/>
        <v>0</v>
      </c>
    </row>
    <row r="144" spans="1:26" s="24" customFormat="1" hidden="1" outlineLevel="1" x14ac:dyDescent="0.25">
      <c r="A144" s="44"/>
      <c r="B144" s="11" t="str">
        <f>CONCATENATE("          ", "5513", " - ", "FREIGHT-IN-TRADE BOOKS")</f>
        <v xml:space="preserve">          5513 - FREIGHT-IN-TRADE BOOKS</v>
      </c>
      <c r="C144" s="11"/>
      <c r="D144" s="2"/>
      <c r="E144" s="2"/>
      <c r="F144" s="19">
        <f t="shared" si="6"/>
        <v>0</v>
      </c>
      <c r="G144" s="2"/>
      <c r="H144" s="2"/>
      <c r="I144" s="2"/>
      <c r="J144" s="19">
        <f t="shared" si="7"/>
        <v>0</v>
      </c>
      <c r="K144" s="2"/>
      <c r="L144" s="2">
        <f t="shared" si="8"/>
        <v>0</v>
      </c>
      <c r="M144" s="2"/>
      <c r="N144" s="19">
        <f t="shared" si="9"/>
        <v>0</v>
      </c>
      <c r="O144" s="11"/>
      <c r="P144" s="2">
        <v>85.28</v>
      </c>
      <c r="Q144" s="2"/>
      <c r="R144" s="19">
        <f t="shared" si="10"/>
        <v>8.3092263867719111E-6</v>
      </c>
      <c r="S144" s="2"/>
      <c r="T144" s="2"/>
      <c r="U144" s="2"/>
      <c r="V144" s="19">
        <f t="shared" si="11"/>
        <v>0</v>
      </c>
      <c r="W144" s="2"/>
      <c r="X144" s="2">
        <f t="shared" si="12"/>
        <v>85.28</v>
      </c>
      <c r="Y144" s="2"/>
      <c r="Z144" s="19">
        <f t="shared" si="13"/>
        <v>0</v>
      </c>
    </row>
    <row r="145" spans="1:26" s="24" customFormat="1" hidden="1" outlineLevel="1" x14ac:dyDescent="0.25">
      <c r="A145" s="44"/>
      <c r="B145" s="11" t="str">
        <f>CONCATENATE("          ", "5525", " - ", "FREIGHT-IN-TEST FORMS")</f>
        <v xml:space="preserve">          5525 - FREIGHT-IN-TEST FORMS</v>
      </c>
      <c r="C145" s="11"/>
      <c r="D145" s="2"/>
      <c r="E145" s="2"/>
      <c r="F145" s="19">
        <f t="shared" si="6"/>
        <v>0</v>
      </c>
      <c r="G145" s="2"/>
      <c r="H145" s="2"/>
      <c r="I145" s="2"/>
      <c r="J145" s="19">
        <f t="shared" si="7"/>
        <v>0</v>
      </c>
      <c r="K145" s="2"/>
      <c r="L145" s="2">
        <f t="shared" si="8"/>
        <v>0</v>
      </c>
      <c r="M145" s="2"/>
      <c r="N145" s="19">
        <f t="shared" si="9"/>
        <v>0</v>
      </c>
      <c r="O145" s="11"/>
      <c r="P145" s="2">
        <v>48.14</v>
      </c>
      <c r="Q145" s="2"/>
      <c r="R145" s="19">
        <f t="shared" si="10"/>
        <v>4.6905037319324549E-6</v>
      </c>
      <c r="S145" s="2"/>
      <c r="T145" s="2"/>
      <c r="U145" s="2"/>
      <c r="V145" s="19">
        <f t="shared" si="11"/>
        <v>0</v>
      </c>
      <c r="W145" s="2"/>
      <c r="X145" s="2">
        <f t="shared" si="12"/>
        <v>48.14</v>
      </c>
      <c r="Y145" s="2"/>
      <c r="Z145" s="19">
        <f t="shared" si="13"/>
        <v>0</v>
      </c>
    </row>
    <row r="146" spans="1:26" s="24" customFormat="1" hidden="1" outlineLevel="1" x14ac:dyDescent="0.25">
      <c r="A146" s="44"/>
      <c r="B146" s="11" t="str">
        <f>CONCATENATE("          ", "5526", " - ", "FREIGHT-IN-WRITING INSTRUMENTS")</f>
        <v xml:space="preserve">          5526 - FREIGHT-IN-WRITING INSTRUMENTS</v>
      </c>
      <c r="C146" s="11"/>
      <c r="D146" s="2"/>
      <c r="E146" s="2"/>
      <c r="F146" s="19">
        <f t="shared" si="6"/>
        <v>0</v>
      </c>
      <c r="G146" s="2"/>
      <c r="H146" s="2"/>
      <c r="I146" s="2"/>
      <c r="J146" s="19">
        <f t="shared" si="7"/>
        <v>0</v>
      </c>
      <c r="K146" s="2"/>
      <c r="L146" s="2">
        <f t="shared" si="8"/>
        <v>0</v>
      </c>
      <c r="M146" s="2"/>
      <c r="N146" s="19">
        <f t="shared" si="9"/>
        <v>0</v>
      </c>
      <c r="O146" s="11"/>
      <c r="P146" s="2">
        <v>0</v>
      </c>
      <c r="Q146" s="2"/>
      <c r="R146" s="19">
        <f t="shared" si="10"/>
        <v>0</v>
      </c>
      <c r="S146" s="2"/>
      <c r="T146" s="2"/>
      <c r="U146" s="2"/>
      <c r="V146" s="19">
        <f t="shared" si="11"/>
        <v>0</v>
      </c>
      <c r="W146" s="2"/>
      <c r="X146" s="2">
        <f t="shared" si="12"/>
        <v>0</v>
      </c>
      <c r="Y146" s="2"/>
      <c r="Z146" s="19">
        <f t="shared" si="13"/>
        <v>0</v>
      </c>
    </row>
    <row r="147" spans="1:26" s="24" customFormat="1" hidden="1" outlineLevel="1" x14ac:dyDescent="0.25">
      <c r="A147" s="44"/>
      <c r="B147" s="11" t="str">
        <f>CONCATENATE("          ", "5527", " - ", "FREIGHT-IN-SCHOOL SUPPLIES")</f>
        <v xml:space="preserve">          5527 - FREIGHT-IN-SCHOOL SUPPLIES</v>
      </c>
      <c r="C147" s="11"/>
      <c r="D147" s="2">
        <v>58.29</v>
      </c>
      <c r="E147" s="2"/>
      <c r="F147" s="19">
        <f t="shared" si="6"/>
        <v>1.2924579017148849E-4</v>
      </c>
      <c r="G147" s="2"/>
      <c r="H147" s="2"/>
      <c r="I147" s="2"/>
      <c r="J147" s="19">
        <f t="shared" si="7"/>
        <v>0</v>
      </c>
      <c r="K147" s="2"/>
      <c r="L147" s="2">
        <f t="shared" si="8"/>
        <v>58.29</v>
      </c>
      <c r="M147" s="2"/>
      <c r="N147" s="19">
        <f t="shared" si="9"/>
        <v>0</v>
      </c>
      <c r="O147" s="11"/>
      <c r="P147" s="2">
        <v>276.91000000000003</v>
      </c>
      <c r="Q147" s="2"/>
      <c r="R147" s="19">
        <f t="shared" si="10"/>
        <v>2.6980627096165688E-5</v>
      </c>
      <c r="S147" s="2"/>
      <c r="T147" s="2"/>
      <c r="U147" s="2"/>
      <c r="V147" s="19">
        <f t="shared" si="11"/>
        <v>0</v>
      </c>
      <c r="W147" s="2"/>
      <c r="X147" s="2">
        <f t="shared" si="12"/>
        <v>276.91000000000003</v>
      </c>
      <c r="Y147" s="2"/>
      <c r="Z147" s="19">
        <f t="shared" si="13"/>
        <v>0</v>
      </c>
    </row>
    <row r="148" spans="1:26" s="24" customFormat="1" hidden="1" outlineLevel="1" x14ac:dyDescent="0.25">
      <c r="A148" s="44"/>
      <c r="B148" s="11" t="str">
        <f>CONCATENATE("          ", "5528", " - ", "FREIGHT-IN-ART/TECH")</f>
        <v xml:space="preserve">          5528 - FREIGHT-IN-ART/TECH</v>
      </c>
      <c r="C148" s="11"/>
      <c r="D148" s="2">
        <v>102.68</v>
      </c>
      <c r="E148" s="2"/>
      <c r="F148" s="19">
        <f t="shared" si="6"/>
        <v>2.2767125981829539E-4</v>
      </c>
      <c r="G148" s="2"/>
      <c r="H148" s="2"/>
      <c r="I148" s="2"/>
      <c r="J148" s="19">
        <f t="shared" si="7"/>
        <v>0</v>
      </c>
      <c r="K148" s="2"/>
      <c r="L148" s="2">
        <f t="shared" si="8"/>
        <v>102.68</v>
      </c>
      <c r="M148" s="2"/>
      <c r="N148" s="19">
        <f t="shared" si="9"/>
        <v>0</v>
      </c>
      <c r="O148" s="11"/>
      <c r="P148" s="2">
        <v>675.64</v>
      </c>
      <c r="Q148" s="2"/>
      <c r="R148" s="19">
        <f t="shared" si="10"/>
        <v>6.5830742447919481E-5</v>
      </c>
      <c r="S148" s="2"/>
      <c r="T148" s="2"/>
      <c r="U148" s="2"/>
      <c r="V148" s="19">
        <f t="shared" si="11"/>
        <v>0</v>
      </c>
      <c r="W148" s="2"/>
      <c r="X148" s="2">
        <f t="shared" si="12"/>
        <v>675.64</v>
      </c>
      <c r="Y148" s="2"/>
      <c r="Z148" s="19">
        <f t="shared" si="13"/>
        <v>0</v>
      </c>
    </row>
    <row r="149" spans="1:26" s="24" customFormat="1" hidden="1" outlineLevel="1" x14ac:dyDescent="0.25">
      <c r="A149" s="44"/>
      <c r="B149" s="11" t="str">
        <f>CONCATENATE("          ", "5540", " - ", "FREIGHT-IN-LOGO CLOTHING")</f>
        <v xml:space="preserve">          5540 - FREIGHT-IN-LOGO CLOTHING</v>
      </c>
      <c r="C149" s="11"/>
      <c r="D149" s="2">
        <v>1384.09</v>
      </c>
      <c r="E149" s="2"/>
      <c r="F149" s="19">
        <f t="shared" si="6"/>
        <v>3.0689278730220535E-3</v>
      </c>
      <c r="G149" s="2"/>
      <c r="H149" s="2"/>
      <c r="I149" s="2"/>
      <c r="J149" s="19">
        <f t="shared" si="7"/>
        <v>0</v>
      </c>
      <c r="K149" s="2"/>
      <c r="L149" s="2">
        <f t="shared" si="8"/>
        <v>1384.09</v>
      </c>
      <c r="M149" s="2"/>
      <c r="N149" s="19">
        <f t="shared" si="9"/>
        <v>0</v>
      </c>
      <c r="O149" s="11"/>
      <c r="P149" s="2">
        <v>11883.79</v>
      </c>
      <c r="Q149" s="2"/>
      <c r="R149" s="19">
        <f t="shared" si="10"/>
        <v>1.15789284055882E-3</v>
      </c>
      <c r="S149" s="2"/>
      <c r="T149" s="2"/>
      <c r="U149" s="2"/>
      <c r="V149" s="19">
        <f t="shared" si="11"/>
        <v>0</v>
      </c>
      <c r="W149" s="2"/>
      <c r="X149" s="2">
        <f t="shared" si="12"/>
        <v>11883.79</v>
      </c>
      <c r="Y149" s="2"/>
      <c r="Z149" s="19">
        <f t="shared" si="13"/>
        <v>0</v>
      </c>
    </row>
    <row r="150" spans="1:26" s="24" customFormat="1" hidden="1" outlineLevel="1" x14ac:dyDescent="0.25">
      <c r="A150" s="44"/>
      <c r="B150" s="11" t="str">
        <f>CONCATENATE("          ", "5541", " - ", "FREIGHT-IN-LOGO GIFTS")</f>
        <v xml:space="preserve">          5541 - FREIGHT-IN-LOGO GIFTS</v>
      </c>
      <c r="C150" s="11"/>
      <c r="D150" s="2">
        <v>1606.81</v>
      </c>
      <c r="E150" s="2"/>
      <c r="F150" s="19">
        <f t="shared" si="6"/>
        <v>3.5627625339758003E-3</v>
      </c>
      <c r="G150" s="2"/>
      <c r="H150" s="2"/>
      <c r="I150" s="2"/>
      <c r="J150" s="19">
        <f t="shared" si="7"/>
        <v>0</v>
      </c>
      <c r="K150" s="2"/>
      <c r="L150" s="2">
        <f t="shared" si="8"/>
        <v>1606.81</v>
      </c>
      <c r="M150" s="2"/>
      <c r="N150" s="19">
        <f t="shared" si="9"/>
        <v>0</v>
      </c>
      <c r="O150" s="11"/>
      <c r="P150" s="2">
        <v>7584.01</v>
      </c>
      <c r="Q150" s="2"/>
      <c r="R150" s="19">
        <f t="shared" si="10"/>
        <v>7.3894530968037094E-4</v>
      </c>
      <c r="S150" s="2"/>
      <c r="T150" s="2"/>
      <c r="U150" s="2"/>
      <c r="V150" s="19">
        <f t="shared" si="11"/>
        <v>0</v>
      </c>
      <c r="W150" s="2"/>
      <c r="X150" s="2">
        <f t="shared" si="12"/>
        <v>7584.01</v>
      </c>
      <c r="Y150" s="2"/>
      <c r="Z150" s="19">
        <f t="shared" si="13"/>
        <v>0</v>
      </c>
    </row>
    <row r="151" spans="1:26" s="24" customFormat="1" hidden="1" outlineLevel="1" x14ac:dyDescent="0.25">
      <c r="A151" s="44"/>
      <c r="B151" s="11" t="str">
        <f>CONCATENATE("          ", "5542", " - ", "FREIGHT-IN-EVERYDAY GIFTS")</f>
        <v xml:space="preserve">          5542 - FREIGHT-IN-EVERYDAY GIFTS</v>
      </c>
      <c r="C151" s="11"/>
      <c r="D151" s="2"/>
      <c r="E151" s="2"/>
      <c r="F151" s="19">
        <f t="shared" si="6"/>
        <v>0</v>
      </c>
      <c r="G151" s="2"/>
      <c r="H151" s="2"/>
      <c r="I151" s="2"/>
      <c r="J151" s="19">
        <f t="shared" si="7"/>
        <v>0</v>
      </c>
      <c r="K151" s="2"/>
      <c r="L151" s="2">
        <f t="shared" si="8"/>
        <v>0</v>
      </c>
      <c r="M151" s="2"/>
      <c r="N151" s="19">
        <f t="shared" si="9"/>
        <v>0</v>
      </c>
      <c r="O151" s="11"/>
      <c r="P151" s="2">
        <v>681.72</v>
      </c>
      <c r="Q151" s="2"/>
      <c r="R151" s="19">
        <f t="shared" si="10"/>
        <v>6.6423145079621803E-5</v>
      </c>
      <c r="S151" s="2"/>
      <c r="T151" s="2"/>
      <c r="U151" s="2"/>
      <c r="V151" s="19">
        <f t="shared" si="11"/>
        <v>0</v>
      </c>
      <c r="W151" s="2"/>
      <c r="X151" s="2">
        <f t="shared" si="12"/>
        <v>681.72</v>
      </c>
      <c r="Y151" s="2"/>
      <c r="Z151" s="19">
        <f t="shared" si="13"/>
        <v>0</v>
      </c>
    </row>
    <row r="152" spans="1:26" s="24" customFormat="1" hidden="1" outlineLevel="1" x14ac:dyDescent="0.25">
      <c r="A152" s="44"/>
      <c r="B152" s="11" t="str">
        <f>CONCATENATE("          ", "5543", " - ", "FREIGHT-IN-CARDS")</f>
        <v xml:space="preserve">          5543 - FREIGHT-IN-CARDS</v>
      </c>
      <c r="C152" s="11"/>
      <c r="D152" s="2"/>
      <c r="E152" s="2"/>
      <c r="F152" s="19">
        <f t="shared" si="6"/>
        <v>0</v>
      </c>
      <c r="G152" s="2"/>
      <c r="H152" s="2"/>
      <c r="I152" s="2"/>
      <c r="J152" s="19">
        <f t="shared" si="7"/>
        <v>0</v>
      </c>
      <c r="K152" s="2"/>
      <c r="L152" s="2">
        <f t="shared" si="8"/>
        <v>0</v>
      </c>
      <c r="M152" s="2"/>
      <c r="N152" s="19">
        <f t="shared" si="9"/>
        <v>0</v>
      </c>
      <c r="O152" s="11"/>
      <c r="P152" s="2">
        <v>9110.5300000000007</v>
      </c>
      <c r="Q152" s="2"/>
      <c r="R152" s="19">
        <f t="shared" si="10"/>
        <v>8.8768124148073523E-4</v>
      </c>
      <c r="S152" s="2"/>
      <c r="T152" s="2"/>
      <c r="U152" s="2"/>
      <c r="V152" s="19">
        <f t="shared" si="11"/>
        <v>0</v>
      </c>
      <c r="W152" s="2"/>
      <c r="X152" s="2">
        <f t="shared" si="12"/>
        <v>9110.5300000000007</v>
      </c>
      <c r="Y152" s="2"/>
      <c r="Z152" s="19">
        <f t="shared" si="13"/>
        <v>0</v>
      </c>
    </row>
    <row r="153" spans="1:26" s="24" customFormat="1" hidden="1" outlineLevel="1" x14ac:dyDescent="0.25">
      <c r="A153" s="44"/>
      <c r="B153" s="11" t="str">
        <f>CONCATENATE("          ", "5544", " - ", "FREIGHT-IN-ACCESSORIES")</f>
        <v xml:space="preserve">          5544 - FREIGHT-IN-ACCESSORIES</v>
      </c>
      <c r="C153" s="11"/>
      <c r="D153" s="2">
        <v>48.59</v>
      </c>
      <c r="E153" s="2"/>
      <c r="F153" s="19">
        <f t="shared" si="6"/>
        <v>1.0773808448160278E-4</v>
      </c>
      <c r="G153" s="2"/>
      <c r="H153" s="2"/>
      <c r="I153" s="2"/>
      <c r="J153" s="19">
        <f t="shared" si="7"/>
        <v>0</v>
      </c>
      <c r="K153" s="2"/>
      <c r="L153" s="2">
        <f t="shared" si="8"/>
        <v>48.59</v>
      </c>
      <c r="M153" s="2"/>
      <c r="N153" s="19">
        <f t="shared" si="9"/>
        <v>0</v>
      </c>
      <c r="O153" s="11"/>
      <c r="P153" s="2">
        <v>48.59</v>
      </c>
      <c r="Q153" s="2"/>
      <c r="R153" s="19">
        <f t="shared" si="10"/>
        <v>4.7343493214498958E-6</v>
      </c>
      <c r="S153" s="2"/>
      <c r="T153" s="2"/>
      <c r="U153" s="2"/>
      <c r="V153" s="19">
        <f t="shared" si="11"/>
        <v>0</v>
      </c>
      <c r="W153" s="2"/>
      <c r="X153" s="2">
        <f t="shared" si="12"/>
        <v>48.59</v>
      </c>
      <c r="Y153" s="2"/>
      <c r="Z153" s="19">
        <f t="shared" si="13"/>
        <v>0</v>
      </c>
    </row>
    <row r="154" spans="1:26" s="24" customFormat="1" hidden="1" outlineLevel="1" x14ac:dyDescent="0.25">
      <c r="A154" s="44"/>
      <c r="B154" s="11" t="str">
        <f>CONCATENATE("          ", "5545", " - ", "FREIGHT-IN-SPECIAL ORDERS")</f>
        <v xml:space="preserve">          5545 - FREIGHT-IN-SPECIAL ORDERS</v>
      </c>
      <c r="C154" s="11"/>
      <c r="D154" s="2">
        <v>90.41</v>
      </c>
      <c r="E154" s="2"/>
      <c r="F154" s="19">
        <f t="shared" si="6"/>
        <v>2.0046512076521314E-4</v>
      </c>
      <c r="G154" s="2"/>
      <c r="H154" s="2"/>
      <c r="I154" s="2"/>
      <c r="J154" s="19">
        <f t="shared" si="7"/>
        <v>0</v>
      </c>
      <c r="K154" s="2"/>
      <c r="L154" s="2">
        <f t="shared" si="8"/>
        <v>90.41</v>
      </c>
      <c r="M154" s="2"/>
      <c r="N154" s="19">
        <f t="shared" si="9"/>
        <v>0</v>
      </c>
      <c r="O154" s="11"/>
      <c r="P154" s="2">
        <v>2559.0700000000002</v>
      </c>
      <c r="Q154" s="2"/>
      <c r="R154" s="19">
        <f t="shared" si="10"/>
        <v>2.4934207281421662E-4</v>
      </c>
      <c r="S154" s="2"/>
      <c r="T154" s="2"/>
      <c r="U154" s="2"/>
      <c r="V154" s="19">
        <f t="shared" si="11"/>
        <v>0</v>
      </c>
      <c r="W154" s="2"/>
      <c r="X154" s="2">
        <f t="shared" si="12"/>
        <v>2559.0700000000002</v>
      </c>
      <c r="Y154" s="2"/>
      <c r="Z154" s="19">
        <f t="shared" si="13"/>
        <v>0</v>
      </c>
    </row>
    <row r="155" spans="1:26" s="24" customFormat="1" hidden="1" outlineLevel="1" x14ac:dyDescent="0.25">
      <c r="A155" s="44"/>
      <c r="B155" s="11" t="str">
        <f>CONCATENATE("          ", "5581", " - ", "FREIGHT-IN-ELECTRONICS")</f>
        <v xml:space="preserve">          5581 - FREIGHT-IN-ELECTRONICS</v>
      </c>
      <c r="C155" s="11"/>
      <c r="D155" s="2">
        <v>0</v>
      </c>
      <c r="E155" s="2"/>
      <c r="F155" s="19">
        <f t="shared" si="6"/>
        <v>0</v>
      </c>
      <c r="G155" s="2"/>
      <c r="H155" s="2"/>
      <c r="I155" s="2"/>
      <c r="J155" s="19">
        <f t="shared" si="7"/>
        <v>0</v>
      </c>
      <c r="K155" s="2"/>
      <c r="L155" s="2">
        <f t="shared" si="8"/>
        <v>0</v>
      </c>
      <c r="M155" s="2"/>
      <c r="N155" s="19">
        <f t="shared" si="9"/>
        <v>0</v>
      </c>
      <c r="O155" s="11"/>
      <c r="P155" s="2">
        <v>31</v>
      </c>
      <c r="Q155" s="2"/>
      <c r="R155" s="19">
        <f t="shared" si="10"/>
        <v>3.0204739445348171E-6</v>
      </c>
      <c r="S155" s="2"/>
      <c r="T155" s="2"/>
      <c r="U155" s="2"/>
      <c r="V155" s="19">
        <f t="shared" si="11"/>
        <v>0</v>
      </c>
      <c r="W155" s="2"/>
      <c r="X155" s="2">
        <f t="shared" si="12"/>
        <v>31</v>
      </c>
      <c r="Y155" s="2"/>
      <c r="Z155" s="19">
        <f t="shared" si="13"/>
        <v>0</v>
      </c>
    </row>
    <row r="156" spans="1:26" s="24" customFormat="1" hidden="1" outlineLevel="1" x14ac:dyDescent="0.25">
      <c r="A156" s="44"/>
      <c r="B156" s="11" t="str">
        <f>CONCATENATE("          ", "5582", " - ", "FREIGHT-IN-COMPUTER HARDWARE")</f>
        <v xml:space="preserve">          5582 - FREIGHT-IN-COMPUTER HARDWARE</v>
      </c>
      <c r="C156" s="11"/>
      <c r="D156" s="2"/>
      <c r="E156" s="2"/>
      <c r="F156" s="19">
        <f t="shared" si="6"/>
        <v>0</v>
      </c>
      <c r="G156" s="2"/>
      <c r="H156" s="2"/>
      <c r="I156" s="2"/>
      <c r="J156" s="19">
        <f t="shared" si="7"/>
        <v>0</v>
      </c>
      <c r="K156" s="2"/>
      <c r="L156" s="2">
        <f t="shared" si="8"/>
        <v>0</v>
      </c>
      <c r="M156" s="2"/>
      <c r="N156" s="19">
        <f t="shared" si="9"/>
        <v>0</v>
      </c>
      <c r="O156" s="11"/>
      <c r="P156" s="2">
        <v>145</v>
      </c>
      <c r="Q156" s="2"/>
      <c r="R156" s="19">
        <f t="shared" si="10"/>
        <v>1.4128023288953178E-5</v>
      </c>
      <c r="S156" s="2"/>
      <c r="T156" s="2"/>
      <c r="U156" s="2"/>
      <c r="V156" s="19">
        <f t="shared" si="11"/>
        <v>0</v>
      </c>
      <c r="W156" s="2"/>
      <c r="X156" s="2">
        <f t="shared" si="12"/>
        <v>145</v>
      </c>
      <c r="Y156" s="2"/>
      <c r="Z156" s="19">
        <f t="shared" si="13"/>
        <v>0</v>
      </c>
    </row>
    <row r="157" spans="1:26" s="24" customFormat="1" hidden="1" outlineLevel="1" x14ac:dyDescent="0.25">
      <c r="A157" s="44"/>
      <c r="B157" s="11" t="str">
        <f>CONCATENATE("          ", "5583", " - ", "FREIGHT-IN-COMPUTER EQUIPMENT")</f>
        <v xml:space="preserve">          5583 - FREIGHT-IN-COMPUTER EQUIPMENT</v>
      </c>
      <c r="C157" s="11"/>
      <c r="D157" s="2"/>
      <c r="E157" s="2"/>
      <c r="F157" s="19">
        <f t="shared" si="6"/>
        <v>0</v>
      </c>
      <c r="G157" s="2"/>
      <c r="H157" s="2"/>
      <c r="I157" s="2"/>
      <c r="J157" s="19">
        <f t="shared" si="7"/>
        <v>0</v>
      </c>
      <c r="K157" s="2"/>
      <c r="L157" s="2">
        <f t="shared" si="8"/>
        <v>0</v>
      </c>
      <c r="M157" s="2"/>
      <c r="N157" s="19">
        <f t="shared" si="9"/>
        <v>0</v>
      </c>
      <c r="O157" s="11"/>
      <c r="P157" s="2">
        <v>242.46</v>
      </c>
      <c r="Q157" s="2"/>
      <c r="R157" s="19">
        <f t="shared" si="10"/>
        <v>2.3624003631997155E-5</v>
      </c>
      <c r="S157" s="2"/>
      <c r="T157" s="2"/>
      <c r="U157" s="2"/>
      <c r="V157" s="19">
        <f t="shared" si="11"/>
        <v>0</v>
      </c>
      <c r="W157" s="2"/>
      <c r="X157" s="2">
        <f t="shared" si="12"/>
        <v>242.46</v>
      </c>
      <c r="Y157" s="2"/>
      <c r="Z157" s="19">
        <f t="shared" si="13"/>
        <v>0</v>
      </c>
    </row>
    <row r="158" spans="1:26" s="24" customFormat="1" hidden="1" outlineLevel="1" x14ac:dyDescent="0.25">
      <c r="A158" s="44"/>
      <c r="B158" s="11" t="str">
        <f>CONCATENATE("          ", "5585", " - ", "FREIGHT-IN-SOFTWARE")</f>
        <v xml:space="preserve">          5585 - FREIGHT-IN-SOFTWARE</v>
      </c>
      <c r="C158" s="11"/>
      <c r="D158" s="2"/>
      <c r="E158" s="2"/>
      <c r="F158" s="19">
        <f t="shared" si="6"/>
        <v>0</v>
      </c>
      <c r="G158" s="2"/>
      <c r="H158" s="2"/>
      <c r="I158" s="2"/>
      <c r="J158" s="19">
        <f t="shared" si="7"/>
        <v>0</v>
      </c>
      <c r="K158" s="2"/>
      <c r="L158" s="2">
        <f t="shared" si="8"/>
        <v>0</v>
      </c>
      <c r="M158" s="2"/>
      <c r="N158" s="19">
        <f t="shared" si="9"/>
        <v>0</v>
      </c>
      <c r="O158" s="11"/>
      <c r="P158" s="2">
        <v>9.41</v>
      </c>
      <c r="Q158" s="2"/>
      <c r="R158" s="19">
        <f t="shared" si="10"/>
        <v>9.1685999413137523E-7</v>
      </c>
      <c r="S158" s="2"/>
      <c r="T158" s="2"/>
      <c r="U158" s="2"/>
      <c r="V158" s="19">
        <f t="shared" si="11"/>
        <v>0</v>
      </c>
      <c r="W158" s="2"/>
      <c r="X158" s="2">
        <f t="shared" si="12"/>
        <v>9.41</v>
      </c>
      <c r="Y158" s="2"/>
      <c r="Z158" s="19">
        <f t="shared" si="13"/>
        <v>0</v>
      </c>
    </row>
    <row r="159" spans="1:26" s="24" customFormat="1" hidden="1" outlineLevel="1" x14ac:dyDescent="0.25">
      <c r="A159" s="44"/>
      <c r="B159" s="11" t="str">
        <f>CONCATENATE("          ", "5586", " - ", "FREIGHT-IN-COMPUTER SUPPLIES")</f>
        <v xml:space="preserve">          5586 - FREIGHT-IN-COMPUTER SUPPLIES</v>
      </c>
      <c r="C159" s="11"/>
      <c r="D159" s="2"/>
      <c r="E159" s="2"/>
      <c r="F159" s="19">
        <f t="shared" si="6"/>
        <v>0</v>
      </c>
      <c r="G159" s="2"/>
      <c r="H159" s="2"/>
      <c r="I159" s="2"/>
      <c r="J159" s="19">
        <f t="shared" si="7"/>
        <v>0</v>
      </c>
      <c r="K159" s="2"/>
      <c r="L159" s="2">
        <f t="shared" si="8"/>
        <v>0</v>
      </c>
      <c r="M159" s="2"/>
      <c r="N159" s="19">
        <f t="shared" si="9"/>
        <v>0</v>
      </c>
      <c r="O159" s="11"/>
      <c r="P159" s="2">
        <v>24.12</v>
      </c>
      <c r="Q159" s="2"/>
      <c r="R159" s="19">
        <f t="shared" si="10"/>
        <v>2.350123598134832E-6</v>
      </c>
      <c r="S159" s="2"/>
      <c r="T159" s="2"/>
      <c r="U159" s="2"/>
      <c r="V159" s="19">
        <f t="shared" si="11"/>
        <v>0</v>
      </c>
      <c r="W159" s="2"/>
      <c r="X159" s="2">
        <f t="shared" si="12"/>
        <v>24.12</v>
      </c>
      <c r="Y159" s="2"/>
      <c r="Z159" s="19">
        <f t="shared" si="13"/>
        <v>0</v>
      </c>
    </row>
    <row r="160" spans="1:26" s="24" customFormat="1" hidden="1" outlineLevel="1" x14ac:dyDescent="0.25">
      <c r="A160" s="44"/>
      <c r="B160" s="11" t="str">
        <f>CONCATENATE("          ", "5592", " - ", "FREIGHT-IN-GRAD MERCH")</f>
        <v xml:space="preserve">          5592 - FREIGHT-IN-GRAD MERCH</v>
      </c>
      <c r="C160" s="11"/>
      <c r="D160" s="2"/>
      <c r="E160" s="2"/>
      <c r="F160" s="19">
        <f t="shared" si="6"/>
        <v>0</v>
      </c>
      <c r="G160" s="2"/>
      <c r="H160" s="2"/>
      <c r="I160" s="2"/>
      <c r="J160" s="19">
        <f t="shared" si="7"/>
        <v>0</v>
      </c>
      <c r="K160" s="2"/>
      <c r="L160" s="2">
        <f t="shared" si="8"/>
        <v>0</v>
      </c>
      <c r="M160" s="2"/>
      <c r="N160" s="19">
        <f t="shared" si="9"/>
        <v>0</v>
      </c>
      <c r="O160" s="11"/>
      <c r="P160" s="2">
        <v>0</v>
      </c>
      <c r="Q160" s="2"/>
      <c r="R160" s="19">
        <f t="shared" si="10"/>
        <v>0</v>
      </c>
      <c r="S160" s="2"/>
      <c r="T160" s="2"/>
      <c r="U160" s="2"/>
      <c r="V160" s="19">
        <f t="shared" si="11"/>
        <v>0</v>
      </c>
      <c r="W160" s="2"/>
      <c r="X160" s="2">
        <f t="shared" si="12"/>
        <v>0</v>
      </c>
      <c r="Y160" s="2"/>
      <c r="Z160" s="19">
        <f t="shared" si="13"/>
        <v>0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x14ac:dyDescent="0.25">
      <c r="A162" s="10"/>
      <c r="B162" s="28" t="s">
        <v>108</v>
      </c>
      <c r="C162" s="28"/>
      <c r="D162" s="20">
        <f>D12-D103</f>
        <v>133226.80000000005</v>
      </c>
      <c r="E162" s="14"/>
      <c r="F162" s="22">
        <f>IF(D$12=0,0,D162/D$12)</f>
        <v>0.29540235096961515</v>
      </c>
      <c r="G162" s="14"/>
      <c r="H162" s="20">
        <f>H12-H103</f>
        <v>306749</v>
      </c>
      <c r="I162" s="14"/>
      <c r="J162" s="22">
        <f>IF(H$12=0,0,H162/H$12)</f>
        <v>0.41530071660761503</v>
      </c>
      <c r="K162" s="16"/>
      <c r="L162" s="20">
        <f>+D162-H162</f>
        <v>-173522.19999999995</v>
      </c>
      <c r="M162" s="16"/>
      <c r="N162" s="22">
        <f>IF(H162=0,0,L162/H162)</f>
        <v>-0.56568138771438525</v>
      </c>
      <c r="O162" s="29"/>
      <c r="P162" s="20">
        <f>P12-P103</f>
        <v>3975018.7299999977</v>
      </c>
      <c r="Q162" s="14"/>
      <c r="R162" s="22">
        <f>IF(P$12=0,0,P162/P$12)</f>
        <v>0.3873045323549314</v>
      </c>
      <c r="S162" s="14"/>
      <c r="T162" s="20">
        <f>T12-T103</f>
        <v>8309914</v>
      </c>
      <c r="U162" s="14"/>
      <c r="V162" s="22">
        <f>IF(T$12=0,0,T162/T$12)</f>
        <v>0.48766602970133993</v>
      </c>
      <c r="W162" s="16"/>
      <c r="X162" s="20">
        <f>+P162-T162</f>
        <v>-4334895.2700000023</v>
      </c>
      <c r="Y162" s="16"/>
      <c r="Z162" s="22">
        <f>IF(T162=0,0,X162/T162)</f>
        <v>-0.52165344551098869</v>
      </c>
    </row>
    <row r="163" spans="1:26" x14ac:dyDescent="0.25">
      <c r="A163" s="9"/>
      <c r="B163" s="10"/>
      <c r="C163" s="9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x14ac:dyDescent="0.25">
      <c r="A164" s="10"/>
      <c r="B164" s="29" t="s">
        <v>295</v>
      </c>
      <c r="C164" s="10"/>
      <c r="D164" s="21">
        <f>SUM(OSRRefD22x_0)</f>
        <v>631927.34000000008</v>
      </c>
      <c r="E164" s="21"/>
      <c r="F164" s="30">
        <f t="shared" ref="F164:F175" si="14">IF(D$12=0,0,D164/D$12)</f>
        <v>1.4011656954754996</v>
      </c>
      <c r="G164" s="21"/>
      <c r="H164" s="21">
        <f>SUM(OSRRefH22x_0)</f>
        <v>781957.93117498106</v>
      </c>
      <c r="I164" s="21"/>
      <c r="J164" s="30">
        <f t="shared" ref="J164:J175" si="15">IF(H$12=0,0,H164/H$12)</f>
        <v>1.0586756246115807</v>
      </c>
      <c r="K164" s="4"/>
      <c r="L164" s="21">
        <f t="shared" ref="L164:L175" si="16">+D164-H164</f>
        <v>-150030.59117498097</v>
      </c>
      <c r="M164" s="4"/>
      <c r="N164" s="30">
        <f t="shared" ref="N164:N175" si="17">IF(H164=0,0,L164/H164)</f>
        <v>-0.19186529759924922</v>
      </c>
      <c r="O164" s="10"/>
      <c r="P164" s="21">
        <f>SUM(OSRRefP22x_0)</f>
        <v>8021775.0299999965</v>
      </c>
      <c r="Q164" s="21"/>
      <c r="R164" s="30">
        <f t="shared" ref="R164:R175" si="18">IF(P$12=0,0,P164/P$12)</f>
        <v>0.78159878925919324</v>
      </c>
      <c r="S164" s="21"/>
      <c r="T164" s="21">
        <f>SUM(OSRRefT22x_0)</f>
        <v>11445049.971833864</v>
      </c>
      <c r="U164" s="21"/>
      <c r="V164" s="30">
        <f t="shared" ref="V164:V175" si="19">IF(T$12=0,0,T164/T$12)</f>
        <v>0.6716510037886857</v>
      </c>
      <c r="W164" s="4"/>
      <c r="X164" s="21">
        <f t="shared" ref="X164:X175" si="20">+P164-T164</f>
        <v>-3423274.9418338677</v>
      </c>
      <c r="Y164" s="4"/>
      <c r="Z164" s="30">
        <f t="shared" ref="Z164:Z175" si="21">IF(T164=0,0,X164/T164)</f>
        <v>-0.29910528571378087</v>
      </c>
    </row>
    <row r="165" spans="1:26" s="27" customFormat="1" outlineLevel="1" collapsed="1" x14ac:dyDescent="0.25">
      <c r="A165" s="25"/>
      <c r="B165" s="13" t="str">
        <f>CONCATENATE("     ","*Benefits                                         ")</f>
        <v xml:space="preserve">     *Benefits                                         </v>
      </c>
      <c r="C165" s="13"/>
      <c r="D165" s="1">
        <f>SUM(OSRRefD22_0x_0)</f>
        <v>157493.65</v>
      </c>
      <c r="E165" s="1"/>
      <c r="F165" s="5">
        <f t="shared" si="14"/>
        <v>0.34920897651813082</v>
      </c>
      <c r="G165" s="1"/>
      <c r="H165" s="1">
        <f>SUM(OSRRefH22_0x_0)</f>
        <v>166838.70938795496</v>
      </c>
      <c r="I165" s="1"/>
      <c r="J165" s="5">
        <f t="shared" si="15"/>
        <v>0.22587925491756233</v>
      </c>
      <c r="K165" s="1"/>
      <c r="L165" s="1">
        <f t="shared" si="16"/>
        <v>-9345.0593879549706</v>
      </c>
      <c r="M165" s="1"/>
      <c r="N165" s="5">
        <f t="shared" si="17"/>
        <v>-5.6012537031946398E-2</v>
      </c>
      <c r="O165" s="13"/>
      <c r="P165" s="1">
        <f>SUM(OSRRefP22_0x_0)</f>
        <v>1860284.62</v>
      </c>
      <c r="Q165" s="1"/>
      <c r="R165" s="5">
        <f t="shared" si="18"/>
        <v>0.18125616852028562</v>
      </c>
      <c r="S165" s="1"/>
      <c r="T165" s="1">
        <f>SUM(OSRRefT22_0x_0)</f>
        <v>2122482.9853458647</v>
      </c>
      <c r="U165" s="1"/>
      <c r="V165" s="5">
        <f t="shared" si="19"/>
        <v>0.12455758875149189</v>
      </c>
      <c r="W165" s="1"/>
      <c r="X165" s="1">
        <f t="shared" si="20"/>
        <v>-262198.36534586456</v>
      </c>
      <c r="Y165" s="1"/>
      <c r="Z165" s="5">
        <f t="shared" si="21"/>
        <v>-0.12353378903677693</v>
      </c>
    </row>
    <row r="166" spans="1:26" s="24" customFormat="1" hidden="1" outlineLevel="2" x14ac:dyDescent="0.25">
      <c r="A166" s="26"/>
      <c r="B166" s="11" t="str">
        <f>CONCATENATE("          ", "6111", " - ", "F.I.C.A.")</f>
        <v xml:space="preserve">          6111 - F.I.C.A.</v>
      </c>
      <c r="C166" s="11"/>
      <c r="D166" s="6">
        <v>20326.87</v>
      </c>
      <c r="E166" s="2"/>
      <c r="F166" s="7">
        <f t="shared" si="14"/>
        <v>4.507055026356363E-2</v>
      </c>
      <c r="G166" s="2"/>
      <c r="H166" s="6">
        <v>24724.275598051099</v>
      </c>
      <c r="I166" s="2"/>
      <c r="J166" s="7">
        <f t="shared" si="15"/>
        <v>3.3473652313372793E-2</v>
      </c>
      <c r="K166" s="2"/>
      <c r="L166" s="6">
        <f t="shared" si="16"/>
        <v>-4397.4055980511002</v>
      </c>
      <c r="M166" s="2"/>
      <c r="N166" s="7">
        <f t="shared" si="17"/>
        <v>-0.17785781349232846</v>
      </c>
      <c r="O166" s="11"/>
      <c r="P166" s="6">
        <v>256168.48</v>
      </c>
      <c r="Q166" s="2"/>
      <c r="R166" s="7">
        <f t="shared" si="18"/>
        <v>2.4959684491970596E-2</v>
      </c>
      <c r="S166" s="2"/>
      <c r="T166" s="6">
        <v>278960.99548806</v>
      </c>
      <c r="U166" s="2"/>
      <c r="V166" s="7">
        <f t="shared" si="19"/>
        <v>1.6370783272991227E-2</v>
      </c>
      <c r="W166" s="2"/>
      <c r="X166" s="6">
        <f t="shared" si="20"/>
        <v>-22792.515488059988</v>
      </c>
      <c r="Y166" s="2"/>
      <c r="Z166" s="7">
        <f t="shared" si="21"/>
        <v>-8.1705026353892346E-2</v>
      </c>
    </row>
    <row r="167" spans="1:26" s="24" customFormat="1" hidden="1" outlineLevel="2" x14ac:dyDescent="0.25">
      <c r="A167" s="26"/>
      <c r="B167" s="11" t="str">
        <f>CONCATENATE("          ", "6112", " - ", "COMPENSATION INSURANCE")</f>
        <v xml:space="preserve">          6112 - COMPENSATION INSURANCE</v>
      </c>
      <c r="C167" s="11"/>
      <c r="D167" s="6">
        <v>6709.32</v>
      </c>
      <c r="E167" s="2"/>
      <c r="F167" s="7">
        <f t="shared" si="14"/>
        <v>1.4876503086522063E-2</v>
      </c>
      <c r="G167" s="2"/>
      <c r="H167" s="6">
        <v>9326.6136401884596</v>
      </c>
      <c r="I167" s="2"/>
      <c r="J167" s="7">
        <f t="shared" si="15"/>
        <v>1.2627096839085455E-2</v>
      </c>
      <c r="K167" s="2"/>
      <c r="L167" s="6">
        <f t="shared" si="16"/>
        <v>-2617.2936401884599</v>
      </c>
      <c r="M167" s="2"/>
      <c r="N167" s="7">
        <f t="shared" si="17"/>
        <v>-0.28062636034482213</v>
      </c>
      <c r="O167" s="11"/>
      <c r="P167" s="6">
        <v>97703.95</v>
      </c>
      <c r="Q167" s="2"/>
      <c r="R167" s="7">
        <f t="shared" si="18"/>
        <v>9.5197495242945983E-3</v>
      </c>
      <c r="S167" s="2"/>
      <c r="T167" s="6">
        <v>147378.98530937501</v>
      </c>
      <c r="U167" s="2"/>
      <c r="V167" s="7">
        <f t="shared" si="19"/>
        <v>8.6489131689250955E-3</v>
      </c>
      <c r="W167" s="2"/>
      <c r="X167" s="6">
        <f t="shared" si="20"/>
        <v>-49675.035309375016</v>
      </c>
      <c r="Y167" s="2"/>
      <c r="Z167" s="7">
        <f t="shared" si="21"/>
        <v>-0.33705643450521916</v>
      </c>
    </row>
    <row r="168" spans="1:26" s="24" customFormat="1" hidden="1" outlineLevel="2" x14ac:dyDescent="0.25">
      <c r="A168" s="26"/>
      <c r="B168" s="11" t="str">
        <f>CONCATENATE("          ", "6113", " - ", "GROUP INSURANCE")</f>
        <v xml:space="preserve">          6113 - GROUP INSURANCE</v>
      </c>
      <c r="C168" s="11"/>
      <c r="D168" s="6">
        <v>73927.929999999993</v>
      </c>
      <c r="E168" s="2"/>
      <c r="F168" s="7">
        <f t="shared" si="14"/>
        <v>0.16391960419613119</v>
      </c>
      <c r="G168" s="2"/>
      <c r="H168" s="6">
        <v>90074.230769230795</v>
      </c>
      <c r="I168" s="2"/>
      <c r="J168" s="7">
        <f t="shared" si="15"/>
        <v>0.12194951763931174</v>
      </c>
      <c r="K168" s="2"/>
      <c r="L168" s="6">
        <f t="shared" si="16"/>
        <v>-16146.300769230802</v>
      </c>
      <c r="M168" s="2"/>
      <c r="N168" s="7">
        <f t="shared" si="17"/>
        <v>-0.17925549439991834</v>
      </c>
      <c r="O168" s="11"/>
      <c r="P168" s="6">
        <v>897300.86</v>
      </c>
      <c r="Q168" s="2"/>
      <c r="R168" s="7">
        <f t="shared" si="18"/>
        <v>8.7428189291570438E-2</v>
      </c>
      <c r="S168" s="2"/>
      <c r="T168" s="6">
        <v>1127207.3846153801</v>
      </c>
      <c r="U168" s="2"/>
      <c r="V168" s="7">
        <f t="shared" si="19"/>
        <v>6.6149992635954308E-2</v>
      </c>
      <c r="W168" s="2"/>
      <c r="X168" s="6">
        <f t="shared" si="20"/>
        <v>-229906.5246153801</v>
      </c>
      <c r="Y168" s="2"/>
      <c r="Z168" s="7">
        <f t="shared" si="21"/>
        <v>-0.20396115901407763</v>
      </c>
    </row>
    <row r="169" spans="1:26" s="24" customFormat="1" hidden="1" outlineLevel="2" x14ac:dyDescent="0.25">
      <c r="A169" s="26"/>
      <c r="B169" s="11" t="str">
        <f>CONCATENATE("          ", "6114", " - ", "STATE UNEMPLOYMENT INSURANCE")</f>
        <v xml:space="preserve">          6114 - STATE UNEMPLOYMENT INSURANCE</v>
      </c>
      <c r="C169" s="11"/>
      <c r="D169" s="6">
        <v>713.79</v>
      </c>
      <c r="E169" s="2"/>
      <c r="F169" s="7">
        <f t="shared" si="14"/>
        <v>1.5826788911735591E-3</v>
      </c>
      <c r="G169" s="2"/>
      <c r="H169" s="6">
        <v>873.29505210000002</v>
      </c>
      <c r="I169" s="2"/>
      <c r="J169" s="7">
        <f t="shared" si="15"/>
        <v>1.1823349414244691E-3</v>
      </c>
      <c r="K169" s="2"/>
      <c r="L169" s="6">
        <f t="shared" si="16"/>
        <v>-159.50505210000006</v>
      </c>
      <c r="M169" s="2"/>
      <c r="N169" s="7">
        <f t="shared" si="17"/>
        <v>-0.18264737870258232</v>
      </c>
      <c r="O169" s="11"/>
      <c r="P169" s="6">
        <v>9994.67</v>
      </c>
      <c r="Q169" s="2"/>
      <c r="R169" s="7">
        <f t="shared" si="18"/>
        <v>9.7382710707173551E-4</v>
      </c>
      <c r="S169" s="2"/>
      <c r="T169" s="6">
        <v>13354.09475855</v>
      </c>
      <c r="U169" s="2"/>
      <c r="V169" s="7">
        <f t="shared" si="19"/>
        <v>7.8368300456028203E-4</v>
      </c>
      <c r="W169" s="2"/>
      <c r="X169" s="6">
        <f t="shared" si="20"/>
        <v>-3359.4247585499998</v>
      </c>
      <c r="Y169" s="2"/>
      <c r="Z169" s="7">
        <f t="shared" si="21"/>
        <v>-0.25156514307337213</v>
      </c>
    </row>
    <row r="170" spans="1:26" s="24" customFormat="1" hidden="1" outlineLevel="2" x14ac:dyDescent="0.25">
      <c r="A170" s="26"/>
      <c r="B170" s="11" t="str">
        <f>CONCATENATE("          ", "6115", " - ", "P.E.R.S.")</f>
        <v xml:space="preserve">          6115 - P.E.R.S.</v>
      </c>
      <c r="C170" s="11"/>
      <c r="D170" s="6">
        <v>22522.01</v>
      </c>
      <c r="E170" s="2"/>
      <c r="F170" s="7">
        <f t="shared" si="14"/>
        <v>4.9937810579862157E-2</v>
      </c>
      <c r="G170" s="2"/>
      <c r="H170" s="6">
        <v>12350.504878769199</v>
      </c>
      <c r="I170" s="2"/>
      <c r="J170" s="7">
        <f t="shared" si="15"/>
        <v>1.6721076602103657E-2</v>
      </c>
      <c r="K170" s="2"/>
      <c r="L170" s="6">
        <f t="shared" si="16"/>
        <v>10171.505121230799</v>
      </c>
      <c r="M170" s="2"/>
      <c r="N170" s="7">
        <f t="shared" si="17"/>
        <v>0.82356998528180403</v>
      </c>
      <c r="O170" s="11"/>
      <c r="P170" s="6">
        <v>191754.26</v>
      </c>
      <c r="Q170" s="2"/>
      <c r="R170" s="7">
        <f t="shared" si="18"/>
        <v>1.8683507938179193E-2</v>
      </c>
      <c r="S170" s="2"/>
      <c r="T170" s="6">
        <v>160310.27473199999</v>
      </c>
      <c r="U170" s="2"/>
      <c r="V170" s="7">
        <f t="shared" si="19"/>
        <v>9.407783907136159E-3</v>
      </c>
      <c r="W170" s="2"/>
      <c r="X170" s="6">
        <f t="shared" si="20"/>
        <v>31443.985268000019</v>
      </c>
      <c r="Y170" s="2"/>
      <c r="Z170" s="7">
        <f t="shared" si="21"/>
        <v>0.19614454108176632</v>
      </c>
    </row>
    <row r="171" spans="1:26" s="24" customFormat="1" hidden="1" outlineLevel="2" x14ac:dyDescent="0.25">
      <c r="A171" s="26"/>
      <c r="B171" s="11" t="str">
        <f>CONCATENATE("          ", "6116", " - ", "EDUCATIONAL BENEFITS")</f>
        <v xml:space="preserve">          6116 - EDUCATIONAL BENEFITS</v>
      </c>
      <c r="C171" s="11"/>
      <c r="D171" s="6"/>
      <c r="E171" s="2"/>
      <c r="F171" s="7">
        <f t="shared" si="14"/>
        <v>0</v>
      </c>
      <c r="G171" s="2"/>
      <c r="H171" s="6">
        <v>0</v>
      </c>
      <c r="I171" s="2"/>
      <c r="J171" s="7">
        <f t="shared" si="15"/>
        <v>0</v>
      </c>
      <c r="K171" s="2"/>
      <c r="L171" s="6">
        <f t="shared" si="16"/>
        <v>0</v>
      </c>
      <c r="M171" s="2"/>
      <c r="N171" s="7">
        <f t="shared" si="17"/>
        <v>0</v>
      </c>
      <c r="O171" s="11"/>
      <c r="P171" s="6">
        <v>0</v>
      </c>
      <c r="Q171" s="2"/>
      <c r="R171" s="7">
        <f t="shared" si="18"/>
        <v>0</v>
      </c>
      <c r="S171" s="2"/>
      <c r="T171" s="6">
        <v>0</v>
      </c>
      <c r="U171" s="2"/>
      <c r="V171" s="7">
        <f t="shared" si="19"/>
        <v>0</v>
      </c>
      <c r="W171" s="2"/>
      <c r="X171" s="6">
        <f t="shared" si="20"/>
        <v>0</v>
      </c>
      <c r="Y171" s="2"/>
      <c r="Z171" s="7">
        <f t="shared" si="21"/>
        <v>0</v>
      </c>
    </row>
    <row r="172" spans="1:26" s="24" customFormat="1" hidden="1" outlineLevel="2" x14ac:dyDescent="0.25">
      <c r="A172" s="26"/>
      <c r="B172" s="11" t="str">
        <f>CONCATENATE("          ", "6117", " - ", "RETIREMENT STAFF HOURLY")</f>
        <v xml:space="preserve">          6117 - RETIREMENT STAFF HOURLY</v>
      </c>
      <c r="C172" s="11"/>
      <c r="D172" s="6">
        <v>2091.3200000000002</v>
      </c>
      <c r="E172" s="2"/>
      <c r="F172" s="7">
        <f t="shared" si="14"/>
        <v>4.6370613467393608E-3</v>
      </c>
      <c r="G172" s="2"/>
      <c r="H172" s="6"/>
      <c r="I172" s="2"/>
      <c r="J172" s="7">
        <f t="shared" si="15"/>
        <v>0</v>
      </c>
      <c r="K172" s="2"/>
      <c r="L172" s="6">
        <f t="shared" si="16"/>
        <v>2091.3200000000002</v>
      </c>
      <c r="M172" s="2"/>
      <c r="N172" s="7">
        <f t="shared" si="17"/>
        <v>0</v>
      </c>
      <c r="O172" s="11"/>
      <c r="P172" s="6">
        <v>26222.04</v>
      </c>
      <c r="Q172" s="2"/>
      <c r="R172" s="7">
        <f t="shared" si="18"/>
        <v>2.5549351158887018E-3</v>
      </c>
      <c r="S172" s="2"/>
      <c r="T172" s="6"/>
      <c r="U172" s="2"/>
      <c r="V172" s="7">
        <f t="shared" si="19"/>
        <v>0</v>
      </c>
      <c r="W172" s="2"/>
      <c r="X172" s="6">
        <f t="shared" si="20"/>
        <v>26222.04</v>
      </c>
      <c r="Y172" s="2"/>
      <c r="Z172" s="7">
        <f t="shared" si="21"/>
        <v>0</v>
      </c>
    </row>
    <row r="173" spans="1:26" s="24" customFormat="1" hidden="1" outlineLevel="2" x14ac:dyDescent="0.25">
      <c r="A173" s="26"/>
      <c r="B173" s="11" t="str">
        <f>CONCATENATE("          ", "6118", " - ", "VACATION")</f>
        <v xml:space="preserve">          6118 - VACATION</v>
      </c>
      <c r="C173" s="11"/>
      <c r="D173" s="6">
        <v>15599.62</v>
      </c>
      <c r="E173" s="2"/>
      <c r="F173" s="7">
        <f t="shared" si="14"/>
        <v>3.4588869673613916E-2</v>
      </c>
      <c r="G173" s="2"/>
      <c r="H173" s="6">
        <v>13040.8390430769</v>
      </c>
      <c r="I173" s="2"/>
      <c r="J173" s="7">
        <f t="shared" si="15"/>
        <v>1.7655704826272951E-2</v>
      </c>
      <c r="K173" s="2"/>
      <c r="L173" s="6">
        <f t="shared" si="16"/>
        <v>2558.7809569231013</v>
      </c>
      <c r="M173" s="2"/>
      <c r="N173" s="7">
        <f t="shared" si="17"/>
        <v>0.19621290842336583</v>
      </c>
      <c r="O173" s="11"/>
      <c r="P173" s="6">
        <v>194135.8</v>
      </c>
      <c r="Q173" s="2"/>
      <c r="R173" s="7">
        <f t="shared" si="18"/>
        <v>1.8915552438755558E-2</v>
      </c>
      <c r="S173" s="2"/>
      <c r="T173" s="6">
        <v>169180.94896000001</v>
      </c>
      <c r="U173" s="2"/>
      <c r="V173" s="7">
        <f t="shared" si="19"/>
        <v>9.9283580648883048E-3</v>
      </c>
      <c r="W173" s="2"/>
      <c r="X173" s="6">
        <f t="shared" si="20"/>
        <v>24954.85103999998</v>
      </c>
      <c r="Y173" s="2"/>
      <c r="Z173" s="7">
        <f t="shared" si="21"/>
        <v>0.14750390746360062</v>
      </c>
    </row>
    <row r="174" spans="1:26" s="24" customFormat="1" hidden="1" outlineLevel="2" x14ac:dyDescent="0.25">
      <c r="A174" s="26"/>
      <c r="B174" s="11" t="str">
        <f>CONCATENATE("          ", "6119", " - ", "SICK LEAVE")</f>
        <v xml:space="preserve">          6119 - SICK LEAVE</v>
      </c>
      <c r="C174" s="11"/>
      <c r="D174" s="6">
        <v>10560.54</v>
      </c>
      <c r="E174" s="2"/>
      <c r="F174" s="7">
        <f t="shared" si="14"/>
        <v>2.3415771777965538E-2</v>
      </c>
      <c r="G174" s="2"/>
      <c r="H174" s="6">
        <v>10098.950406538501</v>
      </c>
      <c r="I174" s="2"/>
      <c r="J174" s="7">
        <f t="shared" si="15"/>
        <v>1.3672746580494817E-2</v>
      </c>
      <c r="K174" s="2"/>
      <c r="L174" s="6">
        <f t="shared" si="16"/>
        <v>461.58959346150004</v>
      </c>
      <c r="M174" s="2"/>
      <c r="N174" s="7">
        <f t="shared" si="17"/>
        <v>4.5706689792500296E-2</v>
      </c>
      <c r="O174" s="11"/>
      <c r="P174" s="6">
        <v>130540.74</v>
      </c>
      <c r="Q174" s="2"/>
      <c r="R174" s="7">
        <f t="shared" si="18"/>
        <v>1.2719190447428839E-2</v>
      </c>
      <c r="S174" s="2"/>
      <c r="T174" s="6">
        <v>149890.30148250001</v>
      </c>
      <c r="U174" s="2"/>
      <c r="V174" s="7">
        <f t="shared" si="19"/>
        <v>8.7962893737176633E-3</v>
      </c>
      <c r="W174" s="2"/>
      <c r="X174" s="6">
        <f t="shared" si="20"/>
        <v>-19349.561482500008</v>
      </c>
      <c r="Y174" s="2"/>
      <c r="Z174" s="7">
        <f t="shared" si="21"/>
        <v>-0.12909148417957586</v>
      </c>
    </row>
    <row r="175" spans="1:26" s="24" customFormat="1" hidden="1" outlineLevel="2" x14ac:dyDescent="0.25">
      <c r="A175" s="26"/>
      <c r="B175" s="11" t="str">
        <f>CONCATENATE("          ", "6156", " - ", "EMPLOYEE MEALS")</f>
        <v xml:space="preserve">          6156 - EMPLOYEE MEALS</v>
      </c>
      <c r="C175" s="11"/>
      <c r="D175" s="6">
        <v>5042.25</v>
      </c>
      <c r="E175" s="2"/>
      <c r="F175" s="7">
        <f t="shared" si="14"/>
        <v>1.1180126702559407E-2</v>
      </c>
      <c r="G175" s="2"/>
      <c r="H175" s="6">
        <v>6350</v>
      </c>
      <c r="I175" s="2"/>
      <c r="J175" s="7">
        <f t="shared" si="15"/>
        <v>8.597125175496434E-3</v>
      </c>
      <c r="K175" s="2"/>
      <c r="L175" s="6">
        <f t="shared" si="16"/>
        <v>-1307.75</v>
      </c>
      <c r="M175" s="2"/>
      <c r="N175" s="7">
        <f t="shared" si="17"/>
        <v>-0.20594488188976379</v>
      </c>
      <c r="O175" s="11"/>
      <c r="P175" s="6">
        <v>56463.82</v>
      </c>
      <c r="Q175" s="2"/>
      <c r="R175" s="7">
        <f t="shared" si="18"/>
        <v>5.501532165125932E-3</v>
      </c>
      <c r="S175" s="2"/>
      <c r="T175" s="6">
        <v>76200</v>
      </c>
      <c r="U175" s="2"/>
      <c r="V175" s="7">
        <f t="shared" si="19"/>
        <v>4.4717853233188819E-3</v>
      </c>
      <c r="W175" s="2"/>
      <c r="X175" s="6">
        <f t="shared" si="20"/>
        <v>-19736.18</v>
      </c>
      <c r="Y175" s="2"/>
      <c r="Z175" s="7">
        <f t="shared" si="21"/>
        <v>-0.25900498687664042</v>
      </c>
    </row>
    <row r="176" spans="1:26" s="27" customFormat="1" outlineLevel="1" collapsed="1" x14ac:dyDescent="0.25">
      <c r="A176" s="25"/>
      <c r="B176" s="13" t="str">
        <f>CONCATENATE("     ","*Payroll                                          ")</f>
        <v xml:space="preserve">     *Payroll                                          </v>
      </c>
      <c r="C176" s="13"/>
      <c r="D176" s="1">
        <f>SUM(OSRRefD22_1x_0)</f>
        <v>251172.51000000004</v>
      </c>
      <c r="E176" s="1"/>
      <c r="F176" s="5">
        <f t="shared" ref="F176:F186" si="22">IF(D$12=0,0,D176/D$12)</f>
        <v>0.55692210540926568</v>
      </c>
      <c r="G176" s="1"/>
      <c r="H176" s="1">
        <f>SUM(OSRRefH22_1x_0)</f>
        <v>309677.88845369278</v>
      </c>
      <c r="I176" s="1"/>
      <c r="J176" s="5">
        <f t="shared" ref="J176:J186" si="23">IF(H$12=0,0,H176/H$12)</f>
        <v>0.41926607419209738</v>
      </c>
      <c r="K176" s="1"/>
      <c r="L176" s="1">
        <f t="shared" ref="L176:L186" si="24">+D176-H176</f>
        <v>-58505.378453692741</v>
      </c>
      <c r="M176" s="1"/>
      <c r="N176" s="5">
        <f t="shared" ref="N176:N186" si="25">IF(H176=0,0,L176/H176)</f>
        <v>-0.18892333174262538</v>
      </c>
      <c r="O176" s="13"/>
      <c r="P176" s="1">
        <f>SUM(OSRRefP22_1x_0)</f>
        <v>3383682.4299999997</v>
      </c>
      <c r="Q176" s="1"/>
      <c r="R176" s="5">
        <f t="shared" ref="R176:R186" si="26">IF(P$12=0,0,P176/P$12)</f>
        <v>0.32968789085145983</v>
      </c>
      <c r="S176" s="1"/>
      <c r="T176" s="1">
        <f>SUM(OSRRefT22_1x_0)</f>
        <v>4782557.9864879996</v>
      </c>
      <c r="U176" s="1"/>
      <c r="V176" s="5">
        <f t="shared" ref="V176:V186" si="27">IF(T$12=0,0,T176/T$12)</f>
        <v>0.28066368257084695</v>
      </c>
      <c r="W176" s="1"/>
      <c r="X176" s="1">
        <f t="shared" ref="X176:X186" si="28">+P176-T176</f>
        <v>-1398875.5564879999</v>
      </c>
      <c r="Y176" s="1"/>
      <c r="Z176" s="5">
        <f t="shared" ref="Z176:Z186" si="29">IF(T176=0,0,X176/T176)</f>
        <v>-0.29249526308728424</v>
      </c>
    </row>
    <row r="177" spans="1:26" s="24" customFormat="1" hidden="1" outlineLevel="2" x14ac:dyDescent="0.25">
      <c r="A177" s="26"/>
      <c r="B177" s="11" t="str">
        <f>CONCATENATE("          ", "6001", " - ", "ADMINISTRATIVE SALARIES")</f>
        <v xml:space="preserve">          6001 - ADMINISTRATIVE SALARIES</v>
      </c>
      <c r="C177" s="11"/>
      <c r="D177" s="6">
        <v>24507.51</v>
      </c>
      <c r="E177" s="2"/>
      <c r="F177" s="7">
        <f t="shared" si="22"/>
        <v>5.4340238378549587E-2</v>
      </c>
      <c r="G177" s="2"/>
      <c r="H177" s="6">
        <v>27028.930769230799</v>
      </c>
      <c r="I177" s="2"/>
      <c r="J177" s="7">
        <f t="shared" si="23"/>
        <v>3.6593874202032167E-2</v>
      </c>
      <c r="K177" s="2"/>
      <c r="L177" s="6">
        <f t="shared" si="24"/>
        <v>-2521.4207692308009</v>
      </c>
      <c r="M177" s="2"/>
      <c r="N177" s="7">
        <f t="shared" si="25"/>
        <v>-9.3285997539389778E-2</v>
      </c>
      <c r="O177" s="11"/>
      <c r="P177" s="6">
        <v>339333.19</v>
      </c>
      <c r="Q177" s="2"/>
      <c r="R177" s="7">
        <f t="shared" si="26"/>
        <v>3.3062808351963957E-2</v>
      </c>
      <c r="S177" s="2"/>
      <c r="T177" s="6">
        <v>351376.1</v>
      </c>
      <c r="U177" s="2"/>
      <c r="V177" s="7">
        <f t="shared" si="27"/>
        <v>2.0620452584580413E-2</v>
      </c>
      <c r="W177" s="2"/>
      <c r="X177" s="6">
        <f t="shared" si="28"/>
        <v>-12042.909999999974</v>
      </c>
      <c r="Y177" s="2"/>
      <c r="Z177" s="7">
        <f t="shared" si="29"/>
        <v>-3.4273560438515809E-2</v>
      </c>
    </row>
    <row r="178" spans="1:26" s="24" customFormat="1" hidden="1" outlineLevel="2" x14ac:dyDescent="0.25">
      <c r="A178" s="26"/>
      <c r="B178" s="11" t="str">
        <f>CONCATENATE("          ", "6002", " - ", "STAFF SALARIES")</f>
        <v xml:space="preserve">          6002 - STAFF SALARIES</v>
      </c>
      <c r="C178" s="11"/>
      <c r="D178" s="6">
        <v>100455.94</v>
      </c>
      <c r="E178" s="2"/>
      <c r="F178" s="7">
        <f t="shared" si="22"/>
        <v>0.22273987549699154</v>
      </c>
      <c r="G178" s="2"/>
      <c r="H178" s="6">
        <v>102906.631594462</v>
      </c>
      <c r="I178" s="2"/>
      <c r="J178" s="7">
        <f t="shared" si="23"/>
        <v>0.13932302255217102</v>
      </c>
      <c r="K178" s="2"/>
      <c r="L178" s="6">
        <f t="shared" si="24"/>
        <v>-2450.6915944619977</v>
      </c>
      <c r="M178" s="2"/>
      <c r="N178" s="7">
        <f t="shared" si="25"/>
        <v>-2.3814710057946192E-2</v>
      </c>
      <c r="O178" s="11"/>
      <c r="P178" s="6">
        <v>1339707.04</v>
      </c>
      <c r="Q178" s="2"/>
      <c r="R178" s="7">
        <f t="shared" si="26"/>
        <v>0.1305338776654795</v>
      </c>
      <c r="S178" s="2"/>
      <c r="T178" s="6">
        <v>1335351.4146779999</v>
      </c>
      <c r="U178" s="2"/>
      <c r="V178" s="7">
        <f t="shared" si="27"/>
        <v>7.8364893144753089E-2</v>
      </c>
      <c r="W178" s="2"/>
      <c r="X178" s="6">
        <f t="shared" si="28"/>
        <v>4355.6253220001236</v>
      </c>
      <c r="Y178" s="2"/>
      <c r="Z178" s="7">
        <f t="shared" si="29"/>
        <v>3.2617820853175325E-3</v>
      </c>
    </row>
    <row r="179" spans="1:26" s="24" customFormat="1" hidden="1" outlineLevel="2" x14ac:dyDescent="0.25">
      <c r="A179" s="26"/>
      <c r="B179" s="11" t="str">
        <f>CONCATENATE("          ", "6003", " - ", "STAFF HOURLY-9 MONTH")</f>
        <v xml:space="preserve">          6003 - STAFF HOURLY-9 MONTH</v>
      </c>
      <c r="C179" s="11"/>
      <c r="D179" s="6"/>
      <c r="E179" s="2"/>
      <c r="F179" s="7">
        <f t="shared" si="22"/>
        <v>0</v>
      </c>
      <c r="G179" s="2"/>
      <c r="H179" s="6">
        <v>0</v>
      </c>
      <c r="I179" s="2"/>
      <c r="J179" s="7">
        <f t="shared" si="23"/>
        <v>0</v>
      </c>
      <c r="K179" s="2"/>
      <c r="L179" s="6">
        <f t="shared" si="24"/>
        <v>0</v>
      </c>
      <c r="M179" s="2"/>
      <c r="N179" s="7">
        <f t="shared" si="25"/>
        <v>0</v>
      </c>
      <c r="O179" s="11"/>
      <c r="P179" s="6"/>
      <c r="Q179" s="2"/>
      <c r="R179" s="7">
        <f t="shared" si="26"/>
        <v>0</v>
      </c>
      <c r="S179" s="2"/>
      <c r="T179" s="6">
        <v>0</v>
      </c>
      <c r="U179" s="2"/>
      <c r="V179" s="7">
        <f t="shared" si="27"/>
        <v>0</v>
      </c>
      <c r="W179" s="2"/>
      <c r="X179" s="6">
        <f t="shared" si="28"/>
        <v>0</v>
      </c>
      <c r="Y179" s="2"/>
      <c r="Z179" s="7">
        <f t="shared" si="29"/>
        <v>0</v>
      </c>
    </row>
    <row r="180" spans="1:26" s="24" customFormat="1" hidden="1" outlineLevel="2" x14ac:dyDescent="0.25">
      <c r="A180" s="26"/>
      <c r="B180" s="11" t="str">
        <f>CONCATENATE("          ", "6004", " - ", "STAFF HOURLY")</f>
        <v xml:space="preserve">          6004 - STAFF HOURLY</v>
      </c>
      <c r="C180" s="11"/>
      <c r="D180" s="6">
        <v>63463.12</v>
      </c>
      <c r="E180" s="2"/>
      <c r="F180" s="7">
        <f t="shared" si="22"/>
        <v>0.14071609351772166</v>
      </c>
      <c r="G180" s="2"/>
      <c r="H180" s="6">
        <v>101196.924</v>
      </c>
      <c r="I180" s="2"/>
      <c r="J180" s="7">
        <f t="shared" si="23"/>
        <v>0.13700828708711799</v>
      </c>
      <c r="K180" s="2"/>
      <c r="L180" s="6">
        <f t="shared" si="24"/>
        <v>-37733.803999999996</v>
      </c>
      <c r="M180" s="2"/>
      <c r="N180" s="7">
        <f t="shared" si="25"/>
        <v>-0.37287500952104036</v>
      </c>
      <c r="O180" s="11"/>
      <c r="P180" s="6">
        <v>807698.52</v>
      </c>
      <c r="Q180" s="2"/>
      <c r="R180" s="7">
        <f t="shared" si="26"/>
        <v>7.8697817248365609E-2</v>
      </c>
      <c r="S180" s="2"/>
      <c r="T180" s="6">
        <v>1388912.0274</v>
      </c>
      <c r="U180" s="2"/>
      <c r="V180" s="7">
        <f t="shared" si="27"/>
        <v>8.1508089494860797E-2</v>
      </c>
      <c r="W180" s="2"/>
      <c r="X180" s="6">
        <f t="shared" si="28"/>
        <v>-581213.5074</v>
      </c>
      <c r="Y180" s="2"/>
      <c r="Z180" s="7">
        <f t="shared" si="29"/>
        <v>-0.41846675378570486</v>
      </c>
    </row>
    <row r="181" spans="1:26" s="24" customFormat="1" hidden="1" outlineLevel="2" x14ac:dyDescent="0.25">
      <c r="A181" s="26"/>
      <c r="B181" s="11" t="str">
        <f>CONCATENATE("          ", "6005", " - ", "TEMPORARY WAGES-HOURLY")</f>
        <v xml:space="preserve">          6005 - TEMPORARY WAGES-HOURLY</v>
      </c>
      <c r="C181" s="11"/>
      <c r="D181" s="6">
        <v>20621.330000000002</v>
      </c>
      <c r="E181" s="2"/>
      <c r="F181" s="7">
        <f t="shared" si="22"/>
        <v>4.5723453255052685E-2</v>
      </c>
      <c r="G181" s="2"/>
      <c r="H181" s="6">
        <v>8367.74</v>
      </c>
      <c r="I181" s="2"/>
      <c r="J181" s="7">
        <f t="shared" si="23"/>
        <v>1.1328898931654886E-2</v>
      </c>
      <c r="K181" s="2"/>
      <c r="L181" s="6">
        <f t="shared" si="24"/>
        <v>12253.590000000002</v>
      </c>
      <c r="M181" s="2"/>
      <c r="N181" s="7">
        <f t="shared" si="25"/>
        <v>1.4643846486626022</v>
      </c>
      <c r="O181" s="11"/>
      <c r="P181" s="6">
        <v>363235.12</v>
      </c>
      <c r="Q181" s="2"/>
      <c r="R181" s="7">
        <f t="shared" si="26"/>
        <v>3.5391684377418638E-2</v>
      </c>
      <c r="S181" s="2"/>
      <c r="T181" s="6">
        <v>231084.22344</v>
      </c>
      <c r="U181" s="2"/>
      <c r="V181" s="7">
        <f t="shared" si="27"/>
        <v>1.356114224185739E-2</v>
      </c>
      <c r="W181" s="2"/>
      <c r="X181" s="6">
        <f t="shared" si="28"/>
        <v>132150.89655999999</v>
      </c>
      <c r="Y181" s="2"/>
      <c r="Z181" s="7">
        <f t="shared" si="29"/>
        <v>0.57187329620670702</v>
      </c>
    </row>
    <row r="182" spans="1:26" s="24" customFormat="1" hidden="1" outlineLevel="2" x14ac:dyDescent="0.25">
      <c r="A182" s="26"/>
      <c r="B182" s="11" t="str">
        <f>CONCATENATE("          ", "6006", " - ", "TEMPORARY PART TIME")</f>
        <v xml:space="preserve">          6006 - TEMPORARY PART TIME</v>
      </c>
      <c r="C182" s="11"/>
      <c r="D182" s="6">
        <v>4232.72</v>
      </c>
      <c r="E182" s="2"/>
      <c r="F182" s="7">
        <f t="shared" si="22"/>
        <v>9.3851645389374291E-3</v>
      </c>
      <c r="G182" s="2"/>
      <c r="H182" s="6">
        <v>0</v>
      </c>
      <c r="I182" s="2"/>
      <c r="J182" s="7">
        <f t="shared" si="23"/>
        <v>0</v>
      </c>
      <c r="K182" s="2"/>
      <c r="L182" s="6">
        <f t="shared" si="24"/>
        <v>4232.72</v>
      </c>
      <c r="M182" s="2"/>
      <c r="N182" s="7">
        <f t="shared" si="25"/>
        <v>0</v>
      </c>
      <c r="O182" s="11"/>
      <c r="P182" s="6">
        <v>26376.67</v>
      </c>
      <c r="Q182" s="2"/>
      <c r="R182" s="7">
        <f t="shared" si="26"/>
        <v>2.5700014347933282E-3</v>
      </c>
      <c r="S182" s="2"/>
      <c r="T182" s="6">
        <v>0</v>
      </c>
      <c r="U182" s="2"/>
      <c r="V182" s="7">
        <f t="shared" si="27"/>
        <v>0</v>
      </c>
      <c r="W182" s="2"/>
      <c r="X182" s="6">
        <f t="shared" si="28"/>
        <v>26376.67</v>
      </c>
      <c r="Y182" s="2"/>
      <c r="Z182" s="7">
        <f t="shared" si="29"/>
        <v>0</v>
      </c>
    </row>
    <row r="183" spans="1:26" s="24" customFormat="1" hidden="1" outlineLevel="2" x14ac:dyDescent="0.25">
      <c r="A183" s="26"/>
      <c r="B183" s="11" t="str">
        <f>CONCATENATE("          ", "6007", " - ", "STUDENT HOURLY")</f>
        <v xml:space="preserve">          6007 - STUDENT HOURLY</v>
      </c>
      <c r="C183" s="11"/>
      <c r="D183" s="6">
        <v>31073.97</v>
      </c>
      <c r="E183" s="2"/>
      <c r="F183" s="7">
        <f t="shared" si="22"/>
        <v>6.8899979523333821E-2</v>
      </c>
      <c r="G183" s="2"/>
      <c r="H183" s="6">
        <v>65841.462090000001</v>
      </c>
      <c r="I183" s="2"/>
      <c r="J183" s="7">
        <f t="shared" si="23"/>
        <v>8.9141305720540631E-2</v>
      </c>
      <c r="K183" s="2"/>
      <c r="L183" s="6">
        <f t="shared" si="24"/>
        <v>-34767.49209</v>
      </c>
      <c r="M183" s="2"/>
      <c r="N183" s="7">
        <f t="shared" si="25"/>
        <v>-0.52804860321108338</v>
      </c>
      <c r="O183" s="11"/>
      <c r="P183" s="6">
        <v>473429.8</v>
      </c>
      <c r="Q183" s="2"/>
      <c r="R183" s="7">
        <f t="shared" si="26"/>
        <v>4.6128463724720306E-2</v>
      </c>
      <c r="S183" s="2"/>
      <c r="T183" s="6">
        <v>263033.24079000001</v>
      </c>
      <c r="U183" s="2"/>
      <c r="V183" s="7">
        <f t="shared" si="27"/>
        <v>1.5436065429261462E-2</v>
      </c>
      <c r="W183" s="2"/>
      <c r="X183" s="6">
        <f t="shared" si="28"/>
        <v>210396.55920999998</v>
      </c>
      <c r="Y183" s="2"/>
      <c r="Z183" s="7">
        <f t="shared" si="29"/>
        <v>0.79988581891053079</v>
      </c>
    </row>
    <row r="184" spans="1:26" s="24" customFormat="1" hidden="1" outlineLevel="2" x14ac:dyDescent="0.25">
      <c r="A184" s="26"/>
      <c r="B184" s="11" t="str">
        <f>CONCATENATE("          ", "6008", " - ", "STUDENT HOURLY-FICA EXEMPT")</f>
        <v xml:space="preserve">          6008 - STUDENT HOURLY-FICA EXEMPT</v>
      </c>
      <c r="C184" s="11"/>
      <c r="D184" s="6">
        <v>6817.92</v>
      </c>
      <c r="E184" s="2"/>
      <c r="F184" s="7">
        <f t="shared" si="22"/>
        <v>1.5117300698678929E-2</v>
      </c>
      <c r="G184" s="2"/>
      <c r="H184" s="6">
        <v>4336.2</v>
      </c>
      <c r="I184" s="2"/>
      <c r="J184" s="7">
        <f t="shared" si="23"/>
        <v>5.8706856985807293E-3</v>
      </c>
      <c r="K184" s="2"/>
      <c r="L184" s="6">
        <f t="shared" si="24"/>
        <v>2481.7200000000003</v>
      </c>
      <c r="M184" s="2"/>
      <c r="N184" s="7">
        <f t="shared" si="25"/>
        <v>0.57232599972326004</v>
      </c>
      <c r="O184" s="11"/>
      <c r="P184" s="6">
        <v>33902.089999999997</v>
      </c>
      <c r="Q184" s="2"/>
      <c r="R184" s="7">
        <f t="shared" si="26"/>
        <v>3.3032380487185279E-3</v>
      </c>
      <c r="S184" s="2"/>
      <c r="T184" s="6">
        <v>1212800.98018</v>
      </c>
      <c r="U184" s="2"/>
      <c r="V184" s="7">
        <f t="shared" si="27"/>
        <v>7.1173039675533831E-2</v>
      </c>
      <c r="W184" s="2"/>
      <c r="X184" s="6">
        <f t="shared" si="28"/>
        <v>-1178898.8901799999</v>
      </c>
      <c r="Y184" s="2"/>
      <c r="Z184" s="7">
        <f t="shared" si="29"/>
        <v>-0.97204645234128317</v>
      </c>
    </row>
    <row r="185" spans="1:26" s="24" customFormat="1" hidden="1" outlineLevel="2" x14ac:dyDescent="0.25">
      <c r="A185" s="26"/>
      <c r="B185" s="11" t="str">
        <f>CONCATENATE("          ", "6009", " - ", "TEMPORARY-SEASONAL")</f>
        <v xml:space="preserve">          6009 - TEMPORARY-SEASONAL</v>
      </c>
      <c r="C185" s="11"/>
      <c r="D185" s="6"/>
      <c r="E185" s="2"/>
      <c r="F185" s="7">
        <f t="shared" si="22"/>
        <v>0</v>
      </c>
      <c r="G185" s="2"/>
      <c r="H185" s="6">
        <v>0</v>
      </c>
      <c r="I185" s="2"/>
      <c r="J185" s="7">
        <f t="shared" si="23"/>
        <v>0</v>
      </c>
      <c r="K185" s="2"/>
      <c r="L185" s="6">
        <f t="shared" si="24"/>
        <v>0</v>
      </c>
      <c r="M185" s="2"/>
      <c r="N185" s="7">
        <f t="shared" si="25"/>
        <v>0</v>
      </c>
      <c r="O185" s="11"/>
      <c r="P185" s="6"/>
      <c r="Q185" s="2"/>
      <c r="R185" s="7">
        <f t="shared" si="26"/>
        <v>0</v>
      </c>
      <c r="S185" s="2"/>
      <c r="T185" s="6">
        <v>0</v>
      </c>
      <c r="U185" s="2"/>
      <c r="V185" s="7">
        <f t="shared" si="27"/>
        <v>0</v>
      </c>
      <c r="W185" s="2"/>
      <c r="X185" s="6">
        <f t="shared" si="28"/>
        <v>0</v>
      </c>
      <c r="Y185" s="2"/>
      <c r="Z185" s="7">
        <f t="shared" si="29"/>
        <v>0</v>
      </c>
    </row>
    <row r="186" spans="1:26" s="24" customFormat="1" hidden="1" outlineLevel="2" x14ac:dyDescent="0.25">
      <c r="A186" s="26"/>
      <c r="B186" s="11" t="str">
        <f>CONCATENATE("          ", "6010", " - ", "GRATUITY")</f>
        <v xml:space="preserve">          6010 - GRATUITY</v>
      </c>
      <c r="C186" s="11"/>
      <c r="D186" s="6"/>
      <c r="E186" s="2"/>
      <c r="F186" s="7">
        <f t="shared" si="22"/>
        <v>0</v>
      </c>
      <c r="G186" s="2"/>
      <c r="H186" s="6">
        <v>0</v>
      </c>
      <c r="I186" s="2"/>
      <c r="J186" s="7">
        <f t="shared" si="23"/>
        <v>0</v>
      </c>
      <c r="K186" s="2"/>
      <c r="L186" s="6">
        <f t="shared" si="24"/>
        <v>0</v>
      </c>
      <c r="M186" s="2"/>
      <c r="N186" s="7">
        <f t="shared" si="25"/>
        <v>0</v>
      </c>
      <c r="O186" s="11"/>
      <c r="P186" s="6"/>
      <c r="Q186" s="2"/>
      <c r="R186" s="7">
        <f t="shared" si="26"/>
        <v>0</v>
      </c>
      <c r="S186" s="2"/>
      <c r="T186" s="6">
        <v>0</v>
      </c>
      <c r="U186" s="2"/>
      <c r="V186" s="7">
        <f t="shared" si="27"/>
        <v>0</v>
      </c>
      <c r="W186" s="2"/>
      <c r="X186" s="6">
        <f t="shared" si="28"/>
        <v>0</v>
      </c>
      <c r="Y186" s="2"/>
      <c r="Z186" s="7">
        <f t="shared" si="29"/>
        <v>0</v>
      </c>
    </row>
    <row r="187" spans="1:26" s="27" customFormat="1" outlineLevel="1" collapsed="1" x14ac:dyDescent="0.25">
      <c r="A187" s="25"/>
      <c r="B187" s="13" t="str">
        <f>CONCATENATE("     ","Advertising/Promo                                 ")</f>
        <v xml:space="preserve">     Advertising/Promo                                 </v>
      </c>
      <c r="C187" s="13"/>
      <c r="D187" s="1">
        <f>SUM(OSRRefD22_2x_0)</f>
        <v>1399.98</v>
      </c>
      <c r="E187" s="1"/>
      <c r="F187" s="5">
        <f t="shared" ref="F187:F191" si="30">IF(D$12=0,0,D187/D$12)</f>
        <v>3.1041605991470314E-3</v>
      </c>
      <c r="G187" s="1"/>
      <c r="H187" s="1">
        <f>SUM(OSRRefH22_2x_0)</f>
        <v>2449</v>
      </c>
      <c r="I187" s="1"/>
      <c r="J187" s="5">
        <f t="shared" ref="J187:J191" si="31">IF(H$12=0,0,H187/H$12)</f>
        <v>3.3156471739827975E-3</v>
      </c>
      <c r="K187" s="1"/>
      <c r="L187" s="1">
        <f t="shared" ref="L187:L191" si="32">+D187-H187</f>
        <v>-1049.02</v>
      </c>
      <c r="M187" s="1"/>
      <c r="N187" s="5">
        <f t="shared" ref="N187:N191" si="33">IF(H187=0,0,L187/H187)</f>
        <v>-0.42834626378113516</v>
      </c>
      <c r="O187" s="13"/>
      <c r="P187" s="1">
        <f>SUM(OSRRefP22_2x_0)</f>
        <v>21651.51</v>
      </c>
      <c r="Q187" s="1"/>
      <c r="R187" s="5">
        <f t="shared" ref="R187:R191" si="34">IF(P$12=0,0,P187/P$12)</f>
        <v>2.1096071553172594E-3</v>
      </c>
      <c r="S187" s="1"/>
      <c r="T187" s="1">
        <f>SUM(OSRRefT22_2x_0)</f>
        <v>42816</v>
      </c>
      <c r="U187" s="1"/>
      <c r="V187" s="5">
        <f t="shared" ref="V187:V191" si="35">IF(T$12=0,0,T187/T$12)</f>
        <v>2.5126503989924046E-3</v>
      </c>
      <c r="W187" s="1"/>
      <c r="X187" s="1">
        <f t="shared" ref="X187:X191" si="36">+P187-T187</f>
        <v>-21164.49</v>
      </c>
      <c r="Y187" s="1"/>
      <c r="Z187" s="5">
        <f t="shared" ref="Z187:Z191" si="37">IF(T187=0,0,X187/T187)</f>
        <v>-0.49431264013452919</v>
      </c>
    </row>
    <row r="188" spans="1:26" s="24" customFormat="1" hidden="1" outlineLevel="2" x14ac:dyDescent="0.25">
      <c r="A188" s="26"/>
      <c r="B188" s="11" t="str">
        <f>CONCATENATE("          ", "6362", " - ", "ADVERTISING EXPENSE")</f>
        <v xml:space="preserve">          6362 - ADVERTISING EXPENSE</v>
      </c>
      <c r="C188" s="11"/>
      <c r="D188" s="6">
        <v>1399.98</v>
      </c>
      <c r="E188" s="2"/>
      <c r="F188" s="7">
        <f t="shared" si="30"/>
        <v>3.1041605991470314E-3</v>
      </c>
      <c r="G188" s="2"/>
      <c r="H188" s="6">
        <v>2449</v>
      </c>
      <c r="I188" s="2"/>
      <c r="J188" s="7">
        <f t="shared" si="31"/>
        <v>3.3156471739827975E-3</v>
      </c>
      <c r="K188" s="2"/>
      <c r="L188" s="6">
        <f t="shared" si="32"/>
        <v>-1049.02</v>
      </c>
      <c r="M188" s="2"/>
      <c r="N188" s="7">
        <f t="shared" si="33"/>
        <v>-0.42834626378113516</v>
      </c>
      <c r="O188" s="11"/>
      <c r="P188" s="6">
        <v>21651.51</v>
      </c>
      <c r="Q188" s="2"/>
      <c r="R188" s="7">
        <f t="shared" si="34"/>
        <v>2.1096071553172594E-3</v>
      </c>
      <c r="S188" s="2"/>
      <c r="T188" s="6">
        <v>42816</v>
      </c>
      <c r="U188" s="2"/>
      <c r="V188" s="7">
        <f t="shared" si="35"/>
        <v>2.5126503989924046E-3</v>
      </c>
      <c r="W188" s="2"/>
      <c r="X188" s="6">
        <f t="shared" si="36"/>
        <v>-21164.49</v>
      </c>
      <c r="Y188" s="2"/>
      <c r="Z188" s="7">
        <f t="shared" si="37"/>
        <v>-0.49431264013452919</v>
      </c>
    </row>
    <row r="189" spans="1:26" s="27" customFormat="1" outlineLevel="1" collapsed="1" x14ac:dyDescent="0.25">
      <c r="A189" s="25"/>
      <c r="B189" s="13" t="str">
        <f>CONCATENATE("     ","Bad Debts/Over/Short                              ")</f>
        <v xml:space="preserve">     Bad Debts/Over/Short                              </v>
      </c>
      <c r="C189" s="13"/>
      <c r="D189" s="1">
        <f>SUM(OSRRefD22_3x_0)</f>
        <v>7.7</v>
      </c>
      <c r="E189" s="1"/>
      <c r="F189" s="5">
        <f t="shared" si="30"/>
        <v>1.7073127197125775E-5</v>
      </c>
      <c r="G189" s="1"/>
      <c r="H189" s="1">
        <f>SUM(OSRRefH22_3x_0)</f>
        <v>135</v>
      </c>
      <c r="I189" s="1"/>
      <c r="J189" s="5">
        <f t="shared" si="31"/>
        <v>1.8277352735307379E-4</v>
      </c>
      <c r="K189" s="1"/>
      <c r="L189" s="1">
        <f t="shared" si="32"/>
        <v>-127.3</v>
      </c>
      <c r="M189" s="1"/>
      <c r="N189" s="5">
        <f t="shared" si="33"/>
        <v>-0.94296296296296289</v>
      </c>
      <c r="O189" s="13"/>
      <c r="P189" s="1">
        <f>SUM(OSRRefP22_3x_0)</f>
        <v>5285.01</v>
      </c>
      <c r="Q189" s="1"/>
      <c r="R189" s="5">
        <f t="shared" si="34"/>
        <v>5.1494306456793403E-4</v>
      </c>
      <c r="S189" s="1"/>
      <c r="T189" s="1">
        <f>SUM(OSRRefT22_3x_0)</f>
        <v>1839</v>
      </c>
      <c r="U189" s="1"/>
      <c r="V189" s="5">
        <f t="shared" si="35"/>
        <v>1.0792143319663285E-4</v>
      </c>
      <c r="W189" s="1"/>
      <c r="X189" s="1">
        <f t="shared" si="36"/>
        <v>3446.01</v>
      </c>
      <c r="Y189" s="1"/>
      <c r="Z189" s="5">
        <f t="shared" si="37"/>
        <v>1.8738499184339317</v>
      </c>
    </row>
    <row r="190" spans="1:26" s="24" customFormat="1" hidden="1" outlineLevel="2" x14ac:dyDescent="0.25">
      <c r="A190" s="26"/>
      <c r="B190" s="11" t="str">
        <f>CONCATENATE("          ", "6272", " - ", "CASH (OVER/SHORT)")</f>
        <v xml:space="preserve">          6272 - CASH (OVER/SHORT)</v>
      </c>
      <c r="C190" s="11"/>
      <c r="D190" s="6">
        <v>7.7</v>
      </c>
      <c r="E190" s="2"/>
      <c r="F190" s="7">
        <f t="shared" si="30"/>
        <v>1.7073127197125775E-5</v>
      </c>
      <c r="G190" s="2"/>
      <c r="H190" s="6">
        <v>85</v>
      </c>
      <c r="I190" s="2"/>
      <c r="J190" s="7">
        <f t="shared" si="31"/>
        <v>1.1507962833341682E-4</v>
      </c>
      <c r="K190" s="2"/>
      <c r="L190" s="6">
        <f t="shared" si="32"/>
        <v>-77.3</v>
      </c>
      <c r="M190" s="2"/>
      <c r="N190" s="7">
        <f t="shared" si="33"/>
        <v>-0.90941176470588236</v>
      </c>
      <c r="O190" s="11"/>
      <c r="P190" s="6">
        <v>-64.41</v>
      </c>
      <c r="Q190" s="2"/>
      <c r="R190" s="7">
        <f t="shared" si="34"/>
        <v>-6.275765379596373E-6</v>
      </c>
      <c r="S190" s="2"/>
      <c r="T190" s="6">
        <v>1239</v>
      </c>
      <c r="U190" s="2"/>
      <c r="V190" s="7">
        <f t="shared" si="35"/>
        <v>7.2710525139003856E-5</v>
      </c>
      <c r="W190" s="2"/>
      <c r="X190" s="6">
        <f t="shared" si="36"/>
        <v>-1303.4100000000001</v>
      </c>
      <c r="Y190" s="2"/>
      <c r="Z190" s="7">
        <f t="shared" si="37"/>
        <v>-1.0519854721549637</v>
      </c>
    </row>
    <row r="191" spans="1:26" s="24" customFormat="1" hidden="1" outlineLevel="2" x14ac:dyDescent="0.25">
      <c r="A191" s="26"/>
      <c r="B191" s="11" t="str">
        <f>CONCATENATE("          ", "6342", " - ", "BAD DEBT")</f>
        <v xml:space="preserve">          6342 - BAD DEBT</v>
      </c>
      <c r="C191" s="11"/>
      <c r="D191" s="6"/>
      <c r="E191" s="2"/>
      <c r="F191" s="7">
        <f t="shared" si="30"/>
        <v>0</v>
      </c>
      <c r="G191" s="2"/>
      <c r="H191" s="6">
        <v>50</v>
      </c>
      <c r="I191" s="2"/>
      <c r="J191" s="7">
        <f t="shared" si="31"/>
        <v>6.7693899019656954E-5</v>
      </c>
      <c r="K191" s="2"/>
      <c r="L191" s="6">
        <f t="shared" si="32"/>
        <v>-50</v>
      </c>
      <c r="M191" s="2"/>
      <c r="N191" s="7">
        <f t="shared" si="33"/>
        <v>-1</v>
      </c>
      <c r="O191" s="11"/>
      <c r="P191" s="6">
        <v>5349.42</v>
      </c>
      <c r="Q191" s="2"/>
      <c r="R191" s="7">
        <f t="shared" si="34"/>
        <v>5.2121882994753035E-4</v>
      </c>
      <c r="S191" s="2"/>
      <c r="T191" s="6">
        <v>600</v>
      </c>
      <c r="U191" s="2"/>
      <c r="V191" s="7">
        <f t="shared" si="35"/>
        <v>3.5210908057628992E-5</v>
      </c>
      <c r="W191" s="2"/>
      <c r="X191" s="6">
        <f t="shared" si="36"/>
        <v>4749.42</v>
      </c>
      <c r="Y191" s="2"/>
      <c r="Z191" s="7">
        <f t="shared" si="37"/>
        <v>7.9157000000000002</v>
      </c>
    </row>
    <row r="192" spans="1:26" s="27" customFormat="1" outlineLevel="1" collapsed="1" x14ac:dyDescent="0.25">
      <c r="A192" s="25"/>
      <c r="B192" s="13" t="str">
        <f>CONCATENATE("     ","Bank/card Fees                                    ")</f>
        <v xml:space="preserve">     Bank/card Fees                                    </v>
      </c>
      <c r="C192" s="13"/>
      <c r="D192" s="1">
        <f>SUM(OSRRefD22_4x_0)</f>
        <v>6012.86</v>
      </c>
      <c r="E192" s="1"/>
      <c r="F192" s="5">
        <f t="shared" ref="F192:F197" si="38">IF(D$12=0,0,D192/D$12)</f>
        <v>1.333224981798827E-2</v>
      </c>
      <c r="G192" s="1"/>
      <c r="H192" s="1">
        <f>SUM(OSRRefH22_4x_0)</f>
        <v>5524</v>
      </c>
      <c r="I192" s="1"/>
      <c r="J192" s="5">
        <f t="shared" ref="J192:J197" si="39">IF(H$12=0,0,H192/H$12)</f>
        <v>7.4788219636917003E-3</v>
      </c>
      <c r="K192" s="1"/>
      <c r="L192" s="1">
        <f t="shared" ref="L192:L197" si="40">+D192-H192</f>
        <v>488.85999999999967</v>
      </c>
      <c r="M192" s="1"/>
      <c r="N192" s="5">
        <f t="shared" ref="N192:N197" si="41">IF(H192=0,0,L192/H192)</f>
        <v>8.8497465604634271E-2</v>
      </c>
      <c r="O192" s="13"/>
      <c r="P192" s="1">
        <f>SUM(OSRRefP22_4x_0)</f>
        <v>100587.02</v>
      </c>
      <c r="Q192" s="1"/>
      <c r="R192" s="5">
        <f t="shared" ref="R192:R197" si="42">IF(P$12=0,0,P192/P$12)</f>
        <v>9.8006604215613736E-3</v>
      </c>
      <c r="S192" s="1"/>
      <c r="T192" s="1">
        <f>SUM(OSRRefT22_4x_0)</f>
        <v>301165</v>
      </c>
      <c r="U192" s="1"/>
      <c r="V192" s="5">
        <f t="shared" ref="V192:V197" si="43">IF(T$12=0,0,T192/T$12)</f>
        <v>1.7673821875293056E-2</v>
      </c>
      <c r="W192" s="1"/>
      <c r="X192" s="1">
        <f t="shared" ref="X192:X197" si="44">+P192-T192</f>
        <v>-200577.97999999998</v>
      </c>
      <c r="Y192" s="1"/>
      <c r="Z192" s="5">
        <f t="shared" ref="Z192:Z197" si="45">IF(T192=0,0,X192/T192)</f>
        <v>-0.66600693971743063</v>
      </c>
    </row>
    <row r="193" spans="1:26" s="24" customFormat="1" hidden="1" outlineLevel="2" x14ac:dyDescent="0.25">
      <c r="A193" s="26"/>
      <c r="B193" s="11" t="str">
        <f>CONCATENATE("          ", "6381", " - ", "BANK/CREDIT CARD FEES")</f>
        <v xml:space="preserve">          6381 - BANK/CREDIT CARD FEES</v>
      </c>
      <c r="C193" s="11"/>
      <c r="D193" s="6">
        <v>6012.86</v>
      </c>
      <c r="E193" s="2"/>
      <c r="F193" s="7">
        <f t="shared" si="38"/>
        <v>1.333224981798827E-2</v>
      </c>
      <c r="G193" s="2"/>
      <c r="H193" s="6">
        <v>5524</v>
      </c>
      <c r="I193" s="2"/>
      <c r="J193" s="7">
        <f t="shared" si="39"/>
        <v>7.4788219636917003E-3</v>
      </c>
      <c r="K193" s="2"/>
      <c r="L193" s="6">
        <f t="shared" si="40"/>
        <v>488.85999999999967</v>
      </c>
      <c r="M193" s="2"/>
      <c r="N193" s="7">
        <f t="shared" si="41"/>
        <v>8.8497465604634271E-2</v>
      </c>
      <c r="O193" s="11"/>
      <c r="P193" s="6">
        <v>100587.02</v>
      </c>
      <c r="Q193" s="2"/>
      <c r="R193" s="7">
        <f t="shared" si="42"/>
        <v>9.8006604215613736E-3</v>
      </c>
      <c r="S193" s="2"/>
      <c r="T193" s="6">
        <v>301165</v>
      </c>
      <c r="U193" s="2"/>
      <c r="V193" s="7">
        <f t="shared" si="43"/>
        <v>1.7673821875293056E-2</v>
      </c>
      <c r="W193" s="2"/>
      <c r="X193" s="6">
        <f t="shared" si="44"/>
        <v>-200577.97999999998</v>
      </c>
      <c r="Y193" s="2"/>
      <c r="Z193" s="7">
        <f t="shared" si="45"/>
        <v>-0.66600693971743063</v>
      </c>
    </row>
    <row r="194" spans="1:26" s="27" customFormat="1" outlineLevel="1" collapsed="1" x14ac:dyDescent="0.25">
      <c r="A194" s="25"/>
      <c r="B194" s="13" t="str">
        <f>CONCATENATE("     ","Depreciation                                      ")</f>
        <v xml:space="preserve">     Depreciation                                      </v>
      </c>
      <c r="C194" s="13"/>
      <c r="D194" s="1">
        <f>SUM(OSRRefD22_5x_0)</f>
        <v>70062.03</v>
      </c>
      <c r="E194" s="1"/>
      <c r="F194" s="5">
        <f t="shared" si="38"/>
        <v>0.1553477856985509</v>
      </c>
      <c r="G194" s="1"/>
      <c r="H194" s="1">
        <f>SUM(OSRRefH22_5x_0)</f>
        <v>74530</v>
      </c>
      <c r="I194" s="1"/>
      <c r="J194" s="5">
        <f t="shared" si="39"/>
        <v>0.10090452587870066</v>
      </c>
      <c r="K194" s="1"/>
      <c r="L194" s="1">
        <f t="shared" si="40"/>
        <v>-4467.9700000000012</v>
      </c>
      <c r="M194" s="1"/>
      <c r="N194" s="5">
        <f t="shared" si="41"/>
        <v>-5.9948611297464122E-2</v>
      </c>
      <c r="O194" s="13"/>
      <c r="P194" s="1">
        <f>SUM(OSRRefP22_5x_0)</f>
        <v>926957.89</v>
      </c>
      <c r="Q194" s="1"/>
      <c r="R194" s="5">
        <f t="shared" si="42"/>
        <v>9.0317811433095849E-2</v>
      </c>
      <c r="S194" s="1"/>
      <c r="T194" s="1">
        <f>SUM(OSRRefT22_5x_0)</f>
        <v>926547</v>
      </c>
      <c r="U194" s="1"/>
      <c r="V194" s="5">
        <f t="shared" si="43"/>
        <v>5.4374268713453279E-2</v>
      </c>
      <c r="W194" s="1"/>
      <c r="X194" s="1">
        <f t="shared" si="44"/>
        <v>410.89000000001397</v>
      </c>
      <c r="Y194" s="1"/>
      <c r="Z194" s="5">
        <f t="shared" si="45"/>
        <v>4.4346374226025657E-4</v>
      </c>
    </row>
    <row r="195" spans="1:26" s="24" customFormat="1" hidden="1" outlineLevel="2" x14ac:dyDescent="0.25">
      <c r="A195" s="26"/>
      <c r="B195" s="11" t="str">
        <f>CONCATENATE("          ", "6321", " - ", "BUILDING DEPRECIATION")</f>
        <v xml:space="preserve">          6321 - BUILDING DEPRECIATION</v>
      </c>
      <c r="C195" s="11"/>
      <c r="D195" s="6">
        <v>45060.26</v>
      </c>
      <c r="E195" s="2"/>
      <c r="F195" s="7">
        <f t="shared" si="38"/>
        <v>9.9911629937085536E-2</v>
      </c>
      <c r="G195" s="2"/>
      <c r="H195" s="6"/>
      <c r="I195" s="2"/>
      <c r="J195" s="7">
        <f t="shared" si="39"/>
        <v>0</v>
      </c>
      <c r="K195" s="2"/>
      <c r="L195" s="6">
        <f t="shared" si="40"/>
        <v>45060.26</v>
      </c>
      <c r="M195" s="2"/>
      <c r="N195" s="7">
        <f t="shared" si="41"/>
        <v>0</v>
      </c>
      <c r="O195" s="11"/>
      <c r="P195" s="6">
        <v>541510.17000000004</v>
      </c>
      <c r="Q195" s="2"/>
      <c r="R195" s="7">
        <f t="shared" si="42"/>
        <v>5.2761850296310309E-2</v>
      </c>
      <c r="S195" s="2"/>
      <c r="T195" s="6"/>
      <c r="U195" s="2"/>
      <c r="V195" s="7">
        <f t="shared" si="43"/>
        <v>0</v>
      </c>
      <c r="W195" s="2"/>
      <c r="X195" s="6">
        <f t="shared" si="44"/>
        <v>541510.17000000004</v>
      </c>
      <c r="Y195" s="2"/>
      <c r="Z195" s="7">
        <f t="shared" si="45"/>
        <v>0</v>
      </c>
    </row>
    <row r="196" spans="1:26" s="24" customFormat="1" hidden="1" outlineLevel="2" x14ac:dyDescent="0.25">
      <c r="A196" s="26"/>
      <c r="B196" s="11" t="str">
        <f>CONCATENATE("          ", "6322", " - ", "EQUIPMENT DEPRECIATION EXPENSE")</f>
        <v xml:space="preserve">          6322 - EQUIPMENT DEPRECIATION EXPENSE</v>
      </c>
      <c r="C196" s="11"/>
      <c r="D196" s="6">
        <v>25001.77</v>
      </c>
      <c r="E196" s="2"/>
      <c r="F196" s="7">
        <f t="shared" si="38"/>
        <v>5.5436155761465357E-2</v>
      </c>
      <c r="G196" s="2"/>
      <c r="H196" s="6">
        <v>73980</v>
      </c>
      <c r="I196" s="2"/>
      <c r="J196" s="7">
        <f t="shared" si="39"/>
        <v>0.10015989298948443</v>
      </c>
      <c r="K196" s="2"/>
      <c r="L196" s="6">
        <f t="shared" si="40"/>
        <v>-48978.229999999996</v>
      </c>
      <c r="M196" s="2"/>
      <c r="N196" s="7">
        <f t="shared" si="41"/>
        <v>-0.66204690456880233</v>
      </c>
      <c r="O196" s="11"/>
      <c r="P196" s="6">
        <v>385447.72</v>
      </c>
      <c r="Q196" s="2"/>
      <c r="R196" s="7">
        <f t="shared" si="42"/>
        <v>3.755596113678554E-2</v>
      </c>
      <c r="S196" s="2"/>
      <c r="T196" s="6">
        <v>919947</v>
      </c>
      <c r="U196" s="2"/>
      <c r="V196" s="7">
        <f t="shared" si="43"/>
        <v>5.3986948724819357E-2</v>
      </c>
      <c r="W196" s="2"/>
      <c r="X196" s="6">
        <f t="shared" si="44"/>
        <v>-534499.28</v>
      </c>
      <c r="Y196" s="2"/>
      <c r="Z196" s="7">
        <f t="shared" si="45"/>
        <v>-0.58101094954383248</v>
      </c>
    </row>
    <row r="197" spans="1:26" s="24" customFormat="1" hidden="1" outlineLevel="2" x14ac:dyDescent="0.25">
      <c r="A197" s="26"/>
      <c r="B197" s="11" t="str">
        <f>CONCATENATE("          ", "6326", " - ", "VEHICLES DEPRECIATION EXPENSE")</f>
        <v xml:space="preserve">          6326 - VEHICLES DEPRECIATION EXPENSE</v>
      </c>
      <c r="C197" s="11"/>
      <c r="D197" s="6"/>
      <c r="E197" s="2"/>
      <c r="F197" s="7">
        <f t="shared" si="38"/>
        <v>0</v>
      </c>
      <c r="G197" s="2"/>
      <c r="H197" s="6">
        <v>550</v>
      </c>
      <c r="I197" s="2"/>
      <c r="J197" s="7">
        <f t="shared" si="39"/>
        <v>7.4463288921622654E-4</v>
      </c>
      <c r="K197" s="2"/>
      <c r="L197" s="6">
        <f t="shared" si="40"/>
        <v>-550</v>
      </c>
      <c r="M197" s="2"/>
      <c r="N197" s="7">
        <f t="shared" si="41"/>
        <v>-1</v>
      </c>
      <c r="O197" s="11"/>
      <c r="P197" s="6"/>
      <c r="Q197" s="2"/>
      <c r="R197" s="7">
        <f t="shared" si="42"/>
        <v>0</v>
      </c>
      <c r="S197" s="2"/>
      <c r="T197" s="6">
        <v>6600</v>
      </c>
      <c r="U197" s="2"/>
      <c r="V197" s="7">
        <f t="shared" si="43"/>
        <v>3.8731998863391888E-4</v>
      </c>
      <c r="W197" s="2"/>
      <c r="X197" s="6">
        <f t="shared" si="44"/>
        <v>-6600</v>
      </c>
      <c r="Y197" s="2"/>
      <c r="Z197" s="7">
        <f t="shared" si="45"/>
        <v>-1</v>
      </c>
    </row>
    <row r="198" spans="1:26" s="27" customFormat="1" outlineLevel="1" collapsed="1" x14ac:dyDescent="0.25">
      <c r="A198" s="25"/>
      <c r="B198" s="13" t="str">
        <f>CONCATENATE("     ","Discounts and Markdowns                           ")</f>
        <v xml:space="preserve">     Discounts and Markdowns                           </v>
      </c>
      <c r="C198" s="13"/>
      <c r="D198" s="1">
        <f>SUM(OSRRefD22_6x_0)</f>
        <v>0</v>
      </c>
      <c r="E198" s="1"/>
      <c r="F198" s="5">
        <f t="shared" ref="F198:F200" si="46">IF(D$12=0,0,D198/D$12)</f>
        <v>0</v>
      </c>
      <c r="G198" s="1"/>
      <c r="H198" s="1">
        <f>SUM(OSRRefH22_6x_0)</f>
        <v>32601</v>
      </c>
      <c r="I198" s="1"/>
      <c r="J198" s="5">
        <f t="shared" ref="J198:J200" si="47">IF(H$12=0,0,H198/H$12)</f>
        <v>4.4137776038796726E-2</v>
      </c>
      <c r="K198" s="1"/>
      <c r="L198" s="1">
        <f t="shared" ref="L198:L200" si="48">+D198-H198</f>
        <v>-32601</v>
      </c>
      <c r="M198" s="1"/>
      <c r="N198" s="5">
        <f t="shared" ref="N198:N200" si="49">IF(H198=0,0,L198/H198)</f>
        <v>-1</v>
      </c>
      <c r="O198" s="13"/>
      <c r="P198" s="1">
        <f>SUM(OSRRefP22_6x_0)</f>
        <v>-15.43</v>
      </c>
      <c r="Q198" s="1"/>
      <c r="R198" s="5">
        <f t="shared" ref="R198:R200" si="50">IF(P$12=0,0,P198/P$12)</f>
        <v>-1.5034165472313623E-6</v>
      </c>
      <c r="S198" s="1"/>
      <c r="T198" s="1">
        <f>SUM(OSRRefT22_6x_0)</f>
        <v>386785</v>
      </c>
      <c r="U198" s="1"/>
      <c r="V198" s="5">
        <f t="shared" ref="V198:V200" si="51">IF(T$12=0,0,T198/T$12)</f>
        <v>2.2698418455116713E-2</v>
      </c>
      <c r="W198" s="1"/>
      <c r="X198" s="1">
        <f t="shared" ref="X198:X200" si="52">+P198-T198</f>
        <v>-386800.43</v>
      </c>
      <c r="Y198" s="1"/>
      <c r="Z198" s="5">
        <f t="shared" ref="Z198:Z200" si="53">IF(T198=0,0,X198/T198)</f>
        <v>-1.0000398929637913</v>
      </c>
    </row>
    <row r="199" spans="1:26" s="24" customFormat="1" hidden="1" outlineLevel="2" x14ac:dyDescent="0.25">
      <c r="A199" s="26"/>
      <c r="B199" s="11" t="str">
        <f>CONCATENATE("          ", "6382", " - ", "DISCOUNTS/MARK DOWNS")</f>
        <v xml:space="preserve">          6382 - DISCOUNTS/MARK DOWNS</v>
      </c>
      <c r="C199" s="11"/>
      <c r="D199" s="6">
        <v>0</v>
      </c>
      <c r="E199" s="2"/>
      <c r="F199" s="7">
        <f t="shared" si="46"/>
        <v>0</v>
      </c>
      <c r="G199" s="2"/>
      <c r="H199" s="6">
        <v>32601</v>
      </c>
      <c r="I199" s="2"/>
      <c r="J199" s="7">
        <f t="shared" si="47"/>
        <v>4.4137776038796726E-2</v>
      </c>
      <c r="K199" s="2"/>
      <c r="L199" s="6">
        <f t="shared" si="48"/>
        <v>-32601</v>
      </c>
      <c r="M199" s="2"/>
      <c r="N199" s="7">
        <f t="shared" si="49"/>
        <v>-1</v>
      </c>
      <c r="O199" s="11"/>
      <c r="P199" s="6">
        <v>0</v>
      </c>
      <c r="Q199" s="2"/>
      <c r="R199" s="7">
        <f t="shared" si="50"/>
        <v>0</v>
      </c>
      <c r="S199" s="2"/>
      <c r="T199" s="6">
        <v>386785</v>
      </c>
      <c r="U199" s="2"/>
      <c r="V199" s="7">
        <f t="shared" si="51"/>
        <v>2.2698418455116713E-2</v>
      </c>
      <c r="W199" s="2"/>
      <c r="X199" s="6">
        <f t="shared" si="52"/>
        <v>-386785</v>
      </c>
      <c r="Y199" s="2"/>
      <c r="Z199" s="7">
        <f t="shared" si="53"/>
        <v>-1</v>
      </c>
    </row>
    <row r="200" spans="1:26" s="24" customFormat="1" hidden="1" outlineLevel="2" x14ac:dyDescent="0.25">
      <c r="A200" s="26"/>
      <c r="B200" s="11" t="str">
        <f>CONCATENATE("          ", "9175", " - ", "EARNED DISCOUNTS")</f>
        <v xml:space="preserve">          9175 - EARNED DISCOUNTS</v>
      </c>
      <c r="C200" s="11"/>
      <c r="D200" s="6">
        <v>0</v>
      </c>
      <c r="E200" s="2"/>
      <c r="F200" s="7">
        <f t="shared" si="46"/>
        <v>0</v>
      </c>
      <c r="G200" s="2"/>
      <c r="H200" s="6"/>
      <c r="I200" s="2"/>
      <c r="J200" s="7">
        <f t="shared" si="47"/>
        <v>0</v>
      </c>
      <c r="K200" s="2"/>
      <c r="L200" s="6">
        <f t="shared" si="48"/>
        <v>0</v>
      </c>
      <c r="M200" s="2"/>
      <c r="N200" s="7">
        <f t="shared" si="49"/>
        <v>0</v>
      </c>
      <c r="O200" s="11"/>
      <c r="P200" s="6">
        <v>-15.43</v>
      </c>
      <c r="Q200" s="2"/>
      <c r="R200" s="7">
        <f t="shared" si="50"/>
        <v>-1.5034165472313623E-6</v>
      </c>
      <c r="S200" s="2"/>
      <c r="T200" s="6"/>
      <c r="U200" s="2"/>
      <c r="V200" s="7">
        <f t="shared" si="51"/>
        <v>0</v>
      </c>
      <c r="W200" s="2"/>
      <c r="X200" s="6">
        <f t="shared" si="52"/>
        <v>-15.43</v>
      </c>
      <c r="Y200" s="2"/>
      <c r="Z200" s="7">
        <f t="shared" si="53"/>
        <v>0</v>
      </c>
    </row>
    <row r="201" spans="1:26" s="27" customFormat="1" outlineLevel="1" collapsed="1" x14ac:dyDescent="0.25">
      <c r="A201" s="25"/>
      <c r="B201" s="13" t="str">
        <f>CONCATENATE("     ","Donations                                         ")</f>
        <v xml:space="preserve">     Donations                                         </v>
      </c>
      <c r="C201" s="13"/>
      <c r="D201" s="1">
        <f>SUM(OSRRefD22_7x_0)</f>
        <v>0</v>
      </c>
      <c r="E201" s="1"/>
      <c r="F201" s="5">
        <f t="shared" ref="F201:F203" si="54">IF(D$12=0,0,D201/D$12)</f>
        <v>0</v>
      </c>
      <c r="G201" s="1"/>
      <c r="H201" s="1">
        <f>SUM(OSRRefH22_7x_0)</f>
        <v>1000</v>
      </c>
      <c r="I201" s="1"/>
      <c r="J201" s="5">
        <f t="shared" ref="J201:J203" si="55">IF(H$12=0,0,H201/H$12)</f>
        <v>1.3538779803931391E-3</v>
      </c>
      <c r="K201" s="1"/>
      <c r="L201" s="1">
        <f t="shared" ref="L201:L203" si="56">+D201-H201</f>
        <v>-1000</v>
      </c>
      <c r="M201" s="1"/>
      <c r="N201" s="5">
        <f t="shared" ref="N201:N203" si="57">IF(H201=0,0,L201/H201)</f>
        <v>-1</v>
      </c>
      <c r="O201" s="13"/>
      <c r="P201" s="1">
        <f>SUM(OSRRefP22_7x_0)</f>
        <v>62269.95</v>
      </c>
      <c r="Q201" s="1"/>
      <c r="R201" s="5">
        <f t="shared" ref="R201:R203" si="58">IF(P$12=0,0,P201/P$12)</f>
        <v>6.06725037104793E-3</v>
      </c>
      <c r="S201" s="1"/>
      <c r="T201" s="1">
        <f>SUM(OSRRefT22_7x_0)</f>
        <v>142730</v>
      </c>
      <c r="U201" s="1"/>
      <c r="V201" s="5">
        <f t="shared" ref="V201:V203" si="59">IF(T$12=0,0,T201/T$12)</f>
        <v>8.3760881784423098E-3</v>
      </c>
      <c r="W201" s="1"/>
      <c r="X201" s="1">
        <f t="shared" ref="X201:X203" si="60">+P201-T201</f>
        <v>-80460.05</v>
      </c>
      <c r="Y201" s="1"/>
      <c r="Z201" s="5">
        <f t="shared" ref="Z201:Z203" si="61">IF(T201=0,0,X201/T201)</f>
        <v>-0.56372206263574587</v>
      </c>
    </row>
    <row r="202" spans="1:26" s="24" customFormat="1" hidden="1" outlineLevel="2" x14ac:dyDescent="0.25">
      <c r="A202" s="26"/>
      <c r="B202" s="11" t="str">
        <f>CONCATENATE("          ", "6395", " - ", "DONATION-OFF CAMPUS")</f>
        <v xml:space="preserve">          6395 - DONATION-OFF CAMPUS</v>
      </c>
      <c r="C202" s="11"/>
      <c r="D202" s="6"/>
      <c r="E202" s="2"/>
      <c r="F202" s="7">
        <f t="shared" si="54"/>
        <v>0</v>
      </c>
      <c r="G202" s="2"/>
      <c r="H202" s="6"/>
      <c r="I202" s="2"/>
      <c r="J202" s="7">
        <f t="shared" si="55"/>
        <v>0</v>
      </c>
      <c r="K202" s="2"/>
      <c r="L202" s="6">
        <f t="shared" si="56"/>
        <v>0</v>
      </c>
      <c r="M202" s="2"/>
      <c r="N202" s="7">
        <f t="shared" si="57"/>
        <v>0</v>
      </c>
      <c r="O202" s="11"/>
      <c r="P202" s="6"/>
      <c r="Q202" s="2"/>
      <c r="R202" s="7">
        <f t="shared" si="58"/>
        <v>0</v>
      </c>
      <c r="S202" s="2"/>
      <c r="T202" s="6">
        <v>0</v>
      </c>
      <c r="U202" s="2"/>
      <c r="V202" s="7">
        <f t="shared" si="59"/>
        <v>0</v>
      </c>
      <c r="W202" s="2"/>
      <c r="X202" s="6">
        <f t="shared" si="60"/>
        <v>0</v>
      </c>
      <c r="Y202" s="2"/>
      <c r="Z202" s="7">
        <f t="shared" si="61"/>
        <v>0</v>
      </c>
    </row>
    <row r="203" spans="1:26" s="24" customFormat="1" hidden="1" outlineLevel="2" x14ac:dyDescent="0.25">
      <c r="A203" s="26"/>
      <c r="B203" s="11" t="str">
        <f>CONCATENATE("          ", "6399", " - ", "DONATION-ON CAMPUS")</f>
        <v xml:space="preserve">          6399 - DONATION-ON CAMPUS</v>
      </c>
      <c r="C203" s="11"/>
      <c r="D203" s="6"/>
      <c r="E203" s="2"/>
      <c r="F203" s="7">
        <f t="shared" si="54"/>
        <v>0</v>
      </c>
      <c r="G203" s="2"/>
      <c r="H203" s="6">
        <v>1000</v>
      </c>
      <c r="I203" s="2"/>
      <c r="J203" s="7">
        <f t="shared" si="55"/>
        <v>1.3538779803931391E-3</v>
      </c>
      <c r="K203" s="2"/>
      <c r="L203" s="6">
        <f t="shared" si="56"/>
        <v>-1000</v>
      </c>
      <c r="M203" s="2"/>
      <c r="N203" s="7">
        <f t="shared" si="57"/>
        <v>-1</v>
      </c>
      <c r="O203" s="11"/>
      <c r="P203" s="6">
        <v>62269.95</v>
      </c>
      <c r="Q203" s="2"/>
      <c r="R203" s="7">
        <f t="shared" si="58"/>
        <v>6.06725037104793E-3</v>
      </c>
      <c r="S203" s="2"/>
      <c r="T203" s="6">
        <v>142730</v>
      </c>
      <c r="U203" s="2"/>
      <c r="V203" s="7">
        <f t="shared" si="59"/>
        <v>8.3760881784423098E-3</v>
      </c>
      <c r="W203" s="2"/>
      <c r="X203" s="6">
        <f t="shared" si="60"/>
        <v>-80460.05</v>
      </c>
      <c r="Y203" s="2"/>
      <c r="Z203" s="7">
        <f t="shared" si="61"/>
        <v>-0.56372206263574587</v>
      </c>
    </row>
    <row r="204" spans="1:26" s="27" customFormat="1" outlineLevel="1" collapsed="1" x14ac:dyDescent="0.25">
      <c r="A204" s="25"/>
      <c r="B204" s="13" t="str">
        <f>CONCATENATE("     ","Employees' Appreciation                           ")</f>
        <v xml:space="preserve">     Employees' Appreciation                           </v>
      </c>
      <c r="C204" s="13"/>
      <c r="D204" s="1">
        <f>SUM(OSRRefD22_8x_0)</f>
        <v>547.86</v>
      </c>
      <c r="E204" s="1"/>
      <c r="F204" s="5">
        <f t="shared" ref="F204:F210" si="62">IF(D$12=0,0,D204/D$12)</f>
        <v>1.2147640865217307E-3</v>
      </c>
      <c r="G204" s="1"/>
      <c r="H204" s="1">
        <f>SUM(OSRRefH22_8x_0)</f>
        <v>540</v>
      </c>
      <c r="I204" s="1"/>
      <c r="J204" s="5">
        <f t="shared" ref="J204:J210" si="63">IF(H$12=0,0,H204/H$12)</f>
        <v>7.3109410941229515E-4</v>
      </c>
      <c r="K204" s="1"/>
      <c r="L204" s="1">
        <f t="shared" ref="L204:L210" si="64">+D204-H204</f>
        <v>7.8600000000000136</v>
      </c>
      <c r="M204" s="1"/>
      <c r="N204" s="5">
        <f t="shared" ref="N204:N210" si="65">IF(H204=0,0,L204/H204)</f>
        <v>1.455555555555558E-2</v>
      </c>
      <c r="O204" s="13"/>
      <c r="P204" s="1">
        <f>SUM(OSRRefP22_8x_0)</f>
        <v>743.89</v>
      </c>
      <c r="Q204" s="1"/>
      <c r="R204" s="5">
        <f t="shared" ref="R204:R210" si="66">IF(P$12=0,0,P204/P$12)</f>
        <v>7.2480656858064682E-5</v>
      </c>
      <c r="S204" s="1"/>
      <c r="T204" s="1">
        <f>SUM(OSRRefT22_8x_0)</f>
        <v>8930</v>
      </c>
      <c r="U204" s="1"/>
      <c r="V204" s="5">
        <f t="shared" ref="V204:V210" si="67">IF(T$12=0,0,T204/T$12)</f>
        <v>5.2405568159104483E-4</v>
      </c>
      <c r="W204" s="1"/>
      <c r="X204" s="1">
        <f t="shared" ref="X204:X210" si="68">+P204-T204</f>
        <v>-8186.11</v>
      </c>
      <c r="Y204" s="1"/>
      <c r="Z204" s="5">
        <f t="shared" ref="Z204:Z210" si="69">IF(T204=0,0,X204/T204)</f>
        <v>-0.91669764837625978</v>
      </c>
    </row>
    <row r="205" spans="1:26" s="24" customFormat="1" hidden="1" outlineLevel="2" x14ac:dyDescent="0.25">
      <c r="A205" s="26"/>
      <c r="B205" s="11" t="str">
        <f>CONCATENATE("          ", "6277", " - ", "EMPLOYEE APPRECIATION")</f>
        <v xml:space="preserve">          6277 - EMPLOYEE APPRECIATION</v>
      </c>
      <c r="C205" s="11"/>
      <c r="D205" s="6">
        <v>547.86</v>
      </c>
      <c r="E205" s="2"/>
      <c r="F205" s="7">
        <f t="shared" si="62"/>
        <v>1.2147640865217307E-3</v>
      </c>
      <c r="G205" s="2"/>
      <c r="H205" s="6">
        <v>540</v>
      </c>
      <c r="I205" s="2"/>
      <c r="J205" s="7">
        <f t="shared" si="63"/>
        <v>7.3109410941229515E-4</v>
      </c>
      <c r="K205" s="2"/>
      <c r="L205" s="6">
        <f t="shared" si="64"/>
        <v>7.8600000000000136</v>
      </c>
      <c r="M205" s="2"/>
      <c r="N205" s="7">
        <f t="shared" si="65"/>
        <v>1.455555555555558E-2</v>
      </c>
      <c r="O205" s="11"/>
      <c r="P205" s="6">
        <v>743.89</v>
      </c>
      <c r="Q205" s="2"/>
      <c r="R205" s="7">
        <f t="shared" si="66"/>
        <v>7.2480656858064682E-5</v>
      </c>
      <c r="S205" s="2"/>
      <c r="T205" s="6">
        <v>8930</v>
      </c>
      <c r="U205" s="2"/>
      <c r="V205" s="7">
        <f t="shared" si="67"/>
        <v>5.2405568159104483E-4</v>
      </c>
      <c r="W205" s="2"/>
      <c r="X205" s="6">
        <f t="shared" si="68"/>
        <v>-8186.11</v>
      </c>
      <c r="Y205" s="2"/>
      <c r="Z205" s="7">
        <f t="shared" si="69"/>
        <v>-0.91669764837625978</v>
      </c>
    </row>
    <row r="206" spans="1:26" s="27" customFormat="1" outlineLevel="1" collapsed="1" x14ac:dyDescent="0.25">
      <c r="A206" s="25"/>
      <c r="B206" s="13" t="str">
        <f>CONCATENATE("     ","Equipment Rental                                  ")</f>
        <v xml:space="preserve">     Equipment Rental                                  </v>
      </c>
      <c r="C206" s="13"/>
      <c r="D206" s="1">
        <f>SUM(OSRRefD22_9x_0)</f>
        <v>4102</v>
      </c>
      <c r="E206" s="1"/>
      <c r="F206" s="5">
        <f t="shared" si="62"/>
        <v>9.0953204886506395E-3</v>
      </c>
      <c r="G206" s="1"/>
      <c r="H206" s="1">
        <f>SUM(OSRRefH22_9x_0)</f>
        <v>4145.3333333333303</v>
      </c>
      <c r="I206" s="1"/>
      <c r="J206" s="5">
        <f t="shared" si="63"/>
        <v>5.6122755213896883E-3</v>
      </c>
      <c r="K206" s="1"/>
      <c r="L206" s="1">
        <f t="shared" si="64"/>
        <v>-43.333333333330302</v>
      </c>
      <c r="M206" s="1"/>
      <c r="N206" s="5">
        <f t="shared" si="65"/>
        <v>-1.0453522032807253E-2</v>
      </c>
      <c r="O206" s="13"/>
      <c r="P206" s="1">
        <f>SUM(OSRRefP22_9x_0)</f>
        <v>34067.5</v>
      </c>
      <c r="Q206" s="1"/>
      <c r="R206" s="5">
        <f t="shared" si="66"/>
        <v>3.3193547130787059E-3</v>
      </c>
      <c r="S206" s="1"/>
      <c r="T206" s="1">
        <f>SUM(OSRRefT22_9x_0)</f>
        <v>49611</v>
      </c>
      <c r="U206" s="1"/>
      <c r="V206" s="5">
        <f t="shared" si="67"/>
        <v>2.9114139327450529E-3</v>
      </c>
      <c r="W206" s="1"/>
      <c r="X206" s="1">
        <f t="shared" si="68"/>
        <v>-15543.5</v>
      </c>
      <c r="Y206" s="1"/>
      <c r="Z206" s="5">
        <f t="shared" si="69"/>
        <v>-0.31330753260365646</v>
      </c>
    </row>
    <row r="207" spans="1:26" s="24" customFormat="1" hidden="1" outlineLevel="2" x14ac:dyDescent="0.25">
      <c r="A207" s="26"/>
      <c r="B207" s="11" t="str">
        <f>CONCATENATE("          ", "6351", " - ", "EQUIPMENT RENTAL")</f>
        <v xml:space="preserve">          6351 - EQUIPMENT RENTAL</v>
      </c>
      <c r="C207" s="11"/>
      <c r="D207" s="6">
        <v>4102</v>
      </c>
      <c r="E207" s="2"/>
      <c r="F207" s="7">
        <f t="shared" si="62"/>
        <v>9.0953204886506395E-3</v>
      </c>
      <c r="G207" s="2"/>
      <c r="H207" s="6">
        <v>4145.3333333333303</v>
      </c>
      <c r="I207" s="2"/>
      <c r="J207" s="7">
        <f t="shared" si="63"/>
        <v>5.6122755213896883E-3</v>
      </c>
      <c r="K207" s="2"/>
      <c r="L207" s="6">
        <f t="shared" si="64"/>
        <v>-43.333333333330302</v>
      </c>
      <c r="M207" s="2"/>
      <c r="N207" s="7">
        <f t="shared" si="65"/>
        <v>-1.0453522032807253E-2</v>
      </c>
      <c r="O207" s="11"/>
      <c r="P207" s="6">
        <v>34067.5</v>
      </c>
      <c r="Q207" s="2"/>
      <c r="R207" s="7">
        <f t="shared" si="66"/>
        <v>3.3193547130787059E-3</v>
      </c>
      <c r="S207" s="2"/>
      <c r="T207" s="6">
        <v>49611</v>
      </c>
      <c r="U207" s="2"/>
      <c r="V207" s="7">
        <f t="shared" si="67"/>
        <v>2.9114139327450529E-3</v>
      </c>
      <c r="W207" s="2"/>
      <c r="X207" s="6">
        <f t="shared" si="68"/>
        <v>-15543.5</v>
      </c>
      <c r="Y207" s="2"/>
      <c r="Z207" s="7">
        <f t="shared" si="69"/>
        <v>-0.31330753260365646</v>
      </c>
    </row>
    <row r="208" spans="1:26" s="27" customFormat="1" outlineLevel="1" collapsed="1" x14ac:dyDescent="0.25">
      <c r="A208" s="25"/>
      <c r="B208" s="13" t="str">
        <f>CONCATENATE("     ","Freight out/Postage                               ")</f>
        <v xml:space="preserve">     Freight out/Postage                               </v>
      </c>
      <c r="C208" s="13"/>
      <c r="D208" s="1">
        <f>SUM(OSRRefD22_10x_0)</f>
        <v>-7501.3200000000006</v>
      </c>
      <c r="E208" s="1"/>
      <c r="F208" s="5">
        <f t="shared" si="62"/>
        <v>-1.6632596169655001E-2</v>
      </c>
      <c r="G208" s="1"/>
      <c r="H208" s="1">
        <f>SUM(OSRRefH22_10x_0)</f>
        <v>293</v>
      </c>
      <c r="I208" s="1"/>
      <c r="J208" s="5">
        <f t="shared" si="63"/>
        <v>3.9668624825518978E-4</v>
      </c>
      <c r="K208" s="1"/>
      <c r="L208" s="1">
        <f t="shared" si="64"/>
        <v>-7794.3200000000006</v>
      </c>
      <c r="M208" s="1"/>
      <c r="N208" s="5">
        <f t="shared" si="65"/>
        <v>-26.601774744027306</v>
      </c>
      <c r="O208" s="13"/>
      <c r="P208" s="1">
        <f>SUM(OSRRefP22_10x_0)</f>
        <v>-72409.760000000009</v>
      </c>
      <c r="Q208" s="1"/>
      <c r="R208" s="5">
        <f t="shared" si="66"/>
        <v>-7.0552191422586924E-3</v>
      </c>
      <c r="S208" s="1"/>
      <c r="T208" s="1">
        <f>SUM(OSRRefT22_10x_0)</f>
        <v>35683</v>
      </c>
      <c r="U208" s="1"/>
      <c r="V208" s="5">
        <f t="shared" si="67"/>
        <v>2.0940513870339587E-3</v>
      </c>
      <c r="W208" s="1"/>
      <c r="X208" s="1">
        <f t="shared" si="68"/>
        <v>-108092.76000000001</v>
      </c>
      <c r="Y208" s="1"/>
      <c r="Z208" s="5">
        <f t="shared" si="69"/>
        <v>-3.0292509037917217</v>
      </c>
    </row>
    <row r="209" spans="1:26" s="24" customFormat="1" hidden="1" outlineLevel="2" x14ac:dyDescent="0.25">
      <c r="A209" s="26"/>
      <c r="B209" s="11" t="str">
        <f>CONCATENATE("          ", "6305", " - ", "FREIGHT OUT")</f>
        <v xml:space="preserve">          6305 - FREIGHT OUT</v>
      </c>
      <c r="C209" s="11"/>
      <c r="D209" s="6">
        <v>7012.69</v>
      </c>
      <c r="E209" s="2"/>
      <c r="F209" s="7">
        <f t="shared" si="62"/>
        <v>1.5549162125196355E-2</v>
      </c>
      <c r="G209" s="2"/>
      <c r="H209" s="6">
        <v>2263</v>
      </c>
      <c r="I209" s="2"/>
      <c r="J209" s="7">
        <f t="shared" si="63"/>
        <v>3.0638258696296739E-3</v>
      </c>
      <c r="K209" s="2"/>
      <c r="L209" s="6">
        <f t="shared" si="64"/>
        <v>4749.6899999999996</v>
      </c>
      <c r="M209" s="2"/>
      <c r="N209" s="7">
        <f t="shared" si="65"/>
        <v>2.0988466637207246</v>
      </c>
      <c r="O209" s="11"/>
      <c r="P209" s="6">
        <v>234364.01</v>
      </c>
      <c r="Q209" s="2"/>
      <c r="R209" s="7">
        <f t="shared" si="66"/>
        <v>2.283517373360314E-2</v>
      </c>
      <c r="S209" s="2"/>
      <c r="T209" s="6">
        <v>66865</v>
      </c>
      <c r="U209" s="2"/>
      <c r="V209" s="7">
        <f t="shared" si="67"/>
        <v>3.9239622787889368E-3</v>
      </c>
      <c r="W209" s="2"/>
      <c r="X209" s="6">
        <f t="shared" si="68"/>
        <v>167499.01</v>
      </c>
      <c r="Y209" s="2"/>
      <c r="Z209" s="7">
        <f t="shared" si="69"/>
        <v>2.5050326777835941</v>
      </c>
    </row>
    <row r="210" spans="1:26" s="24" customFormat="1" hidden="1" outlineLevel="2" x14ac:dyDescent="0.25">
      <c r="A210" s="26"/>
      <c r="B210" s="11" t="str">
        <f>CONCATENATE("          ", "6307", " - ", "POSTAGE")</f>
        <v xml:space="preserve">          6307 - POSTAGE</v>
      </c>
      <c r="C210" s="11"/>
      <c r="D210" s="6">
        <v>-14514.01</v>
      </c>
      <c r="E210" s="2"/>
      <c r="F210" s="7">
        <f t="shared" si="62"/>
        <v>-3.2181758294851356E-2</v>
      </c>
      <c r="G210" s="2"/>
      <c r="H210" s="6">
        <v>-1970</v>
      </c>
      <c r="I210" s="2"/>
      <c r="J210" s="7">
        <f t="shared" si="63"/>
        <v>-2.6671396213744842E-3</v>
      </c>
      <c r="K210" s="2"/>
      <c r="L210" s="6">
        <f t="shared" si="64"/>
        <v>-12544.01</v>
      </c>
      <c r="M210" s="2"/>
      <c r="N210" s="7">
        <f t="shared" si="65"/>
        <v>6.3675177664974623</v>
      </c>
      <c r="O210" s="11"/>
      <c r="P210" s="6">
        <v>-306773.77</v>
      </c>
      <c r="Q210" s="2"/>
      <c r="R210" s="7">
        <f t="shared" si="66"/>
        <v>-2.9890392875861833E-2</v>
      </c>
      <c r="S210" s="2"/>
      <c r="T210" s="6">
        <v>-31182</v>
      </c>
      <c r="U210" s="2"/>
      <c r="V210" s="7">
        <f t="shared" si="67"/>
        <v>-1.8299108917549786E-3</v>
      </c>
      <c r="W210" s="2"/>
      <c r="X210" s="6">
        <f t="shared" si="68"/>
        <v>-275591.77</v>
      </c>
      <c r="Y210" s="2"/>
      <c r="Z210" s="7">
        <f t="shared" si="69"/>
        <v>8.8381684946443464</v>
      </c>
    </row>
    <row r="211" spans="1:26" s="27" customFormat="1" outlineLevel="1" collapsed="1" x14ac:dyDescent="0.25">
      <c r="A211" s="25"/>
      <c r="B211" s="13" t="str">
        <f>CONCATENATE("     ","General                                           ")</f>
        <v xml:space="preserve">     General                                           </v>
      </c>
      <c r="C211" s="13"/>
      <c r="D211" s="1">
        <f>SUM(OSRRefD22_11x_0)</f>
        <v>-871.74</v>
      </c>
      <c r="E211" s="1"/>
      <c r="F211" s="5">
        <f t="shared" ref="F211:F214" si="70">IF(D$12=0,0,D211/D$12)</f>
        <v>-1.9328997276392755E-3</v>
      </c>
      <c r="G211" s="1"/>
      <c r="H211" s="1">
        <f>SUM(OSRRefH22_11x_0)</f>
        <v>2010</v>
      </c>
      <c r="I211" s="1"/>
      <c r="J211" s="5">
        <f t="shared" ref="J211:J214" si="71">IF(H$12=0,0,H211/H$12)</f>
        <v>2.7212947405902094E-3</v>
      </c>
      <c r="K211" s="1"/>
      <c r="L211" s="1">
        <f t="shared" ref="L211:L214" si="72">+D211-H211</f>
        <v>-2881.74</v>
      </c>
      <c r="M211" s="1"/>
      <c r="N211" s="5">
        <f t="shared" ref="N211:N214" si="73">IF(H211=0,0,L211/H211)</f>
        <v>-1.4337014925373133</v>
      </c>
      <c r="O211" s="13"/>
      <c r="P211" s="1">
        <f>SUM(OSRRefP22_11x_0)</f>
        <v>20442.64</v>
      </c>
      <c r="Q211" s="1"/>
      <c r="R211" s="5">
        <f t="shared" ref="R211:R214" si="74">IF(P$12=0,0,P211/P$12)</f>
        <v>1.99182133798404E-3</v>
      </c>
      <c r="S211" s="1"/>
      <c r="T211" s="1">
        <f>SUM(OSRRefT22_11x_0)</f>
        <v>33550</v>
      </c>
      <c r="U211" s="1"/>
      <c r="V211" s="5">
        <f t="shared" ref="V211:V214" si="75">IF(T$12=0,0,T211/T$12)</f>
        <v>1.9688766088890876E-3</v>
      </c>
      <c r="W211" s="1"/>
      <c r="X211" s="1">
        <f t="shared" ref="X211:X214" si="76">+P211-T211</f>
        <v>-13107.36</v>
      </c>
      <c r="Y211" s="1"/>
      <c r="Z211" s="5">
        <f t="shared" ref="Z211:Z214" si="77">IF(T211=0,0,X211/T211)</f>
        <v>-0.3906813710879285</v>
      </c>
    </row>
    <row r="212" spans="1:26" s="24" customFormat="1" hidden="1" outlineLevel="2" x14ac:dyDescent="0.25">
      <c r="A212" s="26"/>
      <c r="B212" s="11" t="str">
        <f>CONCATENATE("          ", "6269", " - ", "ENTERTAINMENT")</f>
        <v xml:space="preserve">          6269 - ENTERTAINMENT</v>
      </c>
      <c r="C212" s="11"/>
      <c r="D212" s="6"/>
      <c r="E212" s="2"/>
      <c r="F212" s="7">
        <f t="shared" si="70"/>
        <v>0</v>
      </c>
      <c r="G212" s="2"/>
      <c r="H212" s="6">
        <v>0</v>
      </c>
      <c r="I212" s="2"/>
      <c r="J212" s="7">
        <f t="shared" si="71"/>
        <v>0</v>
      </c>
      <c r="K212" s="2"/>
      <c r="L212" s="6">
        <f t="shared" si="72"/>
        <v>0</v>
      </c>
      <c r="M212" s="2"/>
      <c r="N212" s="7">
        <f t="shared" si="73"/>
        <v>0</v>
      </c>
      <c r="O212" s="11"/>
      <c r="P212" s="6"/>
      <c r="Q212" s="2"/>
      <c r="R212" s="7">
        <f t="shared" si="74"/>
        <v>0</v>
      </c>
      <c r="S212" s="2"/>
      <c r="T212" s="6">
        <v>2750</v>
      </c>
      <c r="U212" s="2"/>
      <c r="V212" s="7">
        <f t="shared" si="75"/>
        <v>1.6138332859746621E-4</v>
      </c>
      <c r="W212" s="2"/>
      <c r="X212" s="6">
        <f t="shared" si="76"/>
        <v>-2750</v>
      </c>
      <c r="Y212" s="2"/>
      <c r="Z212" s="7">
        <f t="shared" si="77"/>
        <v>-1</v>
      </c>
    </row>
    <row r="213" spans="1:26" s="24" customFormat="1" hidden="1" outlineLevel="2" x14ac:dyDescent="0.25">
      <c r="A213" s="26"/>
      <c r="B213" s="11" t="str">
        <f>CONCATENATE("          ", "6276", " - ", "PROPERTY TAX")</f>
        <v xml:space="preserve">          6276 - PROPERTY TAX</v>
      </c>
      <c r="C213" s="11"/>
      <c r="D213" s="6"/>
      <c r="E213" s="2"/>
      <c r="F213" s="7">
        <f t="shared" si="70"/>
        <v>0</v>
      </c>
      <c r="G213" s="2"/>
      <c r="H213" s="6"/>
      <c r="I213" s="2"/>
      <c r="J213" s="7">
        <f t="shared" si="71"/>
        <v>0</v>
      </c>
      <c r="K213" s="2"/>
      <c r="L213" s="6">
        <f t="shared" si="72"/>
        <v>0</v>
      </c>
      <c r="M213" s="2"/>
      <c r="N213" s="7">
        <f t="shared" si="73"/>
        <v>0</v>
      </c>
      <c r="O213" s="11"/>
      <c r="P213" s="6"/>
      <c r="Q213" s="2"/>
      <c r="R213" s="7">
        <f t="shared" si="74"/>
        <v>0</v>
      </c>
      <c r="S213" s="2"/>
      <c r="T213" s="6">
        <v>150</v>
      </c>
      <c r="U213" s="2"/>
      <c r="V213" s="7">
        <f t="shared" si="75"/>
        <v>8.8027270144072479E-6</v>
      </c>
      <c r="W213" s="2"/>
      <c r="X213" s="6">
        <f t="shared" si="76"/>
        <v>-150</v>
      </c>
      <c r="Y213" s="2"/>
      <c r="Z213" s="7">
        <f t="shared" si="77"/>
        <v>-1</v>
      </c>
    </row>
    <row r="214" spans="1:26" s="24" customFormat="1" hidden="1" outlineLevel="2" x14ac:dyDescent="0.25">
      <c r="A214" s="26"/>
      <c r="B214" s="11" t="str">
        <f>CONCATENATE("          ", "6279", " - ", "GENERAL EXPENSE")</f>
        <v xml:space="preserve">          6279 - GENERAL EXPENSE</v>
      </c>
      <c r="C214" s="11"/>
      <c r="D214" s="6">
        <v>-871.74</v>
      </c>
      <c r="E214" s="2"/>
      <c r="F214" s="7">
        <f t="shared" si="70"/>
        <v>-1.9328997276392755E-3</v>
      </c>
      <c r="G214" s="2"/>
      <c r="H214" s="6">
        <v>2010</v>
      </c>
      <c r="I214" s="2"/>
      <c r="J214" s="7">
        <f t="shared" si="71"/>
        <v>2.7212947405902094E-3</v>
      </c>
      <c r="K214" s="2"/>
      <c r="L214" s="6">
        <f t="shared" si="72"/>
        <v>-2881.74</v>
      </c>
      <c r="M214" s="2"/>
      <c r="N214" s="7">
        <f t="shared" si="73"/>
        <v>-1.4337014925373133</v>
      </c>
      <c r="O214" s="11"/>
      <c r="P214" s="6">
        <v>20442.64</v>
      </c>
      <c r="Q214" s="2"/>
      <c r="R214" s="7">
        <f t="shared" si="74"/>
        <v>1.99182133798404E-3</v>
      </c>
      <c r="S214" s="2"/>
      <c r="T214" s="6">
        <v>30650</v>
      </c>
      <c r="U214" s="2"/>
      <c r="V214" s="7">
        <f t="shared" si="75"/>
        <v>1.7986905532772141E-3</v>
      </c>
      <c r="W214" s="2"/>
      <c r="X214" s="6">
        <f t="shared" si="76"/>
        <v>-10207.36</v>
      </c>
      <c r="Y214" s="2"/>
      <c r="Z214" s="7">
        <f t="shared" si="77"/>
        <v>-0.33302969004893967</v>
      </c>
    </row>
    <row r="215" spans="1:26" s="27" customFormat="1" outlineLevel="1" collapsed="1" x14ac:dyDescent="0.25">
      <c r="A215" s="25"/>
      <c r="B215" s="13" t="str">
        <f>CONCATENATE("     ","Insurance                                         ")</f>
        <v xml:space="preserve">     Insurance                                         </v>
      </c>
      <c r="C215" s="13"/>
      <c r="D215" s="1">
        <f>SUM(OSRRefD22_12x_0)</f>
        <v>18295.95</v>
      </c>
      <c r="E215" s="1"/>
      <c r="F215" s="5">
        <f t="shared" ref="F215:F221" si="78">IF(D$12=0,0,D215/D$12)</f>
        <v>4.0567413187305626E-2</v>
      </c>
      <c r="G215" s="1"/>
      <c r="H215" s="1">
        <f>SUM(OSRRefH22_12x_0)</f>
        <v>9321</v>
      </c>
      <c r="I215" s="1"/>
      <c r="J215" s="5">
        <f t="shared" ref="J215:J221" si="79">IF(H$12=0,0,H215/H$12)</f>
        <v>1.261949665524445E-2</v>
      </c>
      <c r="K215" s="1"/>
      <c r="L215" s="1">
        <f t="shared" ref="L215:L221" si="80">+D215-H215</f>
        <v>8974.9500000000007</v>
      </c>
      <c r="M215" s="1"/>
      <c r="N215" s="5">
        <f t="shared" ref="N215:N221" si="81">IF(H215=0,0,L215/H215)</f>
        <v>0.96287415513356944</v>
      </c>
      <c r="O215" s="13"/>
      <c r="P215" s="1">
        <f>SUM(OSRRefP22_12x_0)</f>
        <v>118604.47</v>
      </c>
      <c r="Q215" s="1"/>
      <c r="R215" s="5">
        <f t="shared" ref="R215:R221" si="82">IF(P$12=0,0,P215/P$12)</f>
        <v>1.1556184236785852E-2</v>
      </c>
      <c r="S215" s="1"/>
      <c r="T215" s="1">
        <f>SUM(OSRRefT22_12x_0)</f>
        <v>111852</v>
      </c>
      <c r="U215" s="1"/>
      <c r="V215" s="5">
        <f t="shared" ref="V215:V221" si="83">IF(T$12=0,0,T215/T$12)</f>
        <v>6.564017480103196E-3</v>
      </c>
      <c r="W215" s="1"/>
      <c r="X215" s="1">
        <f t="shared" ref="X215:X221" si="84">+P215-T215</f>
        <v>6752.4700000000012</v>
      </c>
      <c r="Y215" s="1"/>
      <c r="Z215" s="5">
        <f t="shared" ref="Z215:Z221" si="85">IF(T215=0,0,X215/T215)</f>
        <v>6.0369684940814655E-2</v>
      </c>
    </row>
    <row r="216" spans="1:26" s="24" customFormat="1" hidden="1" outlineLevel="2" x14ac:dyDescent="0.25">
      <c r="A216" s="26"/>
      <c r="B216" s="11" t="str">
        <f>CONCATENATE("          ", "6314", " - ", "LIABILITY INSURANCE")</f>
        <v xml:space="preserve">          6314 - LIABILITY INSURANCE</v>
      </c>
      <c r="C216" s="11"/>
      <c r="D216" s="6">
        <v>18295.95</v>
      </c>
      <c r="E216" s="2"/>
      <c r="F216" s="7">
        <f t="shared" si="78"/>
        <v>4.0567413187305626E-2</v>
      </c>
      <c r="G216" s="2"/>
      <c r="H216" s="6">
        <v>9321</v>
      </c>
      <c r="I216" s="2"/>
      <c r="J216" s="7">
        <f t="shared" si="79"/>
        <v>1.261949665524445E-2</v>
      </c>
      <c r="K216" s="2"/>
      <c r="L216" s="6">
        <f t="shared" si="80"/>
        <v>8974.9500000000007</v>
      </c>
      <c r="M216" s="2"/>
      <c r="N216" s="7">
        <f t="shared" si="81"/>
        <v>0.96287415513356944</v>
      </c>
      <c r="O216" s="11"/>
      <c r="P216" s="6">
        <v>118604.47</v>
      </c>
      <c r="Q216" s="2"/>
      <c r="R216" s="7">
        <f t="shared" si="82"/>
        <v>1.1556184236785852E-2</v>
      </c>
      <c r="S216" s="2"/>
      <c r="T216" s="6">
        <v>111852</v>
      </c>
      <c r="U216" s="2"/>
      <c r="V216" s="7">
        <f t="shared" si="83"/>
        <v>6.564017480103196E-3</v>
      </c>
      <c r="W216" s="2"/>
      <c r="X216" s="6">
        <f t="shared" si="84"/>
        <v>6752.4700000000012</v>
      </c>
      <c r="Y216" s="2"/>
      <c r="Z216" s="7">
        <f t="shared" si="85"/>
        <v>6.0369684940814655E-2</v>
      </c>
    </row>
    <row r="217" spans="1:26" s="27" customFormat="1" outlineLevel="1" collapsed="1" x14ac:dyDescent="0.25">
      <c r="A217" s="25"/>
      <c r="B217" s="13" t="str">
        <f>CONCATENATE("     ","Interest                                          ")</f>
        <v xml:space="preserve">     Interest                                          </v>
      </c>
      <c r="C217" s="13"/>
      <c r="D217" s="1">
        <f>SUM(OSRRefD22_13x_0)</f>
        <v>-1254.77</v>
      </c>
      <c r="E217" s="1"/>
      <c r="F217" s="5">
        <f t="shared" si="78"/>
        <v>-2.7821880276801955E-3</v>
      </c>
      <c r="G217" s="1"/>
      <c r="H217" s="1">
        <f>SUM(OSRRefH22_13x_0)</f>
        <v>11158</v>
      </c>
      <c r="I217" s="1"/>
      <c r="J217" s="5">
        <f t="shared" si="79"/>
        <v>1.5106570505226647E-2</v>
      </c>
      <c r="K217" s="1"/>
      <c r="L217" s="1">
        <f t="shared" si="80"/>
        <v>-12412.77</v>
      </c>
      <c r="M217" s="1"/>
      <c r="N217" s="5">
        <f t="shared" si="81"/>
        <v>-1.1124547409930094</v>
      </c>
      <c r="O217" s="13"/>
      <c r="P217" s="1">
        <f>SUM(OSRRefP22_13x_0)</f>
        <v>122716.23</v>
      </c>
      <c r="Q217" s="1"/>
      <c r="R217" s="5">
        <f t="shared" si="82"/>
        <v>1.195681210601748E-2</v>
      </c>
      <c r="S217" s="1"/>
      <c r="T217" s="1">
        <f>SUM(OSRRefT22_13x_0)</f>
        <v>137856</v>
      </c>
      <c r="U217" s="1"/>
      <c r="V217" s="5">
        <f t="shared" si="83"/>
        <v>8.0900582353208364E-3</v>
      </c>
      <c r="W217" s="1"/>
      <c r="X217" s="1">
        <f t="shared" si="84"/>
        <v>-15139.770000000004</v>
      </c>
      <c r="Y217" s="1"/>
      <c r="Z217" s="5">
        <f t="shared" si="85"/>
        <v>-0.10982307625348192</v>
      </c>
    </row>
    <row r="218" spans="1:26" s="24" customFormat="1" hidden="1" outlineLevel="2" x14ac:dyDescent="0.25">
      <c r="A218" s="26"/>
      <c r="B218" s="11" t="str">
        <f>CONCATENATE("          ", "6401", " - ", "INTEREST EXPENSE")</f>
        <v xml:space="preserve">          6401 - INTEREST EXPENSE</v>
      </c>
      <c r="C218" s="11"/>
      <c r="D218" s="6">
        <v>-1254.77</v>
      </c>
      <c r="E218" s="2"/>
      <c r="F218" s="7">
        <f t="shared" si="78"/>
        <v>-2.7821880276801955E-3</v>
      </c>
      <c r="G218" s="2"/>
      <c r="H218" s="6">
        <v>11158</v>
      </c>
      <c r="I218" s="2"/>
      <c r="J218" s="7">
        <f t="shared" si="79"/>
        <v>1.5106570505226647E-2</v>
      </c>
      <c r="K218" s="2"/>
      <c r="L218" s="6">
        <f t="shared" si="80"/>
        <v>-12412.77</v>
      </c>
      <c r="M218" s="2"/>
      <c r="N218" s="7">
        <f t="shared" si="81"/>
        <v>-1.1124547409930094</v>
      </c>
      <c r="O218" s="11"/>
      <c r="P218" s="6">
        <v>122716.23</v>
      </c>
      <c r="Q218" s="2"/>
      <c r="R218" s="7">
        <f t="shared" si="82"/>
        <v>1.195681210601748E-2</v>
      </c>
      <c r="S218" s="2"/>
      <c r="T218" s="6">
        <v>137856</v>
      </c>
      <c r="U218" s="2"/>
      <c r="V218" s="7">
        <f t="shared" si="83"/>
        <v>8.0900582353208364E-3</v>
      </c>
      <c r="W218" s="2"/>
      <c r="X218" s="6">
        <f t="shared" si="84"/>
        <v>-15139.770000000004</v>
      </c>
      <c r="Y218" s="2"/>
      <c r="Z218" s="7">
        <f t="shared" si="85"/>
        <v>-0.10982307625348192</v>
      </c>
    </row>
    <row r="219" spans="1:26" s="27" customFormat="1" outlineLevel="1" collapsed="1" x14ac:dyDescent="0.25">
      <c r="A219" s="25"/>
      <c r="B219" s="13" t="str">
        <f>CONCATENATE("     ","Inventory Adjustment                              ")</f>
        <v xml:space="preserve">     Inventory Adjustment                              </v>
      </c>
      <c r="C219" s="13"/>
      <c r="D219" s="1">
        <f>SUM(OSRRefD22_14x_0)</f>
        <v>-41850</v>
      </c>
      <c r="E219" s="1"/>
      <c r="F219" s="5">
        <f t="shared" si="78"/>
        <v>-9.2793554961001765E-2</v>
      </c>
      <c r="G219" s="1"/>
      <c r="H219" s="1">
        <f>SUM(OSRRefH22_14x_0)</f>
        <v>47350</v>
      </c>
      <c r="I219" s="1"/>
      <c r="J219" s="5">
        <f t="shared" si="79"/>
        <v>6.4106122371615129E-2</v>
      </c>
      <c r="K219" s="1"/>
      <c r="L219" s="1">
        <f t="shared" si="80"/>
        <v>-89200</v>
      </c>
      <c r="M219" s="1"/>
      <c r="N219" s="5">
        <f t="shared" si="81"/>
        <v>-1.883843717001056</v>
      </c>
      <c r="O219" s="13"/>
      <c r="P219" s="1">
        <f>SUM(OSRRefP22_14x_0)</f>
        <v>0</v>
      </c>
      <c r="Q219" s="1"/>
      <c r="R219" s="5">
        <f t="shared" si="82"/>
        <v>0</v>
      </c>
      <c r="S219" s="1"/>
      <c r="T219" s="1">
        <f>SUM(OSRRefT22_14x_0)</f>
        <v>100200</v>
      </c>
      <c r="U219" s="1"/>
      <c r="V219" s="5">
        <f t="shared" si="83"/>
        <v>5.8802216456240409E-3</v>
      </c>
      <c r="W219" s="1"/>
      <c r="X219" s="1">
        <f t="shared" si="84"/>
        <v>-100200</v>
      </c>
      <c r="Y219" s="1"/>
      <c r="Z219" s="5">
        <f t="shared" si="85"/>
        <v>-1</v>
      </c>
    </row>
    <row r="220" spans="1:26" s="24" customFormat="1" hidden="1" outlineLevel="2" x14ac:dyDescent="0.25">
      <c r="A220" s="26"/>
      <c r="B220" s="11" t="str">
        <f>CONCATENATE("          ", "6408", " - ", "INVENTORY ADJUSTMENT")</f>
        <v xml:space="preserve">          6408 - INVENTORY ADJUSTMENT</v>
      </c>
      <c r="C220" s="11"/>
      <c r="D220" s="6">
        <v>-41850</v>
      </c>
      <c r="E220" s="2"/>
      <c r="F220" s="7">
        <f t="shared" si="78"/>
        <v>-9.2793554961001765E-2</v>
      </c>
      <c r="G220" s="2"/>
      <c r="H220" s="6">
        <v>47350</v>
      </c>
      <c r="I220" s="2"/>
      <c r="J220" s="7">
        <f t="shared" si="79"/>
        <v>6.4106122371615129E-2</v>
      </c>
      <c r="K220" s="2"/>
      <c r="L220" s="6">
        <f t="shared" si="80"/>
        <v>-89200</v>
      </c>
      <c r="M220" s="2"/>
      <c r="N220" s="7">
        <f t="shared" si="81"/>
        <v>-1.883843717001056</v>
      </c>
      <c r="O220" s="11"/>
      <c r="P220" s="6">
        <v>0</v>
      </c>
      <c r="Q220" s="2"/>
      <c r="R220" s="7">
        <f t="shared" si="82"/>
        <v>0</v>
      </c>
      <c r="S220" s="2"/>
      <c r="T220" s="6">
        <v>100200</v>
      </c>
      <c r="U220" s="2"/>
      <c r="V220" s="7">
        <f t="shared" si="83"/>
        <v>5.8802216456240409E-3</v>
      </c>
      <c r="W220" s="2"/>
      <c r="X220" s="6">
        <f t="shared" si="84"/>
        <v>-100200</v>
      </c>
      <c r="Y220" s="2"/>
      <c r="Z220" s="7">
        <f t="shared" si="85"/>
        <v>-1</v>
      </c>
    </row>
    <row r="221" spans="1:26" s="24" customFormat="1" hidden="1" outlineLevel="2" x14ac:dyDescent="0.25">
      <c r="A221" s="26"/>
      <c r="B221" s="11" t="str">
        <f>CONCATENATE("          ", "7741", " - ", "INV. SHRINKAGE-LOGO GIFTS")</f>
        <v xml:space="preserve">          7741 - INV. SHRINKAGE-LOGO GIFTS</v>
      </c>
      <c r="C221" s="11"/>
      <c r="D221" s="6"/>
      <c r="E221" s="2"/>
      <c r="F221" s="7">
        <f t="shared" si="78"/>
        <v>0</v>
      </c>
      <c r="G221" s="2"/>
      <c r="H221" s="6"/>
      <c r="I221" s="2"/>
      <c r="J221" s="7">
        <f t="shared" si="79"/>
        <v>0</v>
      </c>
      <c r="K221" s="2"/>
      <c r="L221" s="6">
        <f t="shared" si="80"/>
        <v>0</v>
      </c>
      <c r="M221" s="2"/>
      <c r="N221" s="7">
        <f t="shared" si="81"/>
        <v>0</v>
      </c>
      <c r="O221" s="11"/>
      <c r="P221" s="6">
        <v>0</v>
      </c>
      <c r="Q221" s="2"/>
      <c r="R221" s="7">
        <f t="shared" si="82"/>
        <v>0</v>
      </c>
      <c r="S221" s="2"/>
      <c r="T221" s="6"/>
      <c r="U221" s="2"/>
      <c r="V221" s="7">
        <f t="shared" si="83"/>
        <v>0</v>
      </c>
      <c r="W221" s="2"/>
      <c r="X221" s="6">
        <f t="shared" si="84"/>
        <v>0</v>
      </c>
      <c r="Y221" s="2"/>
      <c r="Z221" s="7">
        <f t="shared" si="85"/>
        <v>0</v>
      </c>
    </row>
    <row r="222" spans="1:26" s="27" customFormat="1" outlineLevel="1" collapsed="1" x14ac:dyDescent="0.25">
      <c r="A222" s="25"/>
      <c r="B222" s="13" t="str">
        <f>CONCATENATE("     ","Professional Services                             ")</f>
        <v xml:space="preserve">     Professional Services                             </v>
      </c>
      <c r="C222" s="13"/>
      <c r="D222" s="1">
        <f>SUM(OSRRefD22_15x_0)</f>
        <v>1966.87</v>
      </c>
      <c r="E222" s="1"/>
      <c r="F222" s="5">
        <f t="shared" ref="F222:F232" si="86">IF(D$12=0,0,D222/D$12)</f>
        <v>4.3611197000273721E-3</v>
      </c>
      <c r="G222" s="1"/>
      <c r="H222" s="1">
        <f>SUM(OSRRefH22_15x_0)</f>
        <v>0</v>
      </c>
      <c r="I222" s="1"/>
      <c r="J222" s="5">
        <f t="shared" ref="J222:J232" si="87">IF(H$12=0,0,H222/H$12)</f>
        <v>0</v>
      </c>
      <c r="K222" s="1"/>
      <c r="L222" s="1">
        <f t="shared" ref="L222:L232" si="88">+D222-H222</f>
        <v>1966.87</v>
      </c>
      <c r="M222" s="1"/>
      <c r="N222" s="5">
        <f t="shared" ref="N222:N232" si="89">IF(H222=0,0,L222/H222)</f>
        <v>0</v>
      </c>
      <c r="O222" s="13"/>
      <c r="P222" s="1">
        <f>SUM(OSRRefP22_15x_0)</f>
        <v>1966.87</v>
      </c>
      <c r="Q222" s="1"/>
      <c r="R222" s="5">
        <f t="shared" ref="R222:R232" si="90">IF(P$12=0,0,P222/P$12)</f>
        <v>1.9164127700926437E-4</v>
      </c>
      <c r="S222" s="1"/>
      <c r="T222" s="1">
        <f>SUM(OSRRefT22_15x_0)</f>
        <v>7300</v>
      </c>
      <c r="U222" s="1"/>
      <c r="V222" s="5">
        <f t="shared" ref="V222:V232" si="91">IF(T$12=0,0,T222/T$12)</f>
        <v>4.2839938136781937E-4</v>
      </c>
      <c r="W222" s="1"/>
      <c r="X222" s="1">
        <f t="shared" ref="X222:X232" si="92">+P222-T222</f>
        <v>-5333.13</v>
      </c>
      <c r="Y222" s="1"/>
      <c r="Z222" s="5">
        <f t="shared" ref="Z222:Z232" si="93">IF(T222=0,0,X222/T222)</f>
        <v>-0.73056575342465757</v>
      </c>
    </row>
    <row r="223" spans="1:26" s="24" customFormat="1" hidden="1" outlineLevel="2" x14ac:dyDescent="0.25">
      <c r="A223" s="26"/>
      <c r="B223" s="11" t="str">
        <f>CONCATENATE("          ", "6336", " - ", "PROFESSIONAL SERVICES")</f>
        <v xml:space="preserve">          6336 - PROFESSIONAL SERVICES</v>
      </c>
      <c r="C223" s="11"/>
      <c r="D223" s="6">
        <v>1966.87</v>
      </c>
      <c r="E223" s="2"/>
      <c r="F223" s="7">
        <f t="shared" si="86"/>
        <v>4.3611197000273721E-3</v>
      </c>
      <c r="G223" s="2"/>
      <c r="H223" s="6">
        <v>0</v>
      </c>
      <c r="I223" s="2"/>
      <c r="J223" s="7">
        <f t="shared" si="87"/>
        <v>0</v>
      </c>
      <c r="K223" s="2"/>
      <c r="L223" s="6">
        <f t="shared" si="88"/>
        <v>1966.87</v>
      </c>
      <c r="M223" s="2"/>
      <c r="N223" s="7">
        <f t="shared" si="89"/>
        <v>0</v>
      </c>
      <c r="O223" s="11"/>
      <c r="P223" s="6">
        <v>1966.87</v>
      </c>
      <c r="Q223" s="2"/>
      <c r="R223" s="7">
        <f t="shared" si="90"/>
        <v>1.9164127700926437E-4</v>
      </c>
      <c r="S223" s="2"/>
      <c r="T223" s="6">
        <v>7300</v>
      </c>
      <c r="U223" s="2"/>
      <c r="V223" s="7">
        <f t="shared" si="91"/>
        <v>4.2839938136781937E-4</v>
      </c>
      <c r="W223" s="2"/>
      <c r="X223" s="6">
        <f t="shared" si="92"/>
        <v>-5333.13</v>
      </c>
      <c r="Y223" s="2"/>
      <c r="Z223" s="7">
        <f t="shared" si="93"/>
        <v>-0.73056575342465757</v>
      </c>
    </row>
    <row r="224" spans="1:26" s="27" customFormat="1" outlineLevel="1" collapsed="1" x14ac:dyDescent="0.25">
      <c r="A224" s="25"/>
      <c r="B224" s="13" t="str">
        <f>CONCATENATE("     ","R/H Commissions                                   ")</f>
        <v xml:space="preserve">     R/H Commissions                                   </v>
      </c>
      <c r="C224" s="13"/>
      <c r="D224" s="1">
        <f>SUM(OSRRefD22_16x_0)</f>
        <v>2207.92</v>
      </c>
      <c r="E224" s="1"/>
      <c r="F224" s="5">
        <f t="shared" si="86"/>
        <v>4.895597272867265E-3</v>
      </c>
      <c r="G224" s="1"/>
      <c r="H224" s="1">
        <f>SUM(OSRRefH22_16x_0)</f>
        <v>2000</v>
      </c>
      <c r="I224" s="1"/>
      <c r="J224" s="5">
        <f t="shared" si="87"/>
        <v>2.7077559607862783E-3</v>
      </c>
      <c r="K224" s="1"/>
      <c r="L224" s="1">
        <f t="shared" si="88"/>
        <v>207.92000000000007</v>
      </c>
      <c r="M224" s="1"/>
      <c r="N224" s="5">
        <f t="shared" si="89"/>
        <v>0.10396000000000004</v>
      </c>
      <c r="O224" s="13"/>
      <c r="P224" s="1">
        <f>SUM(OSRRefP22_16x_0)</f>
        <v>71608.39</v>
      </c>
      <c r="Q224" s="1"/>
      <c r="R224" s="5">
        <f t="shared" si="90"/>
        <v>6.9771379420995984E-3</v>
      </c>
      <c r="S224" s="1"/>
      <c r="T224" s="1">
        <f>SUM(OSRRefT22_16x_0)</f>
        <v>319179</v>
      </c>
      <c r="U224" s="1"/>
      <c r="V224" s="5">
        <f t="shared" si="91"/>
        <v>1.8730970704876605E-2</v>
      </c>
      <c r="W224" s="1"/>
      <c r="X224" s="1">
        <f t="shared" si="92"/>
        <v>-247570.61</v>
      </c>
      <c r="Y224" s="1"/>
      <c r="Z224" s="5">
        <f t="shared" si="93"/>
        <v>-0.77564817860824176</v>
      </c>
    </row>
    <row r="225" spans="1:26" s="24" customFormat="1" hidden="1" outlineLevel="2" x14ac:dyDescent="0.25">
      <c r="A225" s="26"/>
      <c r="B225" s="11" t="str">
        <f>CONCATENATE("          ", "6387", " - ", "COMMISSION DUE HOUSING")</f>
        <v xml:space="preserve">          6387 - COMMISSION DUE HOUSING</v>
      </c>
      <c r="C225" s="11"/>
      <c r="D225" s="6">
        <v>2207.92</v>
      </c>
      <c r="E225" s="2"/>
      <c r="F225" s="7">
        <f t="shared" si="86"/>
        <v>4.895597272867265E-3</v>
      </c>
      <c r="G225" s="2"/>
      <c r="H225" s="6">
        <v>2000</v>
      </c>
      <c r="I225" s="2"/>
      <c r="J225" s="7">
        <f t="shared" si="87"/>
        <v>2.7077559607862783E-3</v>
      </c>
      <c r="K225" s="2"/>
      <c r="L225" s="6">
        <f t="shared" si="88"/>
        <v>207.92000000000007</v>
      </c>
      <c r="M225" s="2"/>
      <c r="N225" s="7">
        <f t="shared" si="89"/>
        <v>0.10396000000000004</v>
      </c>
      <c r="O225" s="11"/>
      <c r="P225" s="6">
        <v>71608.39</v>
      </c>
      <c r="Q225" s="2"/>
      <c r="R225" s="7">
        <f t="shared" si="90"/>
        <v>6.9771379420995984E-3</v>
      </c>
      <c r="S225" s="2"/>
      <c r="T225" s="6">
        <v>319179</v>
      </c>
      <c r="U225" s="2"/>
      <c r="V225" s="7">
        <f t="shared" si="91"/>
        <v>1.8730970704876605E-2</v>
      </c>
      <c r="W225" s="2"/>
      <c r="X225" s="6">
        <f t="shared" si="92"/>
        <v>-247570.61</v>
      </c>
      <c r="Y225" s="2"/>
      <c r="Z225" s="7">
        <f t="shared" si="93"/>
        <v>-0.77564817860824176</v>
      </c>
    </row>
    <row r="226" spans="1:26" s="27" customFormat="1" outlineLevel="1" collapsed="1" x14ac:dyDescent="0.25">
      <c r="A226" s="25"/>
      <c r="B226" s="13" t="str">
        <f>CONCATENATE("     ","Rent                                              ")</f>
        <v xml:space="preserve">     Rent                                              </v>
      </c>
      <c r="C226" s="13"/>
      <c r="D226" s="1">
        <f>SUM(OSRRefD22_17x_0)</f>
        <v>14300</v>
      </c>
      <c r="E226" s="1"/>
      <c r="F226" s="5">
        <f t="shared" si="86"/>
        <v>3.1707236223233577E-2</v>
      </c>
      <c r="G226" s="1"/>
      <c r="H226" s="1">
        <f>SUM(OSRRefH22_17x_0)</f>
        <v>8843</v>
      </c>
      <c r="I226" s="1"/>
      <c r="J226" s="5">
        <f t="shared" si="87"/>
        <v>1.1972342980616529E-2</v>
      </c>
      <c r="K226" s="1"/>
      <c r="L226" s="1">
        <f t="shared" si="88"/>
        <v>5457</v>
      </c>
      <c r="M226" s="1"/>
      <c r="N226" s="5">
        <f t="shared" si="89"/>
        <v>0.61709826981793514</v>
      </c>
      <c r="O226" s="13"/>
      <c r="P226" s="1">
        <f>SUM(OSRRefP22_17x_0)</f>
        <v>105000</v>
      </c>
      <c r="Q226" s="1"/>
      <c r="R226" s="5">
        <f t="shared" si="90"/>
        <v>1.0230637554069543E-2</v>
      </c>
      <c r="S226" s="1"/>
      <c r="T226" s="1">
        <f>SUM(OSRRefT22_17x_0)</f>
        <v>106117</v>
      </c>
      <c r="U226" s="1"/>
      <c r="V226" s="5">
        <f t="shared" si="91"/>
        <v>6.2274598839190259E-3</v>
      </c>
      <c r="W226" s="1"/>
      <c r="X226" s="1">
        <f t="shared" si="92"/>
        <v>-1117</v>
      </c>
      <c r="Y226" s="1"/>
      <c r="Z226" s="5">
        <f t="shared" si="93"/>
        <v>-1.0526117398720281E-2</v>
      </c>
    </row>
    <row r="227" spans="1:26" s="24" customFormat="1" hidden="1" outlineLevel="2" x14ac:dyDescent="0.25">
      <c r="A227" s="26"/>
      <c r="B227" s="11" t="str">
        <f>CONCATENATE("          ", "6273", " - ", "RENT")</f>
        <v xml:space="preserve">          6273 - RENT</v>
      </c>
      <c r="C227" s="11"/>
      <c r="D227" s="6">
        <v>14300</v>
      </c>
      <c r="E227" s="2"/>
      <c r="F227" s="7">
        <f t="shared" si="86"/>
        <v>3.1707236223233577E-2</v>
      </c>
      <c r="G227" s="2"/>
      <c r="H227" s="6">
        <v>8843</v>
      </c>
      <c r="I227" s="2"/>
      <c r="J227" s="7">
        <f t="shared" si="87"/>
        <v>1.1972342980616529E-2</v>
      </c>
      <c r="K227" s="2"/>
      <c r="L227" s="6">
        <f t="shared" si="88"/>
        <v>5457</v>
      </c>
      <c r="M227" s="2"/>
      <c r="N227" s="7">
        <f t="shared" si="89"/>
        <v>0.61709826981793514</v>
      </c>
      <c r="O227" s="11"/>
      <c r="P227" s="6">
        <v>105000</v>
      </c>
      <c r="Q227" s="2"/>
      <c r="R227" s="7">
        <f t="shared" si="90"/>
        <v>1.0230637554069543E-2</v>
      </c>
      <c r="S227" s="2"/>
      <c r="T227" s="6">
        <v>106117</v>
      </c>
      <c r="U227" s="2"/>
      <c r="V227" s="7">
        <f t="shared" si="91"/>
        <v>6.2274598839190259E-3</v>
      </c>
      <c r="W227" s="2"/>
      <c r="X227" s="6">
        <f t="shared" si="92"/>
        <v>-1117</v>
      </c>
      <c r="Y227" s="2"/>
      <c r="Z227" s="7">
        <f t="shared" si="93"/>
        <v>-1.0526117398720281E-2</v>
      </c>
    </row>
    <row r="228" spans="1:26" s="27" customFormat="1" outlineLevel="1" collapsed="1" x14ac:dyDescent="0.25">
      <c r="A228" s="25"/>
      <c r="B228" s="13" t="str">
        <f>CONCATENATE("     ","Repair and Maintenance                            ")</f>
        <v xml:space="preserve">     Repair and Maintenance                            </v>
      </c>
      <c r="C228" s="13"/>
      <c r="D228" s="1">
        <f>SUM(OSRRefD22_18x_0)</f>
        <v>51278.09</v>
      </c>
      <c r="E228" s="1"/>
      <c r="F228" s="5">
        <f t="shared" si="86"/>
        <v>0.1136983575319043</v>
      </c>
      <c r="G228" s="1"/>
      <c r="H228" s="1">
        <f>SUM(OSRRefH22_18x_0)</f>
        <v>14253</v>
      </c>
      <c r="I228" s="1"/>
      <c r="J228" s="5">
        <f t="shared" si="87"/>
        <v>1.929682285454341E-2</v>
      </c>
      <c r="K228" s="1"/>
      <c r="L228" s="1">
        <f t="shared" si="88"/>
        <v>37025.089999999997</v>
      </c>
      <c r="M228" s="1"/>
      <c r="N228" s="5">
        <f t="shared" si="89"/>
        <v>2.5977050445520238</v>
      </c>
      <c r="O228" s="13"/>
      <c r="P228" s="1">
        <f>SUM(OSRRefP22_18x_0)</f>
        <v>431341.54</v>
      </c>
      <c r="Q228" s="1"/>
      <c r="R228" s="5">
        <f t="shared" si="90"/>
        <v>4.2027609121468468E-2</v>
      </c>
      <c r="S228" s="1"/>
      <c r="T228" s="1">
        <f>SUM(OSRRefT22_18x_0)</f>
        <v>480394</v>
      </c>
      <c r="U228" s="1"/>
      <c r="V228" s="5">
        <f t="shared" si="91"/>
        <v>2.81918482757277E-2</v>
      </c>
      <c r="W228" s="1"/>
      <c r="X228" s="1">
        <f t="shared" si="92"/>
        <v>-49052.460000000021</v>
      </c>
      <c r="Y228" s="1"/>
      <c r="Z228" s="5">
        <f t="shared" si="93"/>
        <v>-0.10210881068456314</v>
      </c>
    </row>
    <row r="229" spans="1:26" s="24" customFormat="1" hidden="1" outlineLevel="2" x14ac:dyDescent="0.25">
      <c r="A229" s="26"/>
      <c r="B229" s="11" t="str">
        <f>CONCATENATE("          ", "6371", " - ", "COMPUTER SOFTWARE MAINTENANCE")</f>
        <v xml:space="preserve">          6371 - COMPUTER SOFTWARE MAINTENANCE</v>
      </c>
      <c r="C229" s="11"/>
      <c r="D229" s="6">
        <v>33821</v>
      </c>
      <c r="E229" s="2"/>
      <c r="F229" s="7">
        <f t="shared" si="86"/>
        <v>7.4990939601816992E-2</v>
      </c>
      <c r="G229" s="2"/>
      <c r="H229" s="6"/>
      <c r="I229" s="2"/>
      <c r="J229" s="7">
        <f t="shared" si="87"/>
        <v>0</v>
      </c>
      <c r="K229" s="2"/>
      <c r="L229" s="6">
        <f t="shared" si="88"/>
        <v>33821</v>
      </c>
      <c r="M229" s="2"/>
      <c r="N229" s="7">
        <f t="shared" si="89"/>
        <v>0</v>
      </c>
      <c r="O229" s="11"/>
      <c r="P229" s="6">
        <v>130534.19</v>
      </c>
      <c r="Q229" s="2"/>
      <c r="R229" s="7">
        <f t="shared" si="90"/>
        <v>1.2718552250514752E-2</v>
      </c>
      <c r="S229" s="2"/>
      <c r="T229" s="6">
        <v>238788</v>
      </c>
      <c r="U229" s="2"/>
      <c r="V229" s="7">
        <f t="shared" si="91"/>
        <v>1.4013237188775184E-2</v>
      </c>
      <c r="W229" s="2"/>
      <c r="X229" s="6">
        <f t="shared" si="92"/>
        <v>-108253.81</v>
      </c>
      <c r="Y229" s="2"/>
      <c r="Z229" s="7">
        <f t="shared" si="93"/>
        <v>-0.45334694373251588</v>
      </c>
    </row>
    <row r="230" spans="1:26" s="24" customFormat="1" hidden="1" outlineLevel="2" x14ac:dyDescent="0.25">
      <c r="A230" s="26"/>
      <c r="B230" s="11" t="str">
        <f>CONCATENATE("          ", "6372", " - ", "COMPUTER HARDWARE MAINTENANCE")</f>
        <v xml:space="preserve">          6372 - COMPUTER HARDWARE MAINTENANCE</v>
      </c>
      <c r="C230" s="11"/>
      <c r="D230" s="6">
        <v>10.039999999999999</v>
      </c>
      <c r="E230" s="2"/>
      <c r="F230" s="7">
        <f t="shared" si="86"/>
        <v>2.2261584033654903E-5</v>
      </c>
      <c r="G230" s="2"/>
      <c r="H230" s="6">
        <v>1500</v>
      </c>
      <c r="I230" s="2"/>
      <c r="J230" s="7">
        <f t="shared" si="87"/>
        <v>2.0308169705897088E-3</v>
      </c>
      <c r="K230" s="2"/>
      <c r="L230" s="6">
        <f t="shared" si="88"/>
        <v>-1489.96</v>
      </c>
      <c r="M230" s="2"/>
      <c r="N230" s="7">
        <f t="shared" si="89"/>
        <v>-0.99330666666666667</v>
      </c>
      <c r="O230" s="11"/>
      <c r="P230" s="6">
        <v>108.89</v>
      </c>
      <c r="Q230" s="2"/>
      <c r="R230" s="7">
        <f t="shared" si="90"/>
        <v>1.0609658316786976E-5</v>
      </c>
      <c r="S230" s="2"/>
      <c r="T230" s="6">
        <v>21520</v>
      </c>
      <c r="U230" s="2"/>
      <c r="V230" s="7">
        <f t="shared" si="91"/>
        <v>1.2628979023336265E-3</v>
      </c>
      <c r="W230" s="2"/>
      <c r="X230" s="6">
        <f t="shared" si="92"/>
        <v>-21411.11</v>
      </c>
      <c r="Y230" s="2"/>
      <c r="Z230" s="7">
        <f t="shared" si="93"/>
        <v>-0.99494005576208178</v>
      </c>
    </row>
    <row r="231" spans="1:26" s="24" customFormat="1" hidden="1" outlineLevel="2" x14ac:dyDescent="0.25">
      <c r="A231" s="26"/>
      <c r="B231" s="11" t="str">
        <f>CONCATENATE("          ", "6373", " - ", "MAINTENANCE CONTRACTS")</f>
        <v xml:space="preserve">          6373 - MAINTENANCE CONTRACTS</v>
      </c>
      <c r="C231" s="11"/>
      <c r="D231" s="6">
        <v>-2025.63</v>
      </c>
      <c r="E231" s="2"/>
      <c r="F231" s="7">
        <f t="shared" si="86"/>
        <v>-4.4914076161446598E-3</v>
      </c>
      <c r="G231" s="2"/>
      <c r="H231" s="6">
        <v>3598</v>
      </c>
      <c r="I231" s="2"/>
      <c r="J231" s="7">
        <f t="shared" si="87"/>
        <v>4.8712529734545144E-3</v>
      </c>
      <c r="K231" s="2"/>
      <c r="L231" s="6">
        <f t="shared" si="88"/>
        <v>-5623.63</v>
      </c>
      <c r="M231" s="2"/>
      <c r="N231" s="7">
        <f t="shared" si="89"/>
        <v>-1.56298777098388</v>
      </c>
      <c r="O231" s="11"/>
      <c r="P231" s="6">
        <v>212946.67</v>
      </c>
      <c r="Q231" s="2"/>
      <c r="R231" s="7">
        <f t="shared" si="90"/>
        <v>2.0748382848724326E-2</v>
      </c>
      <c r="S231" s="2"/>
      <c r="T231" s="6">
        <v>89376</v>
      </c>
      <c r="U231" s="2"/>
      <c r="V231" s="7">
        <f t="shared" si="91"/>
        <v>5.2450168642644143E-3</v>
      </c>
      <c r="W231" s="2"/>
      <c r="X231" s="6">
        <f t="shared" si="92"/>
        <v>123570.67000000001</v>
      </c>
      <c r="Y231" s="2"/>
      <c r="Z231" s="7">
        <f t="shared" si="93"/>
        <v>1.382593425528106</v>
      </c>
    </row>
    <row r="232" spans="1:26" s="24" customFormat="1" hidden="1" outlineLevel="2" x14ac:dyDescent="0.25">
      <c r="A232" s="26"/>
      <c r="B232" s="11" t="str">
        <f>CONCATENATE("          ", "6375", " - ", "OUTSIDE REPAIRS &amp; MAINTENANCE")</f>
        <v xml:space="preserve">          6375 - OUTSIDE REPAIRS &amp; MAINTENANCE</v>
      </c>
      <c r="C232" s="11"/>
      <c r="D232" s="6">
        <v>19472.68</v>
      </c>
      <c r="E232" s="2"/>
      <c r="F232" s="7">
        <f t="shared" si="86"/>
        <v>4.3176563962198329E-2</v>
      </c>
      <c r="G232" s="2"/>
      <c r="H232" s="6">
        <v>9155</v>
      </c>
      <c r="I232" s="2"/>
      <c r="J232" s="7">
        <f t="shared" si="87"/>
        <v>1.2394752910499188E-2</v>
      </c>
      <c r="K232" s="2"/>
      <c r="L232" s="6">
        <f t="shared" si="88"/>
        <v>10317.68</v>
      </c>
      <c r="M232" s="2"/>
      <c r="N232" s="7">
        <f t="shared" si="89"/>
        <v>1.1269994538503549</v>
      </c>
      <c r="O232" s="11"/>
      <c r="P232" s="6">
        <v>87751.79</v>
      </c>
      <c r="Q232" s="2"/>
      <c r="R232" s="7">
        <f t="shared" si="90"/>
        <v>8.5500643639126097E-3</v>
      </c>
      <c r="S232" s="2"/>
      <c r="T232" s="6">
        <v>130710</v>
      </c>
      <c r="U232" s="2"/>
      <c r="V232" s="7">
        <f t="shared" si="91"/>
        <v>7.670696320354475E-3</v>
      </c>
      <c r="W232" s="2"/>
      <c r="X232" s="6">
        <f t="shared" si="92"/>
        <v>-42958.210000000006</v>
      </c>
      <c r="Y232" s="2"/>
      <c r="Z232" s="7">
        <f t="shared" si="93"/>
        <v>-0.32865281921811651</v>
      </c>
    </row>
    <row r="233" spans="1:26" s="27" customFormat="1" outlineLevel="1" collapsed="1" x14ac:dyDescent="0.25">
      <c r="A233" s="25"/>
      <c r="B233" s="13" t="str">
        <f>CONCATENATE("     ","Royalty &amp; Commissions                             ")</f>
        <v xml:space="preserve">     Royalty &amp; Commissions                             </v>
      </c>
      <c r="C233" s="13"/>
      <c r="D233" s="1">
        <f>SUM(OSRRefD22_19x_0)</f>
        <v>2549.25</v>
      </c>
      <c r="E233" s="1"/>
      <c r="F233" s="5">
        <f t="shared" ref="F233:F237" si="94">IF(D$12=0,0,D233/D$12)</f>
        <v>5.6524246113341401E-3</v>
      </c>
      <c r="G233" s="1"/>
      <c r="H233" s="1">
        <f>SUM(OSRRefH22_19x_0)</f>
        <v>7171</v>
      </c>
      <c r="I233" s="1"/>
      <c r="J233" s="5">
        <f t="shared" ref="J233:J237" si="95">IF(H$12=0,0,H233/H$12)</f>
        <v>9.7086589973991999E-3</v>
      </c>
      <c r="K233" s="1"/>
      <c r="L233" s="1">
        <f t="shared" ref="L233:L237" si="96">+D233-H233</f>
        <v>-4621.75</v>
      </c>
      <c r="M233" s="1"/>
      <c r="N233" s="5">
        <f t="shared" ref="N233:N237" si="97">IF(H233=0,0,L233/H233)</f>
        <v>-0.64450564774787333</v>
      </c>
      <c r="O233" s="13"/>
      <c r="P233" s="1">
        <f>SUM(OSRRefP22_19x_0)</f>
        <v>51521.88</v>
      </c>
      <c r="Q233" s="1"/>
      <c r="R233" s="5">
        <f t="shared" ref="R233:R237" si="98">IF(P$12=0,0,P233/P$12)</f>
        <v>5.0200160036596615E-3</v>
      </c>
      <c r="S233" s="1"/>
      <c r="T233" s="1">
        <f>SUM(OSRRefT22_19x_0)</f>
        <v>121722</v>
      </c>
      <c r="U233" s="1"/>
      <c r="V233" s="5">
        <f t="shared" ref="V233:V237" si="99">IF(T$12=0,0,T233/T$12)</f>
        <v>7.1432369176511927E-3</v>
      </c>
      <c r="W233" s="1"/>
      <c r="X233" s="1">
        <f t="shared" ref="X233:X237" si="100">+P233-T233</f>
        <v>-70200.12</v>
      </c>
      <c r="Y233" s="1"/>
      <c r="Z233" s="5">
        <f t="shared" ref="Z233:Z237" si="101">IF(T233=0,0,X233/T233)</f>
        <v>-0.57672499630305119</v>
      </c>
    </row>
    <row r="234" spans="1:26" s="24" customFormat="1" hidden="1" outlineLevel="2" x14ac:dyDescent="0.25">
      <c r="A234" s="26"/>
      <c r="B234" s="11" t="str">
        <f>CONCATENATE("          ", "6252", " - ", "ROYALTY DUE CSTV")</f>
        <v xml:space="preserve">          6252 - ROYALTY DUE CSTV</v>
      </c>
      <c r="C234" s="11"/>
      <c r="D234" s="6"/>
      <c r="E234" s="2"/>
      <c r="F234" s="7">
        <f t="shared" si="94"/>
        <v>0</v>
      </c>
      <c r="G234" s="2"/>
      <c r="H234" s="6">
        <v>1085</v>
      </c>
      <c r="I234" s="2"/>
      <c r="J234" s="7">
        <f t="shared" si="95"/>
        <v>1.4689576087265558E-3</v>
      </c>
      <c r="K234" s="2"/>
      <c r="L234" s="6">
        <f t="shared" si="96"/>
        <v>-1085</v>
      </c>
      <c r="M234" s="2"/>
      <c r="N234" s="7">
        <f t="shared" si="97"/>
        <v>-1</v>
      </c>
      <c r="O234" s="11"/>
      <c r="P234" s="6"/>
      <c r="Q234" s="2"/>
      <c r="R234" s="7">
        <f t="shared" si="98"/>
        <v>0</v>
      </c>
      <c r="S234" s="2"/>
      <c r="T234" s="6">
        <v>13020</v>
      </c>
      <c r="U234" s="2"/>
      <c r="V234" s="7">
        <f t="shared" si="99"/>
        <v>7.6407670485054906E-4</v>
      </c>
      <c r="W234" s="2"/>
      <c r="X234" s="6">
        <f t="shared" si="100"/>
        <v>-13020</v>
      </c>
      <c r="Y234" s="2"/>
      <c r="Z234" s="7">
        <f t="shared" si="101"/>
        <v>-1</v>
      </c>
    </row>
    <row r="235" spans="1:26" s="24" customFormat="1" hidden="1" outlineLevel="2" x14ac:dyDescent="0.25">
      <c r="A235" s="26"/>
      <c r="B235" s="11" t="str">
        <f>CONCATENATE("          ", "6253", " - ", "ROYALTY DUE ATHLETICS-LRG")</f>
        <v xml:space="preserve">          6253 - ROYALTY DUE ATHLETICS-LRG</v>
      </c>
      <c r="C235" s="11"/>
      <c r="D235" s="6"/>
      <c r="E235" s="2"/>
      <c r="F235" s="7">
        <f t="shared" si="94"/>
        <v>0</v>
      </c>
      <c r="G235" s="2"/>
      <c r="H235" s="6">
        <v>4037</v>
      </c>
      <c r="I235" s="2"/>
      <c r="J235" s="7">
        <f t="shared" si="95"/>
        <v>5.4656054068471021E-3</v>
      </c>
      <c r="K235" s="2"/>
      <c r="L235" s="6">
        <f t="shared" si="96"/>
        <v>-4037</v>
      </c>
      <c r="M235" s="2"/>
      <c r="N235" s="7">
        <f t="shared" si="97"/>
        <v>-1</v>
      </c>
      <c r="O235" s="11"/>
      <c r="P235" s="6">
        <v>35159.06</v>
      </c>
      <c r="Q235" s="2"/>
      <c r="R235" s="7">
        <f t="shared" si="98"/>
        <v>3.4257104723979452E-3</v>
      </c>
      <c r="S235" s="2"/>
      <c r="T235" s="6">
        <v>48444</v>
      </c>
      <c r="U235" s="2"/>
      <c r="V235" s="7">
        <f t="shared" si="99"/>
        <v>2.8429287165729644E-3</v>
      </c>
      <c r="W235" s="2"/>
      <c r="X235" s="6">
        <f t="shared" si="100"/>
        <v>-13284.940000000002</v>
      </c>
      <c r="Y235" s="2"/>
      <c r="Z235" s="7">
        <f t="shared" si="101"/>
        <v>-0.27423292874246558</v>
      </c>
    </row>
    <row r="236" spans="1:26" s="24" customFormat="1" hidden="1" outlineLevel="2" x14ac:dyDescent="0.25">
      <c r="A236" s="26"/>
      <c r="B236" s="11" t="str">
        <f>CONCATENATE("          ", "6254", " - ", "ROYALTY &amp; COMMISSIONS")</f>
        <v xml:space="preserve">          6254 - ROYALTY &amp; COMMISSIONS</v>
      </c>
      <c r="C236" s="11"/>
      <c r="D236" s="6"/>
      <c r="E236" s="2"/>
      <c r="F236" s="7">
        <f t="shared" si="94"/>
        <v>0</v>
      </c>
      <c r="G236" s="2"/>
      <c r="H236" s="6">
        <v>1149</v>
      </c>
      <c r="I236" s="2"/>
      <c r="J236" s="7">
        <f t="shared" si="95"/>
        <v>1.5556057994717167E-3</v>
      </c>
      <c r="K236" s="2"/>
      <c r="L236" s="6">
        <f t="shared" si="96"/>
        <v>-1149</v>
      </c>
      <c r="M236" s="2"/>
      <c r="N236" s="7">
        <f t="shared" si="97"/>
        <v>-1</v>
      </c>
      <c r="O236" s="11"/>
      <c r="P236" s="6">
        <v>185.7</v>
      </c>
      <c r="Q236" s="2"/>
      <c r="R236" s="7">
        <f t="shared" si="98"/>
        <v>1.8093613274197275E-5</v>
      </c>
      <c r="S236" s="2"/>
      <c r="T236" s="6">
        <v>13788</v>
      </c>
      <c r="U236" s="2"/>
      <c r="V236" s="7">
        <f t="shared" si="99"/>
        <v>8.091466671643142E-4</v>
      </c>
      <c r="W236" s="2"/>
      <c r="X236" s="6">
        <f t="shared" si="100"/>
        <v>-13602.3</v>
      </c>
      <c r="Y236" s="2"/>
      <c r="Z236" s="7">
        <f t="shared" si="101"/>
        <v>-0.9865317667536988</v>
      </c>
    </row>
    <row r="237" spans="1:26" s="24" customFormat="1" hidden="1" outlineLevel="2" x14ac:dyDescent="0.25">
      <c r="A237" s="26"/>
      <c r="B237" s="11" t="str">
        <f>CONCATENATE("          ", "6259", " - ", "ROYALTY &amp; COMMISSIONS")</f>
        <v xml:space="preserve">          6259 - ROYALTY &amp; COMMISSIONS</v>
      </c>
      <c r="C237" s="11"/>
      <c r="D237" s="6">
        <v>2549.25</v>
      </c>
      <c r="E237" s="2"/>
      <c r="F237" s="7">
        <f t="shared" si="94"/>
        <v>5.6524246113341401E-3</v>
      </c>
      <c r="G237" s="2"/>
      <c r="H237" s="6">
        <v>900</v>
      </c>
      <c r="I237" s="2"/>
      <c r="J237" s="7">
        <f t="shared" si="95"/>
        <v>1.2184901823538252E-3</v>
      </c>
      <c r="K237" s="2"/>
      <c r="L237" s="6">
        <f t="shared" si="96"/>
        <v>1649.25</v>
      </c>
      <c r="M237" s="2"/>
      <c r="N237" s="7">
        <f t="shared" si="97"/>
        <v>1.8325</v>
      </c>
      <c r="O237" s="11"/>
      <c r="P237" s="6">
        <v>16177.12</v>
      </c>
      <c r="Q237" s="2"/>
      <c r="R237" s="7">
        <f t="shared" si="98"/>
        <v>1.5762119179875188E-3</v>
      </c>
      <c r="S237" s="2"/>
      <c r="T237" s="6">
        <v>46470</v>
      </c>
      <c r="U237" s="2"/>
      <c r="V237" s="7">
        <f t="shared" si="99"/>
        <v>2.7270848290633651E-3</v>
      </c>
      <c r="W237" s="2"/>
      <c r="X237" s="6">
        <f t="shared" si="100"/>
        <v>-30292.879999999997</v>
      </c>
      <c r="Y237" s="2"/>
      <c r="Z237" s="7">
        <f t="shared" si="101"/>
        <v>-0.65188035291585966</v>
      </c>
    </row>
    <row r="238" spans="1:26" s="27" customFormat="1" outlineLevel="1" collapsed="1" x14ac:dyDescent="0.25">
      <c r="A238" s="25"/>
      <c r="B238" s="13" t="str">
        <f>CONCATENATE("     ","Services                                          ")</f>
        <v xml:space="preserve">     Services                                          </v>
      </c>
      <c r="C238" s="13"/>
      <c r="D238" s="1">
        <f>SUM(OSRRefD22_20x_0)</f>
        <v>17500.2</v>
      </c>
      <c r="E238" s="1"/>
      <c r="F238" s="5">
        <f t="shared" ref="F238:F243" si="102">IF(D$12=0,0,D238/D$12)</f>
        <v>3.8803005269498765E-2</v>
      </c>
      <c r="G238" s="1"/>
      <c r="H238" s="1">
        <f>SUM(OSRRefH22_20x_0)</f>
        <v>33032</v>
      </c>
      <c r="I238" s="1"/>
      <c r="J238" s="5">
        <f t="shared" ref="J238:J243" si="103">IF(H$12=0,0,H238/H$12)</f>
        <v>4.4721297448346173E-2</v>
      </c>
      <c r="K238" s="1"/>
      <c r="L238" s="1">
        <f t="shared" ref="L238:L243" si="104">+D238-H238</f>
        <v>-15531.8</v>
      </c>
      <c r="M238" s="1"/>
      <c r="N238" s="5">
        <f t="shared" ref="N238:N243" si="105">IF(H238=0,0,L238/H238)</f>
        <v>-0.47020465003632839</v>
      </c>
      <c r="O238" s="13"/>
      <c r="P238" s="1">
        <f>SUM(OSRRefP22_20x_0)</f>
        <v>258049.61</v>
      </c>
      <c r="Q238" s="1"/>
      <c r="R238" s="5">
        <f t="shared" ref="R238:R243" si="106">IF(P$12=0,0,P238/P$12)</f>
        <v>2.5142971722657136E-2</v>
      </c>
      <c r="S238" s="1"/>
      <c r="T238" s="1">
        <f>SUM(OSRRefT22_20x_0)</f>
        <v>389406</v>
      </c>
      <c r="U238" s="1"/>
      <c r="V238" s="5">
        <f t="shared" ref="V238:V243" si="107">IF(T$12=0,0,T238/T$12)</f>
        <v>2.285223143848179E-2</v>
      </c>
      <c r="W238" s="1"/>
      <c r="X238" s="1">
        <f t="shared" ref="X238:X243" si="108">+P238-T238</f>
        <v>-131356.39000000001</v>
      </c>
      <c r="Y238" s="1"/>
      <c r="Z238" s="5">
        <f t="shared" ref="Z238:Z243" si="109">IF(T238=0,0,X238/T238)</f>
        <v>-0.33732502837655304</v>
      </c>
    </row>
    <row r="239" spans="1:26" s="24" customFormat="1" hidden="1" outlineLevel="2" x14ac:dyDescent="0.25">
      <c r="A239" s="26"/>
      <c r="B239" s="11" t="str">
        <f>CONCATENATE("          ", "6282", " - ", "JANITORIAL/EXTERMINATOR EXPENS")</f>
        <v xml:space="preserve">          6282 - JANITORIAL/EXTERMINATOR EXPENS</v>
      </c>
      <c r="C239" s="11"/>
      <c r="D239" s="6">
        <v>3972.15</v>
      </c>
      <c r="E239" s="2"/>
      <c r="F239" s="7">
        <f t="shared" si="102"/>
        <v>8.8074054800082006E-3</v>
      </c>
      <c r="G239" s="2"/>
      <c r="H239" s="6">
        <v>7003</v>
      </c>
      <c r="I239" s="2"/>
      <c r="J239" s="7">
        <f t="shared" si="103"/>
        <v>9.4812074966931538E-3</v>
      </c>
      <c r="K239" s="2"/>
      <c r="L239" s="6">
        <f t="shared" si="104"/>
        <v>-3030.85</v>
      </c>
      <c r="M239" s="2"/>
      <c r="N239" s="7">
        <f t="shared" si="105"/>
        <v>-0.43279308867628158</v>
      </c>
      <c r="O239" s="11"/>
      <c r="P239" s="6">
        <v>40791.71</v>
      </c>
      <c r="Q239" s="2"/>
      <c r="R239" s="7">
        <f t="shared" si="106"/>
        <v>3.9745257163877534E-3</v>
      </c>
      <c r="S239" s="2"/>
      <c r="T239" s="6">
        <v>83220</v>
      </c>
      <c r="U239" s="2"/>
      <c r="V239" s="7">
        <f t="shared" si="107"/>
        <v>4.883752947593141E-3</v>
      </c>
      <c r="W239" s="2"/>
      <c r="X239" s="6">
        <f t="shared" si="108"/>
        <v>-42428.29</v>
      </c>
      <c r="Y239" s="2"/>
      <c r="Z239" s="7">
        <f t="shared" si="109"/>
        <v>-0.50983285267964429</v>
      </c>
    </row>
    <row r="240" spans="1:26" s="24" customFormat="1" hidden="1" outlineLevel="2" x14ac:dyDescent="0.25">
      <c r="A240" s="26"/>
      <c r="B240" s="11" t="str">
        <f>CONCATENATE("          ", "6283", " - ", "PLANT SERVICE")</f>
        <v xml:space="preserve">          6283 - PLANT SERVICE</v>
      </c>
      <c r="C240" s="11"/>
      <c r="D240" s="6"/>
      <c r="E240" s="2"/>
      <c r="F240" s="7">
        <f t="shared" si="102"/>
        <v>0</v>
      </c>
      <c r="G240" s="2"/>
      <c r="H240" s="6">
        <v>0</v>
      </c>
      <c r="I240" s="2"/>
      <c r="J240" s="7">
        <f t="shared" si="103"/>
        <v>0</v>
      </c>
      <c r="K240" s="2"/>
      <c r="L240" s="6">
        <f t="shared" si="104"/>
        <v>0</v>
      </c>
      <c r="M240" s="2"/>
      <c r="N240" s="7">
        <f t="shared" si="105"/>
        <v>0</v>
      </c>
      <c r="O240" s="11"/>
      <c r="P240" s="6">
        <v>171.31</v>
      </c>
      <c r="Q240" s="2"/>
      <c r="R240" s="7">
        <f t="shared" si="106"/>
        <v>1.6691528756072889E-5</v>
      </c>
      <c r="S240" s="2"/>
      <c r="T240" s="6">
        <v>310</v>
      </c>
      <c r="U240" s="2"/>
      <c r="V240" s="7">
        <f t="shared" si="107"/>
        <v>1.8192302496441644E-5</v>
      </c>
      <c r="W240" s="2"/>
      <c r="X240" s="6">
        <f t="shared" si="108"/>
        <v>-138.69</v>
      </c>
      <c r="Y240" s="2"/>
      <c r="Z240" s="7">
        <f t="shared" si="109"/>
        <v>-0.44738709677419353</v>
      </c>
    </row>
    <row r="241" spans="1:26" s="24" customFormat="1" hidden="1" outlineLevel="2" x14ac:dyDescent="0.25">
      <c r="A241" s="26"/>
      <c r="B241" s="11" t="str">
        <f>CONCATENATE("          ", "6284", " - ", "TRASH REMOVAL EXPENSE")</f>
        <v xml:space="preserve">          6284 - TRASH REMOVAL EXPENSE</v>
      </c>
      <c r="C241" s="11"/>
      <c r="D241" s="6">
        <v>-3907.43</v>
      </c>
      <c r="E241" s="2"/>
      <c r="F241" s="7">
        <f t="shared" si="102"/>
        <v>-8.6639025199824887E-3</v>
      </c>
      <c r="G241" s="2"/>
      <c r="H241" s="6">
        <v>4108</v>
      </c>
      <c r="I241" s="2"/>
      <c r="J241" s="7">
        <f t="shared" si="103"/>
        <v>5.5617307434550154E-3</v>
      </c>
      <c r="K241" s="2"/>
      <c r="L241" s="6">
        <f t="shared" si="104"/>
        <v>-8015.43</v>
      </c>
      <c r="M241" s="2"/>
      <c r="N241" s="7">
        <f t="shared" si="105"/>
        <v>-1.9511757546251218</v>
      </c>
      <c r="O241" s="11"/>
      <c r="P241" s="6">
        <v>30553.61</v>
      </c>
      <c r="Q241" s="2"/>
      <c r="R241" s="7">
        <f t="shared" si="106"/>
        <v>2.9769800940799497E-3</v>
      </c>
      <c r="S241" s="2"/>
      <c r="T241" s="6">
        <v>46406</v>
      </c>
      <c r="U241" s="2"/>
      <c r="V241" s="7">
        <f t="shared" si="107"/>
        <v>2.7233289988705515E-3</v>
      </c>
      <c r="W241" s="2"/>
      <c r="X241" s="6">
        <f t="shared" si="108"/>
        <v>-15852.39</v>
      </c>
      <c r="Y241" s="2"/>
      <c r="Z241" s="7">
        <f t="shared" si="109"/>
        <v>-0.34160216351333877</v>
      </c>
    </row>
    <row r="242" spans="1:26" s="24" customFormat="1" hidden="1" outlineLevel="2" x14ac:dyDescent="0.25">
      <c r="A242" s="26"/>
      <c r="B242" s="11" t="str">
        <f>CONCATENATE("          ", "6285", " - ", "JANITORIAL SERVICES")</f>
        <v xml:space="preserve">          6285 - JANITORIAL SERVICES</v>
      </c>
      <c r="C242" s="11"/>
      <c r="D242" s="6">
        <v>16146.46</v>
      </c>
      <c r="E242" s="2"/>
      <c r="F242" s="7">
        <f t="shared" si="102"/>
        <v>3.5801372125104342E-2</v>
      </c>
      <c r="G242" s="2"/>
      <c r="H242" s="6">
        <v>17317</v>
      </c>
      <c r="I242" s="2"/>
      <c r="J242" s="7">
        <f t="shared" si="103"/>
        <v>2.3445104986467988E-2</v>
      </c>
      <c r="K242" s="2"/>
      <c r="L242" s="6">
        <f t="shared" si="104"/>
        <v>-1170.5400000000009</v>
      </c>
      <c r="M242" s="2"/>
      <c r="N242" s="7">
        <f t="shared" si="105"/>
        <v>-6.7594848992319739E-2</v>
      </c>
      <c r="O242" s="11"/>
      <c r="P242" s="6">
        <v>168536.59</v>
      </c>
      <c r="Q242" s="2"/>
      <c r="R242" s="7">
        <f t="shared" si="106"/>
        <v>1.6421302541798296E-2</v>
      </c>
      <c r="S242" s="2"/>
      <c r="T242" s="6">
        <v>204229</v>
      </c>
      <c r="U242" s="2"/>
      <c r="V242" s="7">
        <f t="shared" si="107"/>
        <v>1.1985147569502518E-2</v>
      </c>
      <c r="W242" s="2"/>
      <c r="X242" s="6">
        <f t="shared" si="108"/>
        <v>-35692.410000000003</v>
      </c>
      <c r="Y242" s="2"/>
      <c r="Z242" s="7">
        <f t="shared" si="109"/>
        <v>-0.17476661003089672</v>
      </c>
    </row>
    <row r="243" spans="1:26" s="24" customFormat="1" hidden="1" outlineLevel="2" x14ac:dyDescent="0.25">
      <c r="A243" s="26"/>
      <c r="B243" s="11" t="str">
        <f>CONCATENATE("          ", "6286", " - ", "LAUNDRY EXPENSE")</f>
        <v xml:space="preserve">          6286 - LAUNDRY EXPENSE</v>
      </c>
      <c r="C243" s="11"/>
      <c r="D243" s="6">
        <v>1289.02</v>
      </c>
      <c r="E243" s="2"/>
      <c r="F243" s="7">
        <f t="shared" si="102"/>
        <v>2.8581301843687095E-3</v>
      </c>
      <c r="G243" s="2"/>
      <c r="H243" s="6">
        <v>4604</v>
      </c>
      <c r="I243" s="2"/>
      <c r="J243" s="7">
        <f t="shared" si="103"/>
        <v>6.2332542217300125E-3</v>
      </c>
      <c r="K243" s="2"/>
      <c r="L243" s="6">
        <f t="shared" si="104"/>
        <v>-3314.98</v>
      </c>
      <c r="M243" s="2"/>
      <c r="N243" s="7">
        <f t="shared" si="105"/>
        <v>-0.72002172024326672</v>
      </c>
      <c r="O243" s="11"/>
      <c r="P243" s="6">
        <v>17996.39</v>
      </c>
      <c r="Q243" s="2"/>
      <c r="R243" s="7">
        <f t="shared" si="106"/>
        <v>1.7534718416350626E-3</v>
      </c>
      <c r="S243" s="2"/>
      <c r="T243" s="6">
        <v>55241</v>
      </c>
      <c r="U243" s="2"/>
      <c r="V243" s="7">
        <f t="shared" si="107"/>
        <v>3.2418096200191385E-3</v>
      </c>
      <c r="W243" s="2"/>
      <c r="X243" s="6">
        <f t="shared" si="108"/>
        <v>-37244.61</v>
      </c>
      <c r="Y243" s="2"/>
      <c r="Z243" s="7">
        <f t="shared" si="109"/>
        <v>-0.67422041599536575</v>
      </c>
    </row>
    <row r="244" spans="1:26" s="27" customFormat="1" outlineLevel="1" collapsed="1" x14ac:dyDescent="0.25">
      <c r="A244" s="25"/>
      <c r="B244" s="13" t="str">
        <f>CONCATENATE("     ","Subscriptions &amp; Dues                              ")</f>
        <v xml:space="preserve">     Subscriptions &amp; Dues                              </v>
      </c>
      <c r="C244" s="13"/>
      <c r="D244" s="1">
        <f>SUM(OSRRefD22_21x_0)</f>
        <v>824.67</v>
      </c>
      <c r="E244" s="1"/>
      <c r="F244" s="5">
        <f t="shared" ref="F244:F246" si="110">IF(D$12=0,0,D244/D$12)</f>
        <v>1.8285319228121702E-3</v>
      </c>
      <c r="G244" s="1"/>
      <c r="H244" s="1">
        <f>SUM(OSRRefH22_21x_0)</f>
        <v>1676</v>
      </c>
      <c r="I244" s="1"/>
      <c r="J244" s="5">
        <f t="shared" ref="J244:J246" si="111">IF(H$12=0,0,H244/H$12)</f>
        <v>2.2690994951389009E-3</v>
      </c>
      <c r="K244" s="1"/>
      <c r="L244" s="1">
        <f t="shared" ref="L244:L246" si="112">+D244-H244</f>
        <v>-851.33</v>
      </c>
      <c r="M244" s="1"/>
      <c r="N244" s="5">
        <f t="shared" ref="N244:N246" si="113">IF(H244=0,0,L244/H244)</f>
        <v>-0.50795346062052504</v>
      </c>
      <c r="O244" s="13"/>
      <c r="P244" s="1">
        <f>SUM(OSRRefP22_21x_0)</f>
        <v>10099.27</v>
      </c>
      <c r="Q244" s="1"/>
      <c r="R244" s="5">
        <f t="shared" ref="R244:R246" si="114">IF(P$12=0,0,P244/P$12)</f>
        <v>9.8401877076845635E-4</v>
      </c>
      <c r="S244" s="1"/>
      <c r="T244" s="1">
        <f>SUM(OSRRefT22_21x_0)</f>
        <v>22838</v>
      </c>
      <c r="U244" s="1"/>
      <c r="V244" s="5">
        <f t="shared" ref="V244:V246" si="115">IF(T$12=0,0,T244/T$12)</f>
        <v>1.3402445303668847E-3</v>
      </c>
      <c r="W244" s="1"/>
      <c r="X244" s="1">
        <f t="shared" ref="X244:X246" si="116">+P244-T244</f>
        <v>-12738.73</v>
      </c>
      <c r="Y244" s="1"/>
      <c r="Z244" s="5">
        <f t="shared" ref="Z244:Z246" si="117">IF(T244=0,0,X244/T244)</f>
        <v>-0.55778658376390222</v>
      </c>
    </row>
    <row r="245" spans="1:26" s="24" customFormat="1" hidden="1" outlineLevel="2" x14ac:dyDescent="0.25">
      <c r="A245" s="26"/>
      <c r="B245" s="11" t="str">
        <f>CONCATENATE("          ", "6258", " - ", "MEMBERSHIP DUES")</f>
        <v xml:space="preserve">          6258 - MEMBERSHIP DUES</v>
      </c>
      <c r="C245" s="11"/>
      <c r="D245" s="6">
        <v>609</v>
      </c>
      <c r="E245" s="2"/>
      <c r="F245" s="7">
        <f t="shared" si="110"/>
        <v>1.350329151045402E-3</v>
      </c>
      <c r="G245" s="2"/>
      <c r="H245" s="6">
        <v>1300</v>
      </c>
      <c r="I245" s="2"/>
      <c r="J245" s="7">
        <f t="shared" si="111"/>
        <v>1.7600413745110807E-3</v>
      </c>
      <c r="K245" s="2"/>
      <c r="L245" s="6">
        <f t="shared" si="112"/>
        <v>-691</v>
      </c>
      <c r="M245" s="2"/>
      <c r="N245" s="7">
        <f t="shared" si="113"/>
        <v>-0.53153846153846152</v>
      </c>
      <c r="O245" s="11"/>
      <c r="P245" s="6">
        <v>4450.45</v>
      </c>
      <c r="Q245" s="2"/>
      <c r="R245" s="7">
        <f t="shared" si="114"/>
        <v>4.3362800859532186E-4</v>
      </c>
      <c r="S245" s="2"/>
      <c r="T245" s="6">
        <v>16545</v>
      </c>
      <c r="U245" s="2"/>
      <c r="V245" s="7">
        <f t="shared" si="115"/>
        <v>9.7094078968911932E-4</v>
      </c>
      <c r="W245" s="2"/>
      <c r="X245" s="6">
        <f t="shared" si="116"/>
        <v>-12094.55</v>
      </c>
      <c r="Y245" s="2"/>
      <c r="Z245" s="7">
        <f t="shared" si="117"/>
        <v>-0.73100936838924147</v>
      </c>
    </row>
    <row r="246" spans="1:26" s="24" customFormat="1" hidden="1" outlineLevel="2" x14ac:dyDescent="0.25">
      <c r="A246" s="26"/>
      <c r="B246" s="11" t="str">
        <f>CONCATENATE("          ", "6275", " - ", "SUBSCRIPTIONS")</f>
        <v xml:space="preserve">          6275 - SUBSCRIPTIONS</v>
      </c>
      <c r="C246" s="11"/>
      <c r="D246" s="6">
        <v>215.67</v>
      </c>
      <c r="E246" s="2"/>
      <c r="F246" s="7">
        <f t="shared" si="110"/>
        <v>4.7820277176676822E-4</v>
      </c>
      <c r="G246" s="2"/>
      <c r="H246" s="6">
        <v>376</v>
      </c>
      <c r="I246" s="2"/>
      <c r="J246" s="7">
        <f t="shared" si="111"/>
        <v>5.0905812062782029E-4</v>
      </c>
      <c r="K246" s="2"/>
      <c r="L246" s="6">
        <f t="shared" si="112"/>
        <v>-160.33000000000001</v>
      </c>
      <c r="M246" s="2"/>
      <c r="N246" s="7">
        <f t="shared" si="113"/>
        <v>-0.42640957446808514</v>
      </c>
      <c r="O246" s="11"/>
      <c r="P246" s="6">
        <v>5648.82</v>
      </c>
      <c r="Q246" s="2"/>
      <c r="R246" s="7">
        <f t="shared" si="114"/>
        <v>5.5039076217313439E-4</v>
      </c>
      <c r="S246" s="2"/>
      <c r="T246" s="6">
        <v>6293</v>
      </c>
      <c r="U246" s="2"/>
      <c r="V246" s="7">
        <f t="shared" si="115"/>
        <v>3.693037406777654E-4</v>
      </c>
      <c r="W246" s="2"/>
      <c r="X246" s="6">
        <f t="shared" si="116"/>
        <v>-644.18000000000029</v>
      </c>
      <c r="Y246" s="2"/>
      <c r="Z246" s="7">
        <f t="shared" si="117"/>
        <v>-0.10236453201970448</v>
      </c>
    </row>
    <row r="247" spans="1:26" s="27" customFormat="1" outlineLevel="1" collapsed="1" x14ac:dyDescent="0.25">
      <c r="A247" s="25"/>
      <c r="B247" s="13" t="str">
        <f>CONCATENATE("     ","Supplies                                          ")</f>
        <v xml:space="preserve">     Supplies                                          </v>
      </c>
      <c r="C247" s="13"/>
      <c r="D247" s="1">
        <f>SUM(OSRRefD22_22x_0)</f>
        <v>33025.360000000001</v>
      </c>
      <c r="E247" s="1"/>
      <c r="F247" s="5">
        <f t="shared" ref="F247:F258" si="118">IF(D$12=0,0,D247/D$12)</f>
        <v>7.3226775585827228E-2</v>
      </c>
      <c r="G247" s="1"/>
      <c r="H247" s="1">
        <f>SUM(OSRRefH22_22x_0)</f>
        <v>29965</v>
      </c>
      <c r="I247" s="1"/>
      <c r="J247" s="5">
        <f t="shared" ref="J247:J258" si="119">IF(H$12=0,0,H247/H$12)</f>
        <v>4.056895368248041E-2</v>
      </c>
      <c r="K247" s="1"/>
      <c r="L247" s="1">
        <f t="shared" ref="L247:L258" si="120">+D247-H247</f>
        <v>3060.3600000000006</v>
      </c>
      <c r="M247" s="1"/>
      <c r="N247" s="5">
        <f t="shared" ref="N247:N258" si="121">IF(H247=0,0,L247/H247)</f>
        <v>0.10213115301184718</v>
      </c>
      <c r="O247" s="13"/>
      <c r="P247" s="1">
        <f>SUM(OSRRefP22_22x_0)</f>
        <v>331387.23</v>
      </c>
      <c r="Q247" s="1"/>
      <c r="R247" s="5">
        <f t="shared" ref="R247:R258" si="122">IF(P$12=0,0,P247/P$12)</f>
        <v>3.2288596573115051E-2</v>
      </c>
      <c r="S247" s="1"/>
      <c r="T247" s="1">
        <f>SUM(OSRRefT22_22x_0)</f>
        <v>592968</v>
      </c>
      <c r="U247" s="1"/>
      <c r="V247" s="5">
        <f t="shared" ref="V247:V258" si="123">IF(T$12=0,0,T247/T$12)</f>
        <v>3.4798236215193575E-2</v>
      </c>
      <c r="W247" s="1"/>
      <c r="X247" s="1">
        <f t="shared" ref="X247:X258" si="124">+P247-T247</f>
        <v>-261580.77000000002</v>
      </c>
      <c r="Y247" s="1"/>
      <c r="Z247" s="5">
        <f t="shared" ref="Z247:Z258" si="125">IF(T247=0,0,X247/T247)</f>
        <v>-0.44113808839600116</v>
      </c>
    </row>
    <row r="248" spans="1:26" s="24" customFormat="1" hidden="1" outlineLevel="2" x14ac:dyDescent="0.25">
      <c r="A248" s="26"/>
      <c r="B248" s="11" t="str">
        <f>CONCATENATE("          ", "6234", " - ", "EXPENDABLE SUPPLIES &amp; EQUIPMEN")</f>
        <v xml:space="preserve">          6234 - EXPENDABLE SUPPLIES &amp; EQUIPMEN</v>
      </c>
      <c r="C248" s="11"/>
      <c r="D248" s="6">
        <v>-1048.8</v>
      </c>
      <c r="E248" s="2"/>
      <c r="F248" s="7">
        <f t="shared" si="118"/>
        <v>-2.3254929616033132E-3</v>
      </c>
      <c r="G248" s="2"/>
      <c r="H248" s="6">
        <v>7250</v>
      </c>
      <c r="I248" s="2"/>
      <c r="J248" s="7">
        <f t="shared" si="119"/>
        <v>9.8156153578502579E-3</v>
      </c>
      <c r="K248" s="2"/>
      <c r="L248" s="6">
        <f t="shared" si="120"/>
        <v>-8298.7999999999993</v>
      </c>
      <c r="M248" s="2"/>
      <c r="N248" s="7">
        <f t="shared" si="121"/>
        <v>-1.1446620689655171</v>
      </c>
      <c r="O248" s="11"/>
      <c r="P248" s="6">
        <v>1338.68</v>
      </c>
      <c r="Q248" s="2"/>
      <c r="R248" s="7">
        <f t="shared" si="122"/>
        <v>1.3043380838935063E-4</v>
      </c>
      <c r="S248" s="2"/>
      <c r="T248" s="6">
        <v>88104</v>
      </c>
      <c r="U248" s="2"/>
      <c r="V248" s="7">
        <f t="shared" si="123"/>
        <v>5.1703697391822408E-3</v>
      </c>
      <c r="W248" s="2"/>
      <c r="X248" s="6">
        <f t="shared" si="124"/>
        <v>-86765.32</v>
      </c>
      <c r="Y248" s="2"/>
      <c r="Z248" s="7">
        <f t="shared" si="125"/>
        <v>-0.98480568419141024</v>
      </c>
    </row>
    <row r="249" spans="1:26" s="24" customFormat="1" hidden="1" outlineLevel="2" x14ac:dyDescent="0.25">
      <c r="A249" s="26"/>
      <c r="B249" s="11" t="str">
        <f>CONCATENATE("          ", "6235", " - ", "COVID-19 EXPENSES")</f>
        <v xml:space="preserve">          6235 - COVID-19 EXPENSES</v>
      </c>
      <c r="C249" s="11"/>
      <c r="D249" s="6">
        <v>957.91</v>
      </c>
      <c r="E249" s="2"/>
      <c r="F249" s="7">
        <f t="shared" si="118"/>
        <v>2.1239635419998374E-3</v>
      </c>
      <c r="G249" s="2"/>
      <c r="H249" s="6">
        <v>8000</v>
      </c>
      <c r="I249" s="2"/>
      <c r="J249" s="7">
        <f t="shared" si="119"/>
        <v>1.0831023843145113E-2</v>
      </c>
      <c r="K249" s="2"/>
      <c r="L249" s="6">
        <f t="shared" si="120"/>
        <v>-7042.09</v>
      </c>
      <c r="M249" s="2"/>
      <c r="N249" s="7">
        <f t="shared" si="121"/>
        <v>-0.88026125</v>
      </c>
      <c r="O249" s="11"/>
      <c r="P249" s="6">
        <v>112190.62</v>
      </c>
      <c r="Q249" s="2"/>
      <c r="R249" s="7">
        <f t="shared" si="122"/>
        <v>1.0931253049393765E-2</v>
      </c>
      <c r="S249" s="2"/>
      <c r="T249" s="6">
        <v>205100</v>
      </c>
      <c r="U249" s="2"/>
      <c r="V249" s="7">
        <f t="shared" si="123"/>
        <v>1.2036262071032843E-2</v>
      </c>
      <c r="W249" s="2"/>
      <c r="X249" s="6">
        <f t="shared" si="124"/>
        <v>-92909.38</v>
      </c>
      <c r="Y249" s="2"/>
      <c r="Z249" s="7">
        <f t="shared" si="125"/>
        <v>-0.45299551438322772</v>
      </c>
    </row>
    <row r="250" spans="1:26" s="24" customFormat="1" hidden="1" outlineLevel="2" x14ac:dyDescent="0.25">
      <c r="A250" s="26"/>
      <c r="B250" s="11" t="str">
        <f>CONCATENATE("          ", "6237", " - ", "JANITORIAL SUPPLIES")</f>
        <v xml:space="preserve">          6237 - JANITORIAL SUPPLIES</v>
      </c>
      <c r="C250" s="11"/>
      <c r="D250" s="6">
        <v>2590.06</v>
      </c>
      <c r="E250" s="2"/>
      <c r="F250" s="7">
        <f t="shared" si="118"/>
        <v>5.7429121854789067E-3</v>
      </c>
      <c r="G250" s="2"/>
      <c r="H250" s="6">
        <v>4770</v>
      </c>
      <c r="I250" s="2"/>
      <c r="J250" s="7">
        <f t="shared" si="119"/>
        <v>6.4579979664752731E-3</v>
      </c>
      <c r="K250" s="2"/>
      <c r="L250" s="6">
        <f t="shared" si="120"/>
        <v>-2179.94</v>
      </c>
      <c r="M250" s="2"/>
      <c r="N250" s="7">
        <f t="shared" si="121"/>
        <v>-0.4570104821802935</v>
      </c>
      <c r="O250" s="11"/>
      <c r="P250" s="6">
        <v>30283.55</v>
      </c>
      <c r="Q250" s="2"/>
      <c r="R250" s="7">
        <f t="shared" si="122"/>
        <v>2.9506668942908825E-3</v>
      </c>
      <c r="S250" s="2"/>
      <c r="T250" s="6">
        <v>113893</v>
      </c>
      <c r="U250" s="2"/>
      <c r="V250" s="7">
        <f t="shared" si="123"/>
        <v>6.6837932523458972E-3</v>
      </c>
      <c r="W250" s="2"/>
      <c r="X250" s="6">
        <f t="shared" si="124"/>
        <v>-83609.45</v>
      </c>
      <c r="Y250" s="2"/>
      <c r="Z250" s="7">
        <f t="shared" si="125"/>
        <v>-0.73410525668829518</v>
      </c>
    </row>
    <row r="251" spans="1:26" s="24" customFormat="1" hidden="1" outlineLevel="2" x14ac:dyDescent="0.25">
      <c r="A251" s="26"/>
      <c r="B251" s="11" t="str">
        <f>CONCATENATE("          ", "6239", " - ", "KITCHEN SUPPLIES")</f>
        <v xml:space="preserve">          6239 - KITCHEN SUPPLIES</v>
      </c>
      <c r="C251" s="11"/>
      <c r="D251" s="6">
        <v>7752.64</v>
      </c>
      <c r="E251" s="2"/>
      <c r="F251" s="7">
        <f t="shared" si="118"/>
        <v>1.7189845303055215E-2</v>
      </c>
      <c r="G251" s="2"/>
      <c r="H251" s="6">
        <v>1550</v>
      </c>
      <c r="I251" s="2"/>
      <c r="J251" s="7">
        <f t="shared" si="119"/>
        <v>2.0985108696093655E-3</v>
      </c>
      <c r="K251" s="2"/>
      <c r="L251" s="6">
        <f t="shared" si="120"/>
        <v>6202.64</v>
      </c>
      <c r="M251" s="2"/>
      <c r="N251" s="7">
        <f t="shared" si="121"/>
        <v>4.0017032258064518</v>
      </c>
      <c r="O251" s="11"/>
      <c r="P251" s="6">
        <v>15638.74</v>
      </c>
      <c r="Q251" s="2"/>
      <c r="R251" s="7">
        <f t="shared" si="122"/>
        <v>1.5237550546888525E-3</v>
      </c>
      <c r="S251" s="2"/>
      <c r="T251" s="6">
        <v>26543</v>
      </c>
      <c r="U251" s="2"/>
      <c r="V251" s="7">
        <f t="shared" si="123"/>
        <v>1.5576718876227438E-3</v>
      </c>
      <c r="W251" s="2"/>
      <c r="X251" s="6">
        <f t="shared" si="124"/>
        <v>-10904.26</v>
      </c>
      <c r="Y251" s="2"/>
      <c r="Z251" s="7">
        <f t="shared" si="125"/>
        <v>-0.41081490411784655</v>
      </c>
    </row>
    <row r="252" spans="1:26" s="24" customFormat="1" hidden="1" outlineLevel="2" x14ac:dyDescent="0.25">
      <c r="A252" s="26"/>
      <c r="B252" s="11" t="str">
        <f>CONCATENATE("          ", "6241", " - ", "OFFICE EXPENSE")</f>
        <v xml:space="preserve">          6241 - OFFICE EXPENSE</v>
      </c>
      <c r="C252" s="11"/>
      <c r="D252" s="6">
        <v>6595.91</v>
      </c>
      <c r="E252" s="2"/>
      <c r="F252" s="7">
        <f t="shared" si="118"/>
        <v>1.4625040313090112E-2</v>
      </c>
      <c r="G252" s="2"/>
      <c r="H252" s="6">
        <v>1160</v>
      </c>
      <c r="I252" s="2"/>
      <c r="J252" s="7">
        <f t="shared" si="119"/>
        <v>1.5704984572560414E-3</v>
      </c>
      <c r="K252" s="2"/>
      <c r="L252" s="6">
        <f t="shared" si="120"/>
        <v>5435.91</v>
      </c>
      <c r="M252" s="2"/>
      <c r="N252" s="7">
        <f t="shared" si="121"/>
        <v>4.6861293103448274</v>
      </c>
      <c r="O252" s="11"/>
      <c r="P252" s="6">
        <v>49147.1</v>
      </c>
      <c r="Q252" s="2"/>
      <c r="R252" s="7">
        <f t="shared" si="122"/>
        <v>4.7886301612724879E-3</v>
      </c>
      <c r="S252" s="2"/>
      <c r="T252" s="6">
        <v>24732</v>
      </c>
      <c r="U252" s="2"/>
      <c r="V252" s="7">
        <f t="shared" si="123"/>
        <v>1.4513936301354669E-3</v>
      </c>
      <c r="W252" s="2"/>
      <c r="X252" s="6">
        <f t="shared" si="124"/>
        <v>24415.1</v>
      </c>
      <c r="Y252" s="2"/>
      <c r="Z252" s="7">
        <f t="shared" si="125"/>
        <v>0.98718664078926077</v>
      </c>
    </row>
    <row r="253" spans="1:26" s="24" customFormat="1" hidden="1" outlineLevel="2" x14ac:dyDescent="0.25">
      <c r="A253" s="26"/>
      <c r="B253" s="11" t="str">
        <f>CONCATENATE("          ", "6243", " - ", "PAPER SUPPLIES")</f>
        <v xml:space="preserve">          6243 - PAPER SUPPLIES</v>
      </c>
      <c r="C253" s="11"/>
      <c r="D253" s="6">
        <v>5033.67</v>
      </c>
      <c r="E253" s="2"/>
      <c r="F253" s="7">
        <f t="shared" si="118"/>
        <v>1.1161102360825468E-2</v>
      </c>
      <c r="G253" s="2"/>
      <c r="H253" s="6">
        <v>1850</v>
      </c>
      <c r="I253" s="2"/>
      <c r="J253" s="7">
        <f t="shared" si="119"/>
        <v>2.5046742637273075E-3</v>
      </c>
      <c r="K253" s="2"/>
      <c r="L253" s="6">
        <f t="shared" si="120"/>
        <v>3183.67</v>
      </c>
      <c r="M253" s="2"/>
      <c r="N253" s="7">
        <f t="shared" si="121"/>
        <v>1.7209027027027028</v>
      </c>
      <c r="O253" s="11"/>
      <c r="P253" s="6">
        <v>50690.45</v>
      </c>
      <c r="Q253" s="2"/>
      <c r="R253" s="7">
        <f t="shared" si="122"/>
        <v>4.939005918120804E-3</v>
      </c>
      <c r="S253" s="2"/>
      <c r="T253" s="6">
        <v>42126</v>
      </c>
      <c r="U253" s="2"/>
      <c r="V253" s="7">
        <f t="shared" si="123"/>
        <v>2.4721578547261315E-3</v>
      </c>
      <c r="W253" s="2"/>
      <c r="X253" s="6">
        <f t="shared" si="124"/>
        <v>8564.4499999999971</v>
      </c>
      <c r="Y253" s="2"/>
      <c r="Z253" s="7">
        <f t="shared" si="125"/>
        <v>0.20330555951194029</v>
      </c>
    </row>
    <row r="254" spans="1:26" s="24" customFormat="1" hidden="1" outlineLevel="2" x14ac:dyDescent="0.25">
      <c r="A254" s="26"/>
      <c r="B254" s="11" t="str">
        <f>CONCATENATE("          ", "6244", " - ", "SAFETY SUPPLY EXPENSE")</f>
        <v xml:space="preserve">          6244 - SAFETY SUPPLY EXPENSE</v>
      </c>
      <c r="C254" s="11"/>
      <c r="D254" s="6"/>
      <c r="E254" s="2"/>
      <c r="F254" s="7">
        <f t="shared" si="118"/>
        <v>0</v>
      </c>
      <c r="G254" s="2"/>
      <c r="H254" s="6">
        <v>100</v>
      </c>
      <c r="I254" s="2"/>
      <c r="J254" s="7">
        <f t="shared" si="119"/>
        <v>1.3538779803931391E-4</v>
      </c>
      <c r="K254" s="2"/>
      <c r="L254" s="6">
        <f t="shared" si="120"/>
        <v>-100</v>
      </c>
      <c r="M254" s="2"/>
      <c r="N254" s="7">
        <f t="shared" si="121"/>
        <v>-1</v>
      </c>
      <c r="O254" s="11"/>
      <c r="P254" s="6"/>
      <c r="Q254" s="2"/>
      <c r="R254" s="7">
        <f t="shared" si="122"/>
        <v>0</v>
      </c>
      <c r="S254" s="2"/>
      <c r="T254" s="6">
        <v>1680</v>
      </c>
      <c r="U254" s="2"/>
      <c r="V254" s="7">
        <f t="shared" si="123"/>
        <v>9.8590542561361171E-5</v>
      </c>
      <c r="W254" s="2"/>
      <c r="X254" s="6">
        <f t="shared" si="124"/>
        <v>-1680</v>
      </c>
      <c r="Y254" s="2"/>
      <c r="Z254" s="7">
        <f t="shared" si="125"/>
        <v>-1</v>
      </c>
    </row>
    <row r="255" spans="1:26" s="24" customFormat="1" hidden="1" outlineLevel="2" x14ac:dyDescent="0.25">
      <c r="A255" s="26"/>
      <c r="B255" s="11" t="str">
        <f>CONCATENATE("          ", "6245", " - ", "PRINTING")</f>
        <v xml:space="preserve">          6245 - PRINTING</v>
      </c>
      <c r="C255" s="11"/>
      <c r="D255" s="6">
        <v>2921.89</v>
      </c>
      <c r="E255" s="2"/>
      <c r="F255" s="7">
        <f t="shared" si="118"/>
        <v>6.4786752761051723E-3</v>
      </c>
      <c r="G255" s="2"/>
      <c r="H255" s="6">
        <v>500</v>
      </c>
      <c r="I255" s="2"/>
      <c r="J255" s="7">
        <f t="shared" si="119"/>
        <v>6.7693899019656957E-4</v>
      </c>
      <c r="K255" s="2"/>
      <c r="L255" s="6">
        <f t="shared" si="120"/>
        <v>2421.89</v>
      </c>
      <c r="M255" s="2"/>
      <c r="N255" s="7">
        <f t="shared" si="121"/>
        <v>4.8437799999999998</v>
      </c>
      <c r="O255" s="11"/>
      <c r="P255" s="6">
        <v>12006.27</v>
      </c>
      <c r="Q255" s="2"/>
      <c r="R255" s="7">
        <f t="shared" si="122"/>
        <v>1.1698266356790336E-3</v>
      </c>
      <c r="S255" s="2"/>
      <c r="T255" s="6">
        <v>8500</v>
      </c>
      <c r="U255" s="2"/>
      <c r="V255" s="7">
        <f t="shared" si="123"/>
        <v>4.988211974830773E-4</v>
      </c>
      <c r="W255" s="2"/>
      <c r="X255" s="6">
        <f t="shared" si="124"/>
        <v>3506.2700000000004</v>
      </c>
      <c r="Y255" s="2"/>
      <c r="Z255" s="7">
        <f t="shared" si="125"/>
        <v>0.41250235294117654</v>
      </c>
    </row>
    <row r="256" spans="1:26" s="24" customFormat="1" hidden="1" outlineLevel="2" x14ac:dyDescent="0.25">
      <c r="A256" s="26"/>
      <c r="B256" s="11" t="str">
        <f>CONCATENATE("          ", "6246", " - ", "REPLACEMENTS")</f>
        <v xml:space="preserve">          6246 - REPLACEMENTS</v>
      </c>
      <c r="C256" s="11"/>
      <c r="D256" s="6"/>
      <c r="E256" s="2"/>
      <c r="F256" s="7">
        <f t="shared" si="118"/>
        <v>0</v>
      </c>
      <c r="G256" s="2"/>
      <c r="H256" s="6">
        <v>0</v>
      </c>
      <c r="I256" s="2"/>
      <c r="J256" s="7">
        <f t="shared" si="119"/>
        <v>0</v>
      </c>
      <c r="K256" s="2"/>
      <c r="L256" s="6">
        <f t="shared" si="120"/>
        <v>0</v>
      </c>
      <c r="M256" s="2"/>
      <c r="N256" s="7">
        <f t="shared" si="121"/>
        <v>0</v>
      </c>
      <c r="O256" s="11"/>
      <c r="P256" s="6"/>
      <c r="Q256" s="2"/>
      <c r="R256" s="7">
        <f t="shared" si="122"/>
        <v>0</v>
      </c>
      <c r="S256" s="2"/>
      <c r="T256" s="6">
        <v>0</v>
      </c>
      <c r="U256" s="2"/>
      <c r="V256" s="7">
        <f t="shared" si="123"/>
        <v>0</v>
      </c>
      <c r="W256" s="2"/>
      <c r="X256" s="6">
        <f t="shared" si="124"/>
        <v>0</v>
      </c>
      <c r="Y256" s="2"/>
      <c r="Z256" s="7">
        <f t="shared" si="125"/>
        <v>0</v>
      </c>
    </row>
    <row r="257" spans="1:26" s="24" customFormat="1" hidden="1" outlineLevel="2" x14ac:dyDescent="0.25">
      <c r="A257" s="26"/>
      <c r="B257" s="11" t="str">
        <f>CONCATENATE("          ", "6247", " - ", "STORE SUPPLIES")</f>
        <v xml:space="preserve">          6247 - STORE SUPPLIES</v>
      </c>
      <c r="C257" s="11"/>
      <c r="D257" s="6">
        <v>8222.08</v>
      </c>
      <c r="E257" s="2"/>
      <c r="F257" s="7">
        <f t="shared" si="118"/>
        <v>1.8230729566875829E-2</v>
      </c>
      <c r="G257" s="2"/>
      <c r="H257" s="6">
        <v>3285</v>
      </c>
      <c r="I257" s="2"/>
      <c r="J257" s="7">
        <f t="shared" si="119"/>
        <v>4.4474891655914622E-3</v>
      </c>
      <c r="K257" s="2"/>
      <c r="L257" s="6">
        <f t="shared" si="120"/>
        <v>4937.08</v>
      </c>
      <c r="M257" s="2"/>
      <c r="N257" s="7">
        <f t="shared" si="121"/>
        <v>1.5029162861491629</v>
      </c>
      <c r="O257" s="11"/>
      <c r="P257" s="6">
        <v>55591.23</v>
      </c>
      <c r="Q257" s="2"/>
      <c r="R257" s="7">
        <f t="shared" si="122"/>
        <v>5.4165116696658798E-3</v>
      </c>
      <c r="S257" s="2"/>
      <c r="T257" s="6">
        <v>52525</v>
      </c>
      <c r="U257" s="2"/>
      <c r="V257" s="7">
        <f t="shared" si="123"/>
        <v>3.0824215762116046E-3</v>
      </c>
      <c r="W257" s="2"/>
      <c r="X257" s="6">
        <f t="shared" si="124"/>
        <v>3066.2300000000032</v>
      </c>
      <c r="Y257" s="2"/>
      <c r="Z257" s="7">
        <f t="shared" si="125"/>
        <v>5.8376582579724001E-2</v>
      </c>
    </row>
    <row r="258" spans="1:26" s="24" customFormat="1" hidden="1" outlineLevel="2" x14ac:dyDescent="0.25">
      <c r="A258" s="26"/>
      <c r="B258" s="11" t="str">
        <f>CONCATENATE("          ", "6248", " - ", "UNIFORMS")</f>
        <v xml:space="preserve">          6248 - UNIFORMS</v>
      </c>
      <c r="C258" s="11"/>
      <c r="D258" s="6"/>
      <c r="E258" s="2"/>
      <c r="F258" s="7">
        <f t="shared" si="118"/>
        <v>0</v>
      </c>
      <c r="G258" s="2"/>
      <c r="H258" s="6">
        <v>1500</v>
      </c>
      <c r="I258" s="2"/>
      <c r="J258" s="7">
        <f t="shared" si="119"/>
        <v>2.0308169705897088E-3</v>
      </c>
      <c r="K258" s="2"/>
      <c r="L258" s="6">
        <f t="shared" si="120"/>
        <v>-1500</v>
      </c>
      <c r="M258" s="2"/>
      <c r="N258" s="7">
        <f t="shared" si="121"/>
        <v>-1</v>
      </c>
      <c r="O258" s="11"/>
      <c r="P258" s="6">
        <v>4500.59</v>
      </c>
      <c r="Q258" s="2"/>
      <c r="R258" s="7">
        <f t="shared" si="122"/>
        <v>4.3851338161399851E-4</v>
      </c>
      <c r="S258" s="2"/>
      <c r="T258" s="6">
        <v>29765</v>
      </c>
      <c r="U258" s="2"/>
      <c r="V258" s="7">
        <f t="shared" si="123"/>
        <v>1.7467544638922114E-3</v>
      </c>
      <c r="W258" s="2"/>
      <c r="X258" s="6">
        <f t="shared" si="124"/>
        <v>-25264.41</v>
      </c>
      <c r="Y258" s="2"/>
      <c r="Z258" s="7">
        <f t="shared" si="125"/>
        <v>-0.84879590122627246</v>
      </c>
    </row>
    <row r="259" spans="1:26" s="27" customFormat="1" outlineLevel="1" collapsed="1" x14ac:dyDescent="0.25">
      <c r="A259" s="25"/>
      <c r="B259" s="13" t="str">
        <f>CONCATENATE("     ","Telephone/Data Lines                              ")</f>
        <v xml:space="preserve">     Telephone/Data Lines                              </v>
      </c>
      <c r="C259" s="13"/>
      <c r="D259" s="1">
        <f>SUM(OSRRefD22_23x_0)</f>
        <v>5177.72</v>
      </c>
      <c r="E259" s="1"/>
      <c r="F259" s="5">
        <f t="shared" ref="F259:F261" si="126">IF(D$12=0,0,D259/D$12)</f>
        <v>1.1480502876766501E-2</v>
      </c>
      <c r="G259" s="1"/>
      <c r="H259" s="1">
        <f>SUM(OSRRefH22_23x_0)</f>
        <v>4590</v>
      </c>
      <c r="I259" s="1"/>
      <c r="J259" s="5">
        <f t="shared" ref="J259:J261" si="127">IF(H$12=0,0,H259/H$12)</f>
        <v>6.2142999300045087E-3</v>
      </c>
      <c r="K259" s="1"/>
      <c r="L259" s="1">
        <f t="shared" ref="L259:L261" si="128">+D259-H259</f>
        <v>587.72000000000025</v>
      </c>
      <c r="M259" s="1"/>
      <c r="N259" s="5">
        <f t="shared" ref="N259:N261" si="129">IF(H259=0,0,L259/H259)</f>
        <v>0.1280435729847495</v>
      </c>
      <c r="O259" s="13"/>
      <c r="P259" s="1">
        <f>SUM(OSRRefP22_23x_0)</f>
        <v>49206.5</v>
      </c>
      <c r="Q259" s="1"/>
      <c r="R259" s="5">
        <f t="shared" ref="R259:R261" si="130">IF(P$12=0,0,P259/P$12)</f>
        <v>4.7944177790887896E-3</v>
      </c>
      <c r="S259" s="1"/>
      <c r="T259" s="1">
        <f>SUM(OSRRefT22_23x_0)</f>
        <v>57427</v>
      </c>
      <c r="U259" s="1"/>
      <c r="V259" s="5">
        <f t="shared" ref="V259:V261" si="131">IF(T$12=0,0,T259/T$12)</f>
        <v>3.3700946950424335E-3</v>
      </c>
      <c r="W259" s="1"/>
      <c r="X259" s="1">
        <f t="shared" ref="X259:X261" si="132">+P259-T259</f>
        <v>-8220.5</v>
      </c>
      <c r="Y259" s="1"/>
      <c r="Z259" s="5">
        <f t="shared" ref="Z259:Z261" si="133">IF(T259=0,0,X259/T259)</f>
        <v>-0.14314695178226269</v>
      </c>
    </row>
    <row r="260" spans="1:26" s="24" customFormat="1" hidden="1" outlineLevel="2" x14ac:dyDescent="0.25">
      <c r="A260" s="26"/>
      <c r="B260" s="11" t="str">
        <f>CONCATENATE("          ", "6303", " - ", "DATA PHONE LINES")</f>
        <v xml:space="preserve">          6303 - DATA PHONE LINES</v>
      </c>
      <c r="C260" s="11"/>
      <c r="D260" s="6"/>
      <c r="E260" s="2"/>
      <c r="F260" s="7">
        <f t="shared" si="126"/>
        <v>0</v>
      </c>
      <c r="G260" s="2"/>
      <c r="H260" s="6">
        <v>1500</v>
      </c>
      <c r="I260" s="2"/>
      <c r="J260" s="7">
        <f t="shared" si="127"/>
        <v>2.0308169705897088E-3</v>
      </c>
      <c r="K260" s="2"/>
      <c r="L260" s="6">
        <f t="shared" si="128"/>
        <v>-1500</v>
      </c>
      <c r="M260" s="2"/>
      <c r="N260" s="7">
        <f t="shared" si="129"/>
        <v>-1</v>
      </c>
      <c r="O260" s="11"/>
      <c r="P260" s="6">
        <v>3540</v>
      </c>
      <c r="Q260" s="2"/>
      <c r="R260" s="7">
        <f t="shared" si="130"/>
        <v>3.4491863753720174E-4</v>
      </c>
      <c r="S260" s="2"/>
      <c r="T260" s="6">
        <v>18037</v>
      </c>
      <c r="U260" s="2"/>
      <c r="V260" s="7">
        <f t="shared" si="131"/>
        <v>1.0584985810590901E-3</v>
      </c>
      <c r="W260" s="2"/>
      <c r="X260" s="6">
        <f t="shared" si="132"/>
        <v>-14497</v>
      </c>
      <c r="Y260" s="2"/>
      <c r="Z260" s="7">
        <f t="shared" si="133"/>
        <v>-0.80373676331984256</v>
      </c>
    </row>
    <row r="261" spans="1:26" s="24" customFormat="1" hidden="1" outlineLevel="2" x14ac:dyDescent="0.25">
      <c r="A261" s="26"/>
      <c r="B261" s="11" t="str">
        <f>CONCATENATE("          ", "6309", " - ", "TELEPHONE")</f>
        <v xml:space="preserve">          6309 - TELEPHONE</v>
      </c>
      <c r="C261" s="11"/>
      <c r="D261" s="6">
        <v>5177.72</v>
      </c>
      <c r="E261" s="2"/>
      <c r="F261" s="7">
        <f t="shared" si="126"/>
        <v>1.1480502876766501E-2</v>
      </c>
      <c r="G261" s="2"/>
      <c r="H261" s="6">
        <v>3090</v>
      </c>
      <c r="I261" s="2"/>
      <c r="J261" s="7">
        <f t="shared" si="127"/>
        <v>4.1834829594147999E-3</v>
      </c>
      <c r="K261" s="2"/>
      <c r="L261" s="6">
        <f t="shared" si="128"/>
        <v>2087.7200000000003</v>
      </c>
      <c r="M261" s="2"/>
      <c r="N261" s="7">
        <f t="shared" si="129"/>
        <v>0.67563754045307456</v>
      </c>
      <c r="O261" s="11"/>
      <c r="P261" s="6">
        <v>45666.5</v>
      </c>
      <c r="Q261" s="2"/>
      <c r="R261" s="7">
        <f t="shared" si="130"/>
        <v>4.4494991415515881E-3</v>
      </c>
      <c r="S261" s="2"/>
      <c r="T261" s="6">
        <v>39390</v>
      </c>
      <c r="U261" s="2"/>
      <c r="V261" s="7">
        <f t="shared" si="131"/>
        <v>2.3115961139833431E-3</v>
      </c>
      <c r="W261" s="2"/>
      <c r="X261" s="6">
        <f t="shared" si="132"/>
        <v>6276.5</v>
      </c>
      <c r="Y261" s="2"/>
      <c r="Z261" s="7">
        <f t="shared" si="133"/>
        <v>0.15934247270880933</v>
      </c>
    </row>
    <row r="262" spans="1:26" s="27" customFormat="1" outlineLevel="1" collapsed="1" x14ac:dyDescent="0.25">
      <c r="A262" s="25"/>
      <c r="B262" s="13" t="str">
        <f>CONCATENATE("     ","Training                                          ")</f>
        <v xml:space="preserve">     Training                                          </v>
      </c>
      <c r="C262" s="13"/>
      <c r="D262" s="1">
        <f>SUM(OSRRefD22_24x_0)</f>
        <v>506.99</v>
      </c>
      <c r="E262" s="1"/>
      <c r="F262" s="5">
        <f t="shared" ref="F262:F267" si="134">IF(D$12=0,0,D262/D$12)</f>
        <v>1.1241434750221813E-3</v>
      </c>
      <c r="G262" s="1"/>
      <c r="H262" s="1">
        <f>SUM(OSRRefH22_24x_0)</f>
        <v>2250</v>
      </c>
      <c r="I262" s="1"/>
      <c r="J262" s="5">
        <f t="shared" ref="J262:J267" si="135">IF(H$12=0,0,H262/H$12)</f>
        <v>3.0462254558845628E-3</v>
      </c>
      <c r="K262" s="1"/>
      <c r="L262" s="1">
        <f t="shared" ref="L262:L267" si="136">+D262-H262</f>
        <v>-1743.01</v>
      </c>
      <c r="M262" s="1"/>
      <c r="N262" s="5">
        <f t="shared" ref="N262:N267" si="137">IF(H262=0,0,L262/H262)</f>
        <v>-0.77467111111111109</v>
      </c>
      <c r="O262" s="13"/>
      <c r="P262" s="1">
        <f>SUM(OSRRefP22_24x_0)</f>
        <v>2688.85</v>
      </c>
      <c r="Q262" s="1"/>
      <c r="R262" s="5">
        <f t="shared" ref="R262:R267" si="138">IF(P$12=0,0,P262/P$12)</f>
        <v>2.6198714083104657E-4</v>
      </c>
      <c r="S262" s="1"/>
      <c r="T262" s="1">
        <f>SUM(OSRRefT22_24x_0)</f>
        <v>30860</v>
      </c>
      <c r="U262" s="1"/>
      <c r="V262" s="5">
        <f t="shared" ref="V262:V267" si="139">IF(T$12=0,0,T262/T$12)</f>
        <v>1.8110143710973843E-3</v>
      </c>
      <c r="W262" s="1"/>
      <c r="X262" s="1">
        <f t="shared" ref="X262:X267" si="140">+P262-T262</f>
        <v>-28171.15</v>
      </c>
      <c r="Y262" s="1"/>
      <c r="Z262" s="5">
        <f t="shared" ref="Z262:Z267" si="141">IF(T262=0,0,X262/T262)</f>
        <v>-0.91286941023979262</v>
      </c>
    </row>
    <row r="263" spans="1:26" s="24" customFormat="1" hidden="1" outlineLevel="2" x14ac:dyDescent="0.25">
      <c r="A263" s="26"/>
      <c r="B263" s="11" t="str">
        <f>CONCATENATE("          ", "6376", " - ", "TRAINING")</f>
        <v xml:space="preserve">          6376 - TRAINING</v>
      </c>
      <c r="C263" s="11"/>
      <c r="D263" s="6">
        <v>506.99</v>
      </c>
      <c r="E263" s="2"/>
      <c r="F263" s="7">
        <f t="shared" si="134"/>
        <v>1.1241434750221813E-3</v>
      </c>
      <c r="G263" s="2"/>
      <c r="H263" s="6">
        <v>2250</v>
      </c>
      <c r="I263" s="2"/>
      <c r="J263" s="7">
        <f t="shared" si="135"/>
        <v>3.0462254558845628E-3</v>
      </c>
      <c r="K263" s="2"/>
      <c r="L263" s="6">
        <f t="shared" si="136"/>
        <v>-1743.01</v>
      </c>
      <c r="M263" s="2"/>
      <c r="N263" s="7">
        <f t="shared" si="137"/>
        <v>-0.77467111111111109</v>
      </c>
      <c r="O263" s="11"/>
      <c r="P263" s="6">
        <v>2688.85</v>
      </c>
      <c r="Q263" s="2"/>
      <c r="R263" s="7">
        <f t="shared" si="138"/>
        <v>2.6198714083104657E-4</v>
      </c>
      <c r="S263" s="2"/>
      <c r="T263" s="6">
        <v>30860</v>
      </c>
      <c r="U263" s="2"/>
      <c r="V263" s="7">
        <f t="shared" si="139"/>
        <v>1.8110143710973843E-3</v>
      </c>
      <c r="W263" s="2"/>
      <c r="X263" s="6">
        <f t="shared" si="140"/>
        <v>-28171.15</v>
      </c>
      <c r="Y263" s="2"/>
      <c r="Z263" s="7">
        <f t="shared" si="141"/>
        <v>-0.91286941023979262</v>
      </c>
    </row>
    <row r="264" spans="1:26" s="27" customFormat="1" outlineLevel="1" collapsed="1" x14ac:dyDescent="0.25">
      <c r="A264" s="25"/>
      <c r="B264" s="13" t="str">
        <f>CONCATENATE("     ","Travel                                            ")</f>
        <v xml:space="preserve">     Travel                                            </v>
      </c>
      <c r="C264" s="13"/>
      <c r="D264" s="1">
        <f>SUM(OSRRefD22_25x_0)</f>
        <v>67.62</v>
      </c>
      <c r="E264" s="1"/>
      <c r="F264" s="5">
        <f t="shared" si="134"/>
        <v>1.4993309884021362E-4</v>
      </c>
      <c r="G264" s="1"/>
      <c r="H264" s="1">
        <f>SUM(OSRRefH22_25x_0)</f>
        <v>350</v>
      </c>
      <c r="I264" s="1"/>
      <c r="J264" s="5">
        <f t="shared" si="135"/>
        <v>4.7385729313759867E-4</v>
      </c>
      <c r="K264" s="1"/>
      <c r="L264" s="1">
        <f t="shared" si="136"/>
        <v>-282.38</v>
      </c>
      <c r="M264" s="1"/>
      <c r="N264" s="5">
        <f t="shared" si="137"/>
        <v>-0.80679999999999996</v>
      </c>
      <c r="O264" s="13"/>
      <c r="P264" s="1">
        <f>SUM(OSRRefP22_25x_0)</f>
        <v>1532.5300000000002</v>
      </c>
      <c r="Q264" s="1"/>
      <c r="R264" s="5">
        <f t="shared" si="138"/>
        <v>1.4932151400703046E-4</v>
      </c>
      <c r="S264" s="1"/>
      <c r="T264" s="1">
        <f>SUM(OSRRefT22_25x_0)</f>
        <v>5900</v>
      </c>
      <c r="U264" s="1"/>
      <c r="V264" s="5">
        <f t="shared" si="139"/>
        <v>3.4624059590001839E-4</v>
      </c>
      <c r="W264" s="1"/>
      <c r="X264" s="1">
        <f t="shared" si="140"/>
        <v>-4367.4699999999993</v>
      </c>
      <c r="Y264" s="1"/>
      <c r="Z264" s="5">
        <f t="shared" si="141"/>
        <v>-0.74024915254237278</v>
      </c>
    </row>
    <row r="265" spans="1:26" s="24" customFormat="1" hidden="1" outlineLevel="2" x14ac:dyDescent="0.25">
      <c r="A265" s="26"/>
      <c r="B265" s="11" t="str">
        <f>CONCATENATE("          ", "6292", " - ", "TRAVEL/CONFERENCE")</f>
        <v xml:space="preserve">          6292 - TRAVEL/CONFERENCE</v>
      </c>
      <c r="C265" s="11"/>
      <c r="D265" s="6"/>
      <c r="E265" s="2"/>
      <c r="F265" s="7">
        <f t="shared" si="134"/>
        <v>0</v>
      </c>
      <c r="G265" s="2"/>
      <c r="H265" s="6">
        <v>300</v>
      </c>
      <c r="I265" s="2"/>
      <c r="J265" s="7">
        <f t="shared" si="135"/>
        <v>4.061633941179417E-4</v>
      </c>
      <c r="K265" s="2"/>
      <c r="L265" s="6">
        <f t="shared" si="136"/>
        <v>-300</v>
      </c>
      <c r="M265" s="2"/>
      <c r="N265" s="7">
        <f t="shared" si="137"/>
        <v>-1</v>
      </c>
      <c r="O265" s="11"/>
      <c r="P265" s="6">
        <v>299.16000000000003</v>
      </c>
      <c r="Q265" s="2"/>
      <c r="R265" s="7">
        <f t="shared" si="138"/>
        <v>2.914854791119471E-5</v>
      </c>
      <c r="S265" s="2"/>
      <c r="T265" s="6">
        <v>5100</v>
      </c>
      <c r="U265" s="2"/>
      <c r="V265" s="7">
        <f t="shared" si="139"/>
        <v>2.9929271848984639E-4</v>
      </c>
      <c r="W265" s="2"/>
      <c r="X265" s="6">
        <f t="shared" si="140"/>
        <v>-4800.84</v>
      </c>
      <c r="Y265" s="2"/>
      <c r="Z265" s="7">
        <f t="shared" si="141"/>
        <v>-0.94134117647058824</v>
      </c>
    </row>
    <row r="266" spans="1:26" s="24" customFormat="1" hidden="1" outlineLevel="2" x14ac:dyDescent="0.25">
      <c r="A266" s="26"/>
      <c r="B266" s="11" t="str">
        <f>CONCATENATE("          ", "6294", " - ", "TRAVEL OPERATIONAL")</f>
        <v xml:space="preserve">          6294 - TRAVEL OPERATIONAL</v>
      </c>
      <c r="C266" s="11"/>
      <c r="D266" s="6">
        <v>67.62</v>
      </c>
      <c r="E266" s="2"/>
      <c r="F266" s="7">
        <f t="shared" si="134"/>
        <v>1.4993309884021362E-4</v>
      </c>
      <c r="G266" s="2"/>
      <c r="H266" s="6">
        <v>25</v>
      </c>
      <c r="I266" s="2"/>
      <c r="J266" s="7">
        <f t="shared" si="135"/>
        <v>3.3846949509828477E-5</v>
      </c>
      <c r="K266" s="2"/>
      <c r="L266" s="6">
        <f t="shared" si="136"/>
        <v>42.620000000000005</v>
      </c>
      <c r="M266" s="2"/>
      <c r="N266" s="7">
        <f t="shared" si="137"/>
        <v>1.7048000000000001</v>
      </c>
      <c r="O266" s="11"/>
      <c r="P266" s="6">
        <v>841.27</v>
      </c>
      <c r="Q266" s="2"/>
      <c r="R266" s="7">
        <f t="shared" si="138"/>
        <v>8.1968842429638891E-5</v>
      </c>
      <c r="S266" s="2"/>
      <c r="T266" s="6">
        <v>300</v>
      </c>
      <c r="U266" s="2"/>
      <c r="V266" s="7">
        <f t="shared" si="139"/>
        <v>1.7605454028814496E-5</v>
      </c>
      <c r="W266" s="2"/>
      <c r="X266" s="6">
        <f t="shared" si="140"/>
        <v>541.27</v>
      </c>
      <c r="Y266" s="2"/>
      <c r="Z266" s="7">
        <f t="shared" si="141"/>
        <v>1.8042333333333334</v>
      </c>
    </row>
    <row r="267" spans="1:26" s="24" customFormat="1" hidden="1" outlineLevel="2" x14ac:dyDescent="0.25">
      <c r="A267" s="26"/>
      <c r="B267" s="11" t="str">
        <f>CONCATENATE("          ", "6298", " - ", "VEHICLE MILEAGE")</f>
        <v xml:space="preserve">          6298 - VEHICLE MILEAGE</v>
      </c>
      <c r="C267" s="11"/>
      <c r="D267" s="6"/>
      <c r="E267" s="2"/>
      <c r="F267" s="7">
        <f t="shared" si="134"/>
        <v>0</v>
      </c>
      <c r="G267" s="2"/>
      <c r="H267" s="6">
        <v>25</v>
      </c>
      <c r="I267" s="2"/>
      <c r="J267" s="7">
        <f t="shared" si="135"/>
        <v>3.3846949509828477E-5</v>
      </c>
      <c r="K267" s="2"/>
      <c r="L267" s="6">
        <f t="shared" si="136"/>
        <v>-25</v>
      </c>
      <c r="M267" s="2"/>
      <c r="N267" s="7">
        <f t="shared" si="137"/>
        <v>-1</v>
      </c>
      <c r="O267" s="11"/>
      <c r="P267" s="6">
        <v>392.1</v>
      </c>
      <c r="Q267" s="2"/>
      <c r="R267" s="7">
        <f t="shared" si="138"/>
        <v>3.8204123666196833E-5</v>
      </c>
      <c r="S267" s="2"/>
      <c r="T267" s="6">
        <v>500</v>
      </c>
      <c r="U267" s="2"/>
      <c r="V267" s="7">
        <f t="shared" si="139"/>
        <v>2.9342423381357491E-5</v>
      </c>
      <c r="W267" s="2"/>
      <c r="X267" s="6">
        <f t="shared" si="140"/>
        <v>-107.89999999999998</v>
      </c>
      <c r="Y267" s="2"/>
      <c r="Z267" s="7">
        <f t="shared" si="141"/>
        <v>-0.21579999999999996</v>
      </c>
    </row>
    <row r="268" spans="1:26" s="27" customFormat="1" outlineLevel="1" collapsed="1" x14ac:dyDescent="0.25">
      <c r="A268" s="25"/>
      <c r="B268" s="13" t="str">
        <f>CONCATENATE("     ","Utilities                                         ")</f>
        <v xml:space="preserve">     Utilities                                         </v>
      </c>
      <c r="C268" s="13"/>
      <c r="D268" s="1">
        <f>SUM(OSRRefD22_26x_0)</f>
        <v>44905.94</v>
      </c>
      <c r="E268" s="1"/>
      <c r="F268" s="5">
        <f t="shared" ref="F268:F269" si="142">IF(D$12=0,0,D268/D$12)</f>
        <v>9.9569457860584187E-2</v>
      </c>
      <c r="G268" s="1"/>
      <c r="H268" s="1">
        <f>SUM(OSRRefH22_26x_0)</f>
        <v>10255</v>
      </c>
      <c r="I268" s="1"/>
      <c r="J268" s="5">
        <f t="shared" ref="J268:J269" si="143">IF(H$12=0,0,H268/H$12)</f>
        <v>1.3884018688931641E-2</v>
      </c>
      <c r="K268" s="1"/>
      <c r="L268" s="1">
        <f t="shared" ref="L268:L269" si="144">+D268-H268</f>
        <v>34650.94</v>
      </c>
      <c r="M268" s="1"/>
      <c r="N268" s="5">
        <f t="shared" ref="N268:N269" si="145">IF(H268=0,0,L268/H268)</f>
        <v>3.3789312530472944</v>
      </c>
      <c r="O268" s="13"/>
      <c r="P268" s="1">
        <f>SUM(OSRRefP22_26x_0)</f>
        <v>122504.39</v>
      </c>
      <c r="Q268" s="1"/>
      <c r="R268" s="5">
        <f t="shared" ref="R268:R269" si="146">IF(P$12=0,0,P268/P$12)</f>
        <v>1.1936171551165536E-2</v>
      </c>
      <c r="S268" s="1"/>
      <c r="T268" s="1">
        <f>SUM(OSRRefT22_26x_0)</f>
        <v>126334</v>
      </c>
      <c r="U268" s="1"/>
      <c r="V268" s="5">
        <f t="shared" ref="V268:V269" si="147">IF(T$12=0,0,T268/T$12)</f>
        <v>7.4138914309208343E-3</v>
      </c>
      <c r="W268" s="1"/>
      <c r="X268" s="1">
        <f t="shared" ref="X268:X269" si="148">+P268-T268</f>
        <v>-3829.6100000000006</v>
      </c>
      <c r="Y268" s="1"/>
      <c r="Z268" s="5">
        <f t="shared" ref="Z268:Z269" si="149">IF(T268=0,0,X268/T268)</f>
        <v>-3.0313375655009741E-2</v>
      </c>
    </row>
    <row r="269" spans="1:26" s="24" customFormat="1" hidden="1" outlineLevel="2" x14ac:dyDescent="0.25">
      <c r="A269" s="26"/>
      <c r="B269" s="11" t="str">
        <f>CONCATENATE("          ", "6274", " - ", "UTILITIES")</f>
        <v xml:space="preserve">          6274 - UTILITIES</v>
      </c>
      <c r="C269" s="11"/>
      <c r="D269" s="6">
        <v>44905.94</v>
      </c>
      <c r="E269" s="2"/>
      <c r="F269" s="7">
        <f t="shared" si="142"/>
        <v>9.9569457860584187E-2</v>
      </c>
      <c r="G269" s="2"/>
      <c r="H269" s="6">
        <v>10255</v>
      </c>
      <c r="I269" s="2"/>
      <c r="J269" s="7">
        <f t="shared" si="143"/>
        <v>1.3884018688931641E-2</v>
      </c>
      <c r="K269" s="2"/>
      <c r="L269" s="6">
        <f t="shared" si="144"/>
        <v>34650.94</v>
      </c>
      <c r="M269" s="2"/>
      <c r="N269" s="7">
        <f t="shared" si="145"/>
        <v>3.3789312530472944</v>
      </c>
      <c r="O269" s="11"/>
      <c r="P269" s="6">
        <v>122504.39</v>
      </c>
      <c r="Q269" s="2"/>
      <c r="R269" s="7">
        <f t="shared" si="146"/>
        <v>1.1936171551165536E-2</v>
      </c>
      <c r="S269" s="2"/>
      <c r="T269" s="6">
        <v>126334</v>
      </c>
      <c r="U269" s="2"/>
      <c r="V269" s="7">
        <f t="shared" si="147"/>
        <v>7.4138914309208343E-3</v>
      </c>
      <c r="W269" s="2"/>
      <c r="X269" s="6">
        <f t="shared" si="148"/>
        <v>-3829.6100000000006</v>
      </c>
      <c r="Y269" s="2"/>
      <c r="Z269" s="7">
        <f t="shared" si="149"/>
        <v>-3.0313375655009741E-2</v>
      </c>
    </row>
    <row r="270" spans="1:26" s="61" customFormat="1" x14ac:dyDescent="0.25">
      <c r="A270" s="36"/>
      <c r="B270" s="36"/>
      <c r="C270" s="36"/>
      <c r="D270" s="1"/>
      <c r="E270" s="1"/>
      <c r="F270" s="5"/>
      <c r="G270" s="1"/>
      <c r="H270" s="1"/>
      <c r="I270" s="1"/>
      <c r="J270" s="5"/>
      <c r="K270" s="1"/>
      <c r="L270" s="1"/>
      <c r="M270" s="1"/>
      <c r="N270" s="5"/>
      <c r="O270" s="36"/>
      <c r="P270" s="1"/>
      <c r="Q270" s="1"/>
      <c r="R270" s="5"/>
      <c r="S270" s="1"/>
      <c r="T270" s="1"/>
      <c r="U270" s="1"/>
      <c r="V270" s="5"/>
      <c r="W270" s="1"/>
      <c r="X270" s="1"/>
      <c r="Y270" s="1"/>
      <c r="Z270" s="5"/>
    </row>
    <row r="271" spans="1:26" s="23" customFormat="1" collapsed="1" x14ac:dyDescent="0.25">
      <c r="A271" s="10"/>
      <c r="B271" s="29" t="s">
        <v>293</v>
      </c>
      <c r="C271" s="10"/>
      <c r="D271" s="4">
        <f>SUM(OSRRefD25x_0)</f>
        <v>405273.88999999996</v>
      </c>
      <c r="E271" s="4"/>
      <c r="F271" s="12">
        <f t="shared" ref="F271:F279" si="150">IF(D$12=0,0,D271/D$12)</f>
        <v>0.89860943813557903</v>
      </c>
      <c r="G271" s="4"/>
      <c r="H271" s="4">
        <f>SUM(OSRRefH25x_0)</f>
        <v>284877</v>
      </c>
      <c r="I271" s="4"/>
      <c r="J271" s="12">
        <f t="shared" ref="J271:J279" si="151">IF(H$12=0,0,H271/H$12)</f>
        <v>0.38568869742045631</v>
      </c>
      <c r="K271" s="4"/>
      <c r="L271" s="4">
        <f t="shared" ref="L271:L279" si="152">+D271-H271</f>
        <v>120396.88999999996</v>
      </c>
      <c r="M271" s="4"/>
      <c r="N271" s="12">
        <f t="shared" ref="N271:N279" si="153">IF(H271=0,0,L271/H271)</f>
        <v>0.42262762525581199</v>
      </c>
      <c r="O271" s="10"/>
      <c r="P271" s="4">
        <f>SUM(OSRRefP25x_0)</f>
        <v>1487383.5100000002</v>
      </c>
      <c r="Q271" s="4"/>
      <c r="R271" s="12">
        <f t="shared" ref="R271:R279" si="154">IF(P$12=0,0,P271/P$12)</f>
        <v>0.14492268185437879</v>
      </c>
      <c r="S271" s="4"/>
      <c r="T271" s="4">
        <f>SUM(OSRRefT25x_0)</f>
        <v>1324948</v>
      </c>
      <c r="U271" s="4"/>
      <c r="V271" s="12">
        <f t="shared" ref="V271:V279" si="155">IF(T$12=0,0,T271/T$12)</f>
        <v>7.7754370348565693E-2</v>
      </c>
      <c r="W271" s="4"/>
      <c r="X271" s="4">
        <f t="shared" ref="X271:X279" si="156">+P271-T271</f>
        <v>162435.51000000024</v>
      </c>
      <c r="Y271" s="4"/>
      <c r="Z271" s="12">
        <f t="shared" ref="Z271:Z279" si="157">IF(T271=0,0,X271/T271)</f>
        <v>0.12259764911528621</v>
      </c>
    </row>
    <row r="272" spans="1:26" s="24" customFormat="1" hidden="1" outlineLevel="1" x14ac:dyDescent="0.25">
      <c r="A272" s="44"/>
      <c r="B272" s="11" t="str">
        <f>CONCATENATE("          ", "4098", " - ", "TAXABLE SALES-GRAD RENTALS")</f>
        <v xml:space="preserve">          4098 - TAXABLE SALES-GRAD RENTALS</v>
      </c>
      <c r="C272" s="11"/>
      <c r="D272" s="2">
        <f>--1017.7</f>
        <v>1017.7</v>
      </c>
      <c r="E272" s="2"/>
      <c r="F272" s="19">
        <f t="shared" si="150"/>
        <v>2.2565352660408964E-3</v>
      </c>
      <c r="G272" s="2"/>
      <c r="H272" s="2"/>
      <c r="I272" s="2"/>
      <c r="J272" s="19">
        <f t="shared" si="151"/>
        <v>0</v>
      </c>
      <c r="K272" s="2"/>
      <c r="L272" s="2">
        <f t="shared" si="152"/>
        <v>1017.7</v>
      </c>
      <c r="M272" s="2"/>
      <c r="N272" s="19">
        <f t="shared" si="153"/>
        <v>0</v>
      </c>
      <c r="O272" s="11"/>
      <c r="P272" s="2">
        <f>--1067.65</f>
        <v>1067.6500000000001</v>
      </c>
      <c r="Q272" s="2"/>
      <c r="R272" s="19">
        <f t="shared" si="154"/>
        <v>1.0402609699621283E-4</v>
      </c>
      <c r="S272" s="2"/>
      <c r="T272" s="2"/>
      <c r="U272" s="2"/>
      <c r="V272" s="19">
        <f t="shared" si="155"/>
        <v>0</v>
      </c>
      <c r="W272" s="2"/>
      <c r="X272" s="2">
        <f t="shared" si="156"/>
        <v>1067.6500000000001</v>
      </c>
      <c r="Y272" s="2"/>
      <c r="Z272" s="19">
        <f t="shared" si="157"/>
        <v>0</v>
      </c>
    </row>
    <row r="273" spans="1:26" s="24" customFormat="1" hidden="1" outlineLevel="1" x14ac:dyDescent="0.25">
      <c r="A273" s="44"/>
      <c r="B273" s="11" t="str">
        <f>CONCATENATE("          ", "4187", " - ", "NON-TAXABLE SALES-COMPUTER REP")</f>
        <v xml:space="preserve">          4187 - NON-TAXABLE SALES-COMPUTER REP</v>
      </c>
      <c r="C273" s="11"/>
      <c r="D273" s="2">
        <f>--189.31</f>
        <v>189.31</v>
      </c>
      <c r="E273" s="2"/>
      <c r="F273" s="19">
        <f t="shared" si="150"/>
        <v>4.1975502723219226E-4</v>
      </c>
      <c r="G273" s="2"/>
      <c r="H273" s="2"/>
      <c r="I273" s="2"/>
      <c r="J273" s="19">
        <f t="shared" si="151"/>
        <v>0</v>
      </c>
      <c r="K273" s="2"/>
      <c r="L273" s="2">
        <f t="shared" si="152"/>
        <v>189.31</v>
      </c>
      <c r="M273" s="2"/>
      <c r="N273" s="19">
        <f t="shared" si="153"/>
        <v>0</v>
      </c>
      <c r="O273" s="11"/>
      <c r="P273" s="2">
        <f>--3769.75</f>
        <v>3769.75</v>
      </c>
      <c r="Q273" s="2"/>
      <c r="R273" s="19">
        <f t="shared" si="154"/>
        <v>3.673042468519396E-4</v>
      </c>
      <c r="S273" s="2"/>
      <c r="T273" s="2"/>
      <c r="U273" s="2"/>
      <c r="V273" s="19">
        <f t="shared" si="155"/>
        <v>0</v>
      </c>
      <c r="W273" s="2"/>
      <c r="X273" s="2">
        <f t="shared" si="156"/>
        <v>3769.75</v>
      </c>
      <c r="Y273" s="2"/>
      <c r="Z273" s="19">
        <f t="shared" si="157"/>
        <v>0</v>
      </c>
    </row>
    <row r="274" spans="1:26" s="24" customFormat="1" hidden="1" outlineLevel="1" x14ac:dyDescent="0.25">
      <c r="A274" s="44"/>
      <c r="B274" s="11" t="str">
        <f>CONCATENATE("          ", "9150", " - ", "MISC. INCOME")</f>
        <v xml:space="preserve">          9150 - MISC. INCOME</v>
      </c>
      <c r="C274" s="11"/>
      <c r="D274" s="2">
        <f>--22973.99</f>
        <v>22973.99</v>
      </c>
      <c r="E274" s="2"/>
      <c r="F274" s="19">
        <f t="shared" si="150"/>
        <v>5.0939980973440983E-2</v>
      </c>
      <c r="G274" s="2"/>
      <c r="H274" s="2">
        <v>40338</v>
      </c>
      <c r="I274" s="2"/>
      <c r="J274" s="19">
        <f t="shared" si="151"/>
        <v>5.4612729973098448E-2</v>
      </c>
      <c r="K274" s="2"/>
      <c r="L274" s="2">
        <f t="shared" si="152"/>
        <v>-17364.009999999998</v>
      </c>
      <c r="M274" s="2"/>
      <c r="N274" s="19">
        <f t="shared" si="153"/>
        <v>-0.43046283901036242</v>
      </c>
      <c r="O274" s="11"/>
      <c r="P274" s="2">
        <f>--434694.89</f>
        <v>434694.89</v>
      </c>
      <c r="Q274" s="2"/>
      <c r="R274" s="19">
        <f t="shared" si="154"/>
        <v>4.2354341582820275E-2</v>
      </c>
      <c r="S274" s="2"/>
      <c r="T274" s="2">
        <v>342075</v>
      </c>
      <c r="U274" s="2"/>
      <c r="V274" s="19">
        <f t="shared" si="155"/>
        <v>2.0074618956355726E-2</v>
      </c>
      <c r="W274" s="2"/>
      <c r="X274" s="2">
        <f t="shared" si="156"/>
        <v>92619.890000000014</v>
      </c>
      <c r="Y274" s="2"/>
      <c r="Z274" s="19">
        <f t="shared" si="157"/>
        <v>0.27075901483592785</v>
      </c>
    </row>
    <row r="275" spans="1:26" s="24" customFormat="1" hidden="1" outlineLevel="1" x14ac:dyDescent="0.25">
      <c r="A275" s="44"/>
      <c r="B275" s="11" t="str">
        <f>CONCATENATE("          ", "9151", " - ", "MISC. INCOME")</f>
        <v xml:space="preserve">          9151 - MISC. INCOME</v>
      </c>
      <c r="C275" s="11"/>
      <c r="D275" s="2">
        <f>0</f>
        <v>0</v>
      </c>
      <c r="E275" s="2"/>
      <c r="F275" s="19">
        <f t="shared" si="150"/>
        <v>0</v>
      </c>
      <c r="G275" s="2"/>
      <c r="H275" s="2">
        <v>236938</v>
      </c>
      <c r="I275" s="2"/>
      <c r="J275" s="19">
        <f t="shared" si="151"/>
        <v>0.32078514091838961</v>
      </c>
      <c r="K275" s="2"/>
      <c r="L275" s="2">
        <f t="shared" si="152"/>
        <v>-236938</v>
      </c>
      <c r="M275" s="2"/>
      <c r="N275" s="19">
        <f t="shared" si="153"/>
        <v>-1</v>
      </c>
      <c r="O275" s="11"/>
      <c r="P275" s="2">
        <f>--295628.46</f>
        <v>295628.46000000002</v>
      </c>
      <c r="Q275" s="2"/>
      <c r="R275" s="19">
        <f t="shared" si="154"/>
        <v>2.8804453570740435E-2</v>
      </c>
      <c r="S275" s="2"/>
      <c r="T275" s="2">
        <v>958778</v>
      </c>
      <c r="U275" s="2"/>
      <c r="V275" s="19">
        <f t="shared" si="155"/>
        <v>5.6265740009462342E-2</v>
      </c>
      <c r="W275" s="2"/>
      <c r="X275" s="2">
        <f t="shared" si="156"/>
        <v>-663149.54</v>
      </c>
      <c r="Y275" s="2"/>
      <c r="Z275" s="19">
        <f t="shared" si="157"/>
        <v>-0.69166119789982672</v>
      </c>
    </row>
    <row r="276" spans="1:26" s="24" customFormat="1" hidden="1" outlineLevel="1" x14ac:dyDescent="0.25">
      <c r="A276" s="44"/>
      <c r="B276" s="11" t="str">
        <f>CONCATENATE("          ", "9152", " - ", "MISC. INCOME")</f>
        <v xml:space="preserve">          9152 - MISC. INCOME</v>
      </c>
      <c r="C276" s="11"/>
      <c r="D276" s="2">
        <f>--1755.54</f>
        <v>1755.54</v>
      </c>
      <c r="E276" s="2"/>
      <c r="F276" s="19">
        <f t="shared" si="150"/>
        <v>3.8925399635898936E-3</v>
      </c>
      <c r="G276" s="2"/>
      <c r="H276" s="2"/>
      <c r="I276" s="2"/>
      <c r="J276" s="19">
        <f t="shared" si="151"/>
        <v>0</v>
      </c>
      <c r="K276" s="2"/>
      <c r="L276" s="2">
        <f t="shared" si="152"/>
        <v>1755.54</v>
      </c>
      <c r="M276" s="2"/>
      <c r="N276" s="19">
        <f t="shared" si="153"/>
        <v>0</v>
      </c>
      <c r="O276" s="11"/>
      <c r="P276" s="2">
        <f>--7408.11</f>
        <v>7408.11</v>
      </c>
      <c r="Q276" s="2"/>
      <c r="R276" s="19">
        <f t="shared" si="154"/>
        <v>7.2180655591122013E-4</v>
      </c>
      <c r="S276" s="2"/>
      <c r="T276" s="2"/>
      <c r="U276" s="2"/>
      <c r="V276" s="19">
        <f t="shared" si="155"/>
        <v>0</v>
      </c>
      <c r="W276" s="2"/>
      <c r="X276" s="2">
        <f t="shared" si="156"/>
        <v>7408.11</v>
      </c>
      <c r="Y276" s="2"/>
      <c r="Z276" s="19">
        <f t="shared" si="157"/>
        <v>0</v>
      </c>
    </row>
    <row r="277" spans="1:26" s="24" customFormat="1" hidden="1" outlineLevel="1" x14ac:dyDescent="0.25">
      <c r="A277" s="44"/>
      <c r="B277" s="11" t="str">
        <f>CONCATENATE("          ", "9160", " - ", "MISC. INCOME")</f>
        <v xml:space="preserve">          9160 - MISC. INCOME</v>
      </c>
      <c r="C277" s="11"/>
      <c r="D277" s="2">
        <f>0</f>
        <v>0</v>
      </c>
      <c r="E277" s="2"/>
      <c r="F277" s="19">
        <f t="shared" si="150"/>
        <v>0</v>
      </c>
      <c r="G277" s="2"/>
      <c r="H277" s="2">
        <v>7601</v>
      </c>
      <c r="I277" s="2"/>
      <c r="J277" s="19">
        <f t="shared" si="151"/>
        <v>1.0290826528968251E-2</v>
      </c>
      <c r="K277" s="2"/>
      <c r="L277" s="2">
        <f t="shared" si="152"/>
        <v>-7601</v>
      </c>
      <c r="M277" s="2"/>
      <c r="N277" s="19">
        <f t="shared" si="153"/>
        <v>-1</v>
      </c>
      <c r="O277" s="11"/>
      <c r="P277" s="2">
        <f>--13615.06</f>
        <v>13615.06</v>
      </c>
      <c r="Q277" s="2"/>
      <c r="R277" s="19">
        <f t="shared" si="154"/>
        <v>1.3265785155896195E-3</v>
      </c>
      <c r="S277" s="2"/>
      <c r="T277" s="2">
        <v>24095</v>
      </c>
      <c r="U277" s="2"/>
      <c r="V277" s="19">
        <f t="shared" si="155"/>
        <v>1.4140113827476174E-3</v>
      </c>
      <c r="W277" s="2"/>
      <c r="X277" s="2">
        <f t="shared" si="156"/>
        <v>-10479.94</v>
      </c>
      <c r="Y277" s="2"/>
      <c r="Z277" s="19">
        <f t="shared" si="157"/>
        <v>-0.43494251919485372</v>
      </c>
    </row>
    <row r="278" spans="1:26" s="24" customFormat="1" hidden="1" outlineLevel="1" x14ac:dyDescent="0.25">
      <c r="A278" s="44"/>
      <c r="B278" s="11" t="str">
        <f>CONCATENATE("          ", "9163", " - ", "MISC. INCOME")</f>
        <v xml:space="preserve">          9163 - MISC. INCOME</v>
      </c>
      <c r="C278" s="11"/>
      <c r="D278" s="2">
        <f>--378760.49</f>
        <v>378760.49</v>
      </c>
      <c r="E278" s="2"/>
      <c r="F278" s="19">
        <f t="shared" si="150"/>
        <v>0.83982156143060838</v>
      </c>
      <c r="G278" s="2"/>
      <c r="H278" s="2"/>
      <c r="I278" s="2"/>
      <c r="J278" s="19">
        <f t="shared" si="151"/>
        <v>0</v>
      </c>
      <c r="K278" s="2"/>
      <c r="L278" s="2">
        <f t="shared" si="152"/>
        <v>378760.49</v>
      </c>
      <c r="M278" s="2"/>
      <c r="N278" s="19">
        <f t="shared" si="153"/>
        <v>0</v>
      </c>
      <c r="O278" s="11"/>
      <c r="P278" s="2">
        <f>--727101.05</f>
        <v>727101.05</v>
      </c>
      <c r="Q278" s="2"/>
      <c r="R278" s="19">
        <f t="shared" si="154"/>
        <v>7.084483150222283E-2</v>
      </c>
      <c r="S278" s="2"/>
      <c r="T278" s="2"/>
      <c r="U278" s="2"/>
      <c r="V278" s="19">
        <f t="shared" si="155"/>
        <v>0</v>
      </c>
      <c r="W278" s="2"/>
      <c r="X278" s="2">
        <f t="shared" si="156"/>
        <v>727101.05</v>
      </c>
      <c r="Y278" s="2"/>
      <c r="Z278" s="19">
        <f t="shared" si="157"/>
        <v>0</v>
      </c>
    </row>
    <row r="279" spans="1:26" s="24" customFormat="1" hidden="1" outlineLevel="1" x14ac:dyDescent="0.25">
      <c r="A279" s="44"/>
      <c r="B279" s="11" t="str">
        <f>CONCATENATE("          ", "9165", " - ", "OTHER INCOME")</f>
        <v xml:space="preserve">          9165 - OTHER INCOME</v>
      </c>
      <c r="C279" s="11"/>
      <c r="D279" s="2">
        <f>--576.86</f>
        <v>576.86</v>
      </c>
      <c r="E279" s="2"/>
      <c r="F279" s="19">
        <f t="shared" si="150"/>
        <v>1.2790654746667499E-3</v>
      </c>
      <c r="G279" s="2"/>
      <c r="H279" s="2"/>
      <c r="I279" s="2"/>
      <c r="J279" s="19">
        <f t="shared" si="151"/>
        <v>0</v>
      </c>
      <c r="K279" s="2"/>
      <c r="L279" s="2">
        <f t="shared" si="152"/>
        <v>576.86</v>
      </c>
      <c r="M279" s="2"/>
      <c r="N279" s="19">
        <f t="shared" si="153"/>
        <v>0</v>
      </c>
      <c r="O279" s="11"/>
      <c r="P279" s="2">
        <f>--4098.54</f>
        <v>4098.54</v>
      </c>
      <c r="Q279" s="2"/>
      <c r="R279" s="19">
        <f t="shared" si="154"/>
        <v>3.9933978324624935E-4</v>
      </c>
      <c r="S279" s="2"/>
      <c r="T279" s="2"/>
      <c r="U279" s="2"/>
      <c r="V279" s="19">
        <f t="shared" si="155"/>
        <v>0</v>
      </c>
      <c r="W279" s="2"/>
      <c r="X279" s="2">
        <f t="shared" si="156"/>
        <v>4098.54</v>
      </c>
      <c r="Y279" s="2"/>
      <c r="Z279" s="19">
        <f t="shared" si="157"/>
        <v>0</v>
      </c>
    </row>
    <row r="280" spans="1:26" x14ac:dyDescent="0.25">
      <c r="A280" s="9"/>
      <c r="B280" s="10"/>
      <c r="C280" s="10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0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x14ac:dyDescent="0.25">
      <c r="A281" s="10"/>
      <c r="B281" s="28" t="s">
        <v>277</v>
      </c>
      <c r="C281" s="28"/>
      <c r="D281" s="20">
        <f>+D162-D164+D271</f>
        <v>-93426.650000000081</v>
      </c>
      <c r="E281" s="14"/>
      <c r="F281" s="22">
        <f>IF(D$12=0,0,D281/D$12)</f>
        <v>-0.20715390637030545</v>
      </c>
      <c r="G281" s="14"/>
      <c r="H281" s="20">
        <f>+H162-H164+H271</f>
        <v>-190331.93117498106</v>
      </c>
      <c r="I281" s="14"/>
      <c r="J281" s="22">
        <f>IF(H$12=0,0,H281/H$12)</f>
        <v>-0.25768621058350932</v>
      </c>
      <c r="K281" s="16"/>
      <c r="L281" s="20">
        <f>+D281-H281</f>
        <v>96905.281174980977</v>
      </c>
      <c r="M281" s="16"/>
      <c r="N281" s="22">
        <f>IF(H281=0,0,L281/H281)</f>
        <v>-0.50913832785047197</v>
      </c>
      <c r="O281" s="29"/>
      <c r="P281" s="20">
        <f>+P162-P164+P271</f>
        <v>-2559372.7899999986</v>
      </c>
      <c r="Q281" s="14"/>
      <c r="R281" s="22">
        <f>IF(P$12=0,0,P281/P$12)</f>
        <v>-0.24937157504988311</v>
      </c>
      <c r="S281" s="14"/>
      <c r="T281" s="20">
        <f>+T162-T164+T271</f>
        <v>-1810187.9718338642</v>
      </c>
      <c r="U281" s="14"/>
      <c r="V281" s="22">
        <f>IF(T$12=0,0,T281/T$12)</f>
        <v>-0.10623060373878014</v>
      </c>
      <c r="W281" s="16"/>
      <c r="X281" s="20">
        <f>+P281-T281</f>
        <v>-749184.81816613441</v>
      </c>
      <c r="Y281" s="16"/>
      <c r="Z281" s="22">
        <f>IF(T281=0,0,X281/T281)</f>
        <v>0.41387128288514186</v>
      </c>
    </row>
    <row r="282" spans="1:26" x14ac:dyDescent="0.25">
      <c r="A282" s="9"/>
      <c r="B282" s="10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x14ac:dyDescent="0.25">
      <c r="A283" s="52"/>
      <c r="B283" s="10" t="s">
        <v>128</v>
      </c>
      <c r="C283" s="10"/>
      <c r="D283" s="4">
        <v>744030.66</v>
      </c>
      <c r="E283" s="4"/>
      <c r="F283" s="12">
        <f>IF(D$12=0,0,D283/D$12)</f>
        <v>1.6497311813949922</v>
      </c>
      <c r="G283" s="4"/>
      <c r="H283" s="4">
        <v>-130463</v>
      </c>
      <c r="I283" s="4"/>
      <c r="J283" s="12">
        <f>IF(H$12=0,0,H283/H$12)</f>
        <v>-0.17663098295603011</v>
      </c>
      <c r="K283" s="4"/>
      <c r="L283" s="4">
        <f>+D283-H283</f>
        <v>874493.66</v>
      </c>
      <c r="M283" s="4"/>
      <c r="N283" s="12">
        <f>IF(H283=0,0,L283/H283)</f>
        <v>-6.7030013107164486</v>
      </c>
      <c r="O283" s="10"/>
      <c r="P283" s="4">
        <v>2840823.75</v>
      </c>
      <c r="Q283" s="4"/>
      <c r="R283" s="12">
        <f>IF(P$12=0,0,P283/P$12)</f>
        <v>0.27679464896421585</v>
      </c>
      <c r="S283" s="4"/>
      <c r="T283" s="4">
        <v>2879203</v>
      </c>
      <c r="U283" s="4"/>
      <c r="V283" s="12">
        <f>IF(T$12=0,0,T283/T$12)</f>
        <v>0.16896558685374927</v>
      </c>
      <c r="W283" s="4"/>
      <c r="X283" s="4">
        <f>+P283-T283</f>
        <v>-38379.25</v>
      </c>
      <c r="Y283" s="4"/>
      <c r="Z283" s="12">
        <f>IF(T283=0,0,X283/T283)</f>
        <v>-1.3329817314027527E-2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8" t="s">
        <v>126</v>
      </c>
      <c r="C285" s="28"/>
      <c r="D285" s="34">
        <f>+D281-D283</f>
        <v>-837457.31</v>
      </c>
      <c r="E285" s="14"/>
      <c r="F285" s="35">
        <f>IF(D$12=0,0,D285/D$12)</f>
        <v>-1.8568850877652976</v>
      </c>
      <c r="G285" s="14"/>
      <c r="H285" s="34">
        <f>+H281-H283</f>
        <v>-59868.931174981059</v>
      </c>
      <c r="I285" s="14"/>
      <c r="J285" s="35">
        <f>IF(H$12=0,0,H285/H$12)</f>
        <v>-8.1055227627479201E-2</v>
      </c>
      <c r="K285" s="16"/>
      <c r="L285" s="34">
        <f>D285-H285</f>
        <v>-777588.378825019</v>
      </c>
      <c r="M285" s="16"/>
      <c r="N285" s="35">
        <f>IF(H285=0,0,L285/H285)</f>
        <v>12.988178735851051</v>
      </c>
      <c r="O285" s="29"/>
      <c r="P285" s="34">
        <f>+P281-P283</f>
        <v>-5400196.5399999991</v>
      </c>
      <c r="Q285" s="14"/>
      <c r="R285" s="35">
        <f>IF(P$12=0,0,P285/P$12)</f>
        <v>-0.52616622401409896</v>
      </c>
      <c r="S285" s="14"/>
      <c r="T285" s="34">
        <f>+T281-T283</f>
        <v>-4689390.9718338642</v>
      </c>
      <c r="U285" s="14"/>
      <c r="V285" s="35">
        <f>IF(T$12=0,0,T285/T$12)</f>
        <v>-0.27519619059252942</v>
      </c>
      <c r="W285" s="16"/>
      <c r="X285" s="34">
        <f>P285-T285</f>
        <v>-710805.56816613488</v>
      </c>
      <c r="Y285" s="16"/>
      <c r="Z285" s="35">
        <f>IF(T285=0,0,X285/T285)</f>
        <v>0.15157737378595296</v>
      </c>
    </row>
    <row r="286" spans="1:26" ht="15.75" thickTop="1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x14ac:dyDescent="0.25">
      <c r="A287" s="52"/>
      <c r="B287" s="10" t="s">
        <v>184</v>
      </c>
      <c r="C287" s="10"/>
      <c r="D287" s="4">
        <f>-920090.89</f>
        <v>-920090.89</v>
      </c>
      <c r="E287" s="4"/>
      <c r="F287" s="12">
        <f t="shared" ref="F287:F288" si="158">IF(D$12=0,0,D287/D$12)</f>
        <v>-2.0401076360891763</v>
      </c>
      <c r="G287" s="4"/>
      <c r="H287" s="4">
        <f t="shared" ref="H287:H288" si="159">--15000</f>
        <v>15000</v>
      </c>
      <c r="I287" s="4"/>
      <c r="J287" s="12">
        <f t="shared" ref="J287:J288" si="160">IF(H$12=0,0,H287/H$12)</f>
        <v>2.0308169705897085E-2</v>
      </c>
      <c r="K287" s="4"/>
      <c r="L287" s="4">
        <f t="shared" ref="L287:L288" si="161">+D287-H287</f>
        <v>-935090.89</v>
      </c>
      <c r="M287" s="4"/>
      <c r="N287" s="12">
        <f t="shared" ref="N287:N288" si="162">IF(H287=0,0,L287/H287)</f>
        <v>-62.339392666666669</v>
      </c>
      <c r="O287" s="10"/>
      <c r="P287" s="4">
        <f>--1782877.25</f>
        <v>1782877.25</v>
      </c>
      <c r="Q287" s="4"/>
      <c r="R287" s="12">
        <f t="shared" ref="R287:R288" si="163">IF(P$12=0,0,P287/P$12)</f>
        <v>0.17371400902996412</v>
      </c>
      <c r="S287" s="4"/>
      <c r="T287" s="4">
        <f t="shared" ref="T287:T288" si="164">--180000</f>
        <v>180000</v>
      </c>
      <c r="U287" s="4"/>
      <c r="V287" s="12">
        <f t="shared" ref="V287:V288" si="165">IF(T$12=0,0,T287/T$12)</f>
        <v>1.0563272417288697E-2</v>
      </c>
      <c r="W287" s="4"/>
      <c r="X287" s="4">
        <f t="shared" ref="X287:X288" si="166">+P287-T287</f>
        <v>1602877.25</v>
      </c>
      <c r="Y287" s="4"/>
      <c r="Z287" s="12">
        <f t="shared" ref="Z287:Z288" si="167">IF(T287=0,0,X287/T287)</f>
        <v>8.9048736111111104</v>
      </c>
    </row>
    <row r="288" spans="1:26" s="23" customFormat="1" x14ac:dyDescent="0.25">
      <c r="A288" s="52"/>
      <c r="B288" s="10" t="s">
        <v>82</v>
      </c>
      <c r="C288" s="10"/>
      <c r="D288" s="4">
        <f>--2951630.18</f>
        <v>2951630.18</v>
      </c>
      <c r="E288" s="4"/>
      <c r="F288" s="12">
        <f t="shared" si="158"/>
        <v>6.5446178574045772</v>
      </c>
      <c r="G288" s="4"/>
      <c r="H288" s="4">
        <f t="shared" si="159"/>
        <v>15000</v>
      </c>
      <c r="I288" s="4"/>
      <c r="J288" s="12">
        <f t="shared" si="160"/>
        <v>2.0308169705897085E-2</v>
      </c>
      <c r="K288" s="4"/>
      <c r="L288" s="4">
        <f t="shared" si="161"/>
        <v>2936630.18</v>
      </c>
      <c r="M288" s="4"/>
      <c r="N288" s="12">
        <f t="shared" si="162"/>
        <v>195.77534533333335</v>
      </c>
      <c r="O288" s="10"/>
      <c r="P288" s="4">
        <f>--3055858.1</f>
        <v>3055858.1</v>
      </c>
      <c r="Q288" s="4"/>
      <c r="R288" s="12">
        <f t="shared" si="163"/>
        <v>0.29774644416921525</v>
      </c>
      <c r="S288" s="4"/>
      <c r="T288" s="4">
        <f t="shared" si="164"/>
        <v>180000</v>
      </c>
      <c r="U288" s="4"/>
      <c r="V288" s="12">
        <f t="shared" si="165"/>
        <v>1.0563272417288697E-2</v>
      </c>
      <c r="W288" s="4"/>
      <c r="X288" s="4">
        <f t="shared" si="166"/>
        <v>2875858.1</v>
      </c>
      <c r="Y288" s="4"/>
      <c r="Z288" s="12">
        <f t="shared" si="167"/>
        <v>15.976989444444445</v>
      </c>
    </row>
    <row r="289" spans="1:26" x14ac:dyDescent="0.25">
      <c r="A289" s="9"/>
      <c r="B289" s="9"/>
      <c r="C289" s="9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s="23" customFormat="1" ht="15.75" thickBot="1" x14ac:dyDescent="0.3">
      <c r="A290" s="10"/>
      <c r="B290" s="28" t="s">
        <v>294</v>
      </c>
      <c r="C290" s="28"/>
      <c r="D290" s="33">
        <f>SUM(D285:D289)</f>
        <v>1194081.98</v>
      </c>
      <c r="E290" s="14"/>
      <c r="F290" s="31">
        <f>IF(D$12=0,0,D290/D$12)</f>
        <v>2.6476251335501031</v>
      </c>
      <c r="G290" s="14"/>
      <c r="H290" s="33">
        <f>SUM(H285:H289)</f>
        <v>-29868.931174981059</v>
      </c>
      <c r="I290" s="14"/>
      <c r="J290" s="31">
        <f>IF(H$12=0,0,H290/H$12)</f>
        <v>-4.0438888215685025E-2</v>
      </c>
      <c r="K290" s="16"/>
      <c r="L290" s="33">
        <f>+D290-H290</f>
        <v>1223950.9111749809</v>
      </c>
      <c r="M290" s="16"/>
      <c r="N290" s="31">
        <f>IF(H290=0,0,L290/H290)</f>
        <v>-40.977392327991701</v>
      </c>
      <c r="O290" s="29"/>
      <c r="P290" s="33">
        <f>SUM(P285:P289)</f>
        <v>-561461.18999999901</v>
      </c>
      <c r="Q290" s="14"/>
      <c r="R290" s="31">
        <f>IF(P$12=0,0,P290/P$12)</f>
        <v>-5.470577081491966E-2</v>
      </c>
      <c r="S290" s="14"/>
      <c r="T290" s="33">
        <f>SUM(T285:T289)</f>
        <v>-4329390.9718338642</v>
      </c>
      <c r="U290" s="14"/>
      <c r="V290" s="31">
        <f>IF(T$12=0,0,T290/T$12)</f>
        <v>-0.25406964575795199</v>
      </c>
      <c r="W290" s="16"/>
      <c r="X290" s="33">
        <f>+P290-T290</f>
        <v>3767929.7818338652</v>
      </c>
      <c r="Y290" s="16"/>
      <c r="Z290" s="31">
        <f>IF(T290=0,0,X290/T290)</f>
        <v>-0.870314047945138</v>
      </c>
    </row>
    <row r="291" spans="1:26" ht="15.75" thickTop="1" x14ac:dyDescent="0.25">
      <c r="A291" s="9"/>
      <c r="C291" s="9"/>
      <c r="D291" s="18"/>
      <c r="E291" s="18"/>
      <c r="G291" s="18"/>
      <c r="H291" s="18"/>
      <c r="I291" s="18"/>
      <c r="J291" s="42"/>
      <c r="K291" s="18"/>
      <c r="L291" s="18"/>
      <c r="M291" s="18"/>
      <c r="P291" s="18"/>
      <c r="Q291" s="18"/>
      <c r="R291" s="42"/>
      <c r="S291" s="18"/>
      <c r="T291" s="18"/>
      <c r="U291" s="18"/>
      <c r="V291" s="42"/>
      <c r="W291" s="18"/>
      <c r="X291" s="18"/>
    </row>
    <row r="292" spans="1:26" x14ac:dyDescent="0.25">
      <c r="A292" s="9"/>
      <c r="B292" s="56">
        <v>44454.686055358798</v>
      </c>
      <c r="D292" s="18"/>
      <c r="E292" s="18"/>
      <c r="G292" s="18"/>
      <c r="H292" s="18"/>
      <c r="I292" s="18"/>
      <c r="J292" s="42"/>
      <c r="K292" s="18"/>
      <c r="L292" s="18"/>
      <c r="M292" s="18"/>
      <c r="P292" s="18"/>
      <c r="Q292" s="18"/>
      <c r="R292" s="42"/>
      <c r="S292" s="18"/>
      <c r="T292" s="18"/>
      <c r="U292" s="18"/>
      <c r="V292" s="42"/>
      <c r="W292" s="18"/>
      <c r="X292" s="18"/>
    </row>
    <row r="293" spans="1:26" x14ac:dyDescent="0.25">
      <c r="A293" s="9"/>
      <c r="B293" s="55" t="s">
        <v>56</v>
      </c>
      <c r="D293" s="18"/>
      <c r="E293" s="18"/>
      <c r="G293" s="18"/>
      <c r="H293" s="18"/>
      <c r="I293" s="18"/>
      <c r="J293" s="42"/>
      <c r="K293" s="18"/>
      <c r="L293" s="18"/>
      <c r="M293" s="18"/>
      <c r="P293" s="18"/>
      <c r="Q293" s="18"/>
      <c r="R293" s="42"/>
      <c r="S293" s="18"/>
      <c r="T293" s="18"/>
      <c r="U293" s="18"/>
      <c r="V293" s="42"/>
      <c r="W293" s="18"/>
      <c r="X293" s="18"/>
    </row>
    <row r="294" spans="1:26" x14ac:dyDescent="0.25">
      <c r="A294" s="9"/>
      <c r="B294" s="63"/>
      <c r="D294" s="18"/>
      <c r="E294" s="18"/>
      <c r="G294" s="18"/>
      <c r="H294" s="18"/>
      <c r="I294" s="18"/>
      <c r="J294" s="42"/>
      <c r="K294" s="18"/>
      <c r="L294" s="18"/>
      <c r="M294" s="18"/>
      <c r="P294" s="18"/>
      <c r="Q294" s="18"/>
      <c r="R294" s="42"/>
      <c r="S294" s="18"/>
      <c r="T294" s="18"/>
      <c r="U294" s="18"/>
      <c r="V294" s="42"/>
      <c r="W294" s="18"/>
      <c r="X294" s="18"/>
    </row>
    <row r="295" spans="1:26" x14ac:dyDescent="0.25">
      <c r="D295" s="18"/>
      <c r="E295" s="18"/>
      <c r="G295" s="18"/>
      <c r="H295" s="18"/>
      <c r="I295" s="18"/>
      <c r="J295" s="42"/>
      <c r="K295" s="18"/>
      <c r="L295" s="18"/>
      <c r="M295" s="18"/>
      <c r="P295" s="18"/>
      <c r="Q295" s="18"/>
      <c r="R295" s="42"/>
      <c r="S295" s="18"/>
      <c r="T295" s="18"/>
      <c r="U295" s="18"/>
      <c r="V295" s="42"/>
      <c r="W295" s="18"/>
      <c r="X29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4">
        <f>+D22-D24</f>
        <v>0</v>
      </c>
      <c r="E26" s="14"/>
      <c r="F26" s="35">
        <f>IF(D$12=0,0,D26/D$12)</f>
        <v>0</v>
      </c>
      <c r="G26" s="14"/>
      <c r="H26" s="34">
        <f>+H22-H24</f>
        <v>0</v>
      </c>
      <c r="I26" s="14"/>
      <c r="J26" s="35">
        <f>IF(H$12=0,0,H26/H$12)</f>
        <v>0</v>
      </c>
      <c r="K26" s="16"/>
      <c r="L26" s="34">
        <f>D26-H26</f>
        <v>0</v>
      </c>
      <c r="M26" s="16"/>
      <c r="N26" s="35">
        <f>IF(H26=0,0,L26/H26)</f>
        <v>0</v>
      </c>
      <c r="O26" s="29"/>
      <c r="P26" s="34">
        <f>+P22-P24</f>
        <v>0</v>
      </c>
      <c r="Q26" s="14"/>
      <c r="R26" s="35">
        <f>IF(P$12=0,0,P26/P$12)</f>
        <v>0</v>
      </c>
      <c r="S26" s="14"/>
      <c r="T26" s="34">
        <f>+T22-T24</f>
        <v>0</v>
      </c>
      <c r="U26" s="14"/>
      <c r="V26" s="35">
        <f>IF(T$12=0,0,T26/T$12)</f>
        <v>0</v>
      </c>
      <c r="W26" s="16"/>
      <c r="X26" s="34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-920090.89</f>
        <v>-920090.89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-935090.89</v>
      </c>
      <c r="M28" s="4"/>
      <c r="N28" s="12">
        <f t="shared" ref="N28:N29" si="4">IF(H28=0,0,L28/H28)</f>
        <v>-62.339392666666669</v>
      </c>
      <c r="O28" s="10"/>
      <c r="P28" s="4">
        <f>--1782877.25</f>
        <v>1782877.25</v>
      </c>
      <c r="Q28" s="4"/>
      <c r="R28" s="12">
        <f t="shared" ref="R28:R29" si="5">IF(P$12=0,0,P28/P$12)</f>
        <v>0</v>
      </c>
      <c r="S28" s="4"/>
      <c r="T28" s="4">
        <f t="shared" ref="T28:T29" si="6">--180000</f>
        <v>180000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1602877.25</v>
      </c>
      <c r="Y28" s="4"/>
      <c r="Z28" s="12">
        <f t="shared" ref="Z28:Z29" si="9">IF(T28=0,0,X28/T28)</f>
        <v>8.9048736111111104</v>
      </c>
    </row>
    <row r="29" spans="1:26" s="23" customFormat="1" x14ac:dyDescent="0.25">
      <c r="A29" s="52"/>
      <c r="B29" s="10" t="s">
        <v>82</v>
      </c>
      <c r="C29" s="10"/>
      <c r="D29" s="4">
        <f>--2951630.18</f>
        <v>2951630.18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2936630.18</v>
      </c>
      <c r="M29" s="4"/>
      <c r="N29" s="12">
        <f t="shared" si="4"/>
        <v>195.77534533333335</v>
      </c>
      <c r="O29" s="10"/>
      <c r="P29" s="4">
        <f>--3055858.1</f>
        <v>3055858.1</v>
      </c>
      <c r="Q29" s="4"/>
      <c r="R29" s="12">
        <f t="shared" si="5"/>
        <v>0</v>
      </c>
      <c r="S29" s="4"/>
      <c r="T29" s="4">
        <f t="shared" si="6"/>
        <v>180000</v>
      </c>
      <c r="U29" s="4"/>
      <c r="V29" s="12">
        <f t="shared" si="7"/>
        <v>0</v>
      </c>
      <c r="W29" s="4"/>
      <c r="X29" s="4">
        <f t="shared" si="8"/>
        <v>2875858.1</v>
      </c>
      <c r="Y29" s="4"/>
      <c r="Z29" s="12">
        <f t="shared" si="9"/>
        <v>15.976989444444445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SUM(D26:D30)</f>
        <v>2031539.29</v>
      </c>
      <c r="E31" s="14"/>
      <c r="F31" s="31">
        <f>IF(D$12=0,0,D31/D$12)</f>
        <v>0</v>
      </c>
      <c r="G31" s="14"/>
      <c r="H31" s="33">
        <f>SUM(H26:H30)</f>
        <v>30000</v>
      </c>
      <c r="I31" s="14"/>
      <c r="J31" s="31">
        <f>IF(H$12=0,0,H31/H$12)</f>
        <v>0</v>
      </c>
      <c r="K31" s="16"/>
      <c r="L31" s="33">
        <f>+D31-H31</f>
        <v>2001539.29</v>
      </c>
      <c r="M31" s="16"/>
      <c r="N31" s="31">
        <f>IF(H31=0,0,L31/H31)</f>
        <v>66.71797633333334</v>
      </c>
      <c r="O31" s="29"/>
      <c r="P31" s="33">
        <f>SUM(P26:P30)</f>
        <v>4838735.3499999996</v>
      </c>
      <c r="Q31" s="14"/>
      <c r="R31" s="31">
        <f>IF(P$12=0,0,P31/P$12)</f>
        <v>0</v>
      </c>
      <c r="S31" s="14"/>
      <c r="T31" s="33">
        <f>SUM(T26:T30)</f>
        <v>360000</v>
      </c>
      <c r="U31" s="14"/>
      <c r="V31" s="31">
        <f>IF(T$12=0,0,T31/T$12)</f>
        <v>0</v>
      </c>
      <c r="W31" s="16"/>
      <c r="X31" s="33">
        <f>+P31-T31</f>
        <v>4478735.3499999996</v>
      </c>
      <c r="Y31" s="16"/>
      <c r="Z31" s="31">
        <f>IF(T31=0,0,X31/T31)</f>
        <v>12.440931527777776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6">
        <v>44454.686102928237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4">
        <f>+D22-D24</f>
        <v>0</v>
      </c>
      <c r="E26" s="14"/>
      <c r="F26" s="35">
        <f>IF(D$12=0,0,D26/D$12)</f>
        <v>0</v>
      </c>
      <c r="G26" s="14"/>
      <c r="H26" s="34">
        <f>+H22-H24</f>
        <v>0</v>
      </c>
      <c r="I26" s="14"/>
      <c r="J26" s="35">
        <f>IF(H$12=0,0,H26/H$12)</f>
        <v>0</v>
      </c>
      <c r="K26" s="16"/>
      <c r="L26" s="34">
        <f>D26-H26</f>
        <v>0</v>
      </c>
      <c r="M26" s="16"/>
      <c r="N26" s="35">
        <f>IF(H26=0,0,L26/H26)</f>
        <v>0</v>
      </c>
      <c r="O26" s="29"/>
      <c r="P26" s="34">
        <f>+P22-P24</f>
        <v>0</v>
      </c>
      <c r="Q26" s="14"/>
      <c r="R26" s="35">
        <f>IF(P$12=0,0,P26/P$12)</f>
        <v>0</v>
      </c>
      <c r="S26" s="14"/>
      <c r="T26" s="34">
        <f>+T22-T24</f>
        <v>0</v>
      </c>
      <c r="U26" s="14"/>
      <c r="V26" s="35">
        <f>IF(T$12=0,0,T26/T$12)</f>
        <v>0</v>
      </c>
      <c r="W26" s="16"/>
      <c r="X26" s="34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-920090.89</f>
        <v>-920090.89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-935090.89</v>
      </c>
      <c r="M28" s="4"/>
      <c r="N28" s="12">
        <f t="shared" ref="N28:N29" si="4">IF(H28=0,0,L28/H28)</f>
        <v>-62.339392666666669</v>
      </c>
      <c r="O28" s="10"/>
      <c r="P28" s="4">
        <f>--1782877.25</f>
        <v>1782877.25</v>
      </c>
      <c r="Q28" s="4"/>
      <c r="R28" s="12">
        <f t="shared" ref="R28:R29" si="5">IF(P$12=0,0,P28/P$12)</f>
        <v>0</v>
      </c>
      <c r="S28" s="4"/>
      <c r="T28" s="4">
        <f t="shared" ref="T28:T29" si="6">--180000</f>
        <v>180000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1602877.25</v>
      </c>
      <c r="Y28" s="4"/>
      <c r="Z28" s="12">
        <f t="shared" ref="Z28:Z29" si="9">IF(T28=0,0,X28/T28)</f>
        <v>8.9048736111111104</v>
      </c>
    </row>
    <row r="29" spans="1:26" s="23" customFormat="1" x14ac:dyDescent="0.25">
      <c r="A29" s="52"/>
      <c r="B29" s="10" t="s">
        <v>82</v>
      </c>
      <c r="C29" s="10"/>
      <c r="D29" s="4">
        <f>--2951630.18</f>
        <v>2951630.18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2936630.18</v>
      </c>
      <c r="M29" s="4"/>
      <c r="N29" s="12">
        <f t="shared" si="4"/>
        <v>195.77534533333335</v>
      </c>
      <c r="O29" s="10"/>
      <c r="P29" s="4">
        <f>--3055858.1</f>
        <v>3055858.1</v>
      </c>
      <c r="Q29" s="4"/>
      <c r="R29" s="12">
        <f t="shared" si="5"/>
        <v>0</v>
      </c>
      <c r="S29" s="4"/>
      <c r="T29" s="4">
        <f t="shared" si="6"/>
        <v>180000</v>
      </c>
      <c r="U29" s="4"/>
      <c r="V29" s="12">
        <f t="shared" si="7"/>
        <v>0</v>
      </c>
      <c r="W29" s="4"/>
      <c r="X29" s="4">
        <f t="shared" si="8"/>
        <v>2875858.1</v>
      </c>
      <c r="Y29" s="4"/>
      <c r="Z29" s="12">
        <f t="shared" si="9"/>
        <v>15.976989444444445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SUM(D26:D30)</f>
        <v>2031539.29</v>
      </c>
      <c r="E31" s="14"/>
      <c r="F31" s="31">
        <f>IF(D$12=0,0,D31/D$12)</f>
        <v>0</v>
      </c>
      <c r="G31" s="14"/>
      <c r="H31" s="33">
        <f>SUM(H26:H30)</f>
        <v>30000</v>
      </c>
      <c r="I31" s="14"/>
      <c r="J31" s="31">
        <f>IF(H$12=0,0,H31/H$12)</f>
        <v>0</v>
      </c>
      <c r="K31" s="16"/>
      <c r="L31" s="33">
        <f>+D31-H31</f>
        <v>2001539.29</v>
      </c>
      <c r="M31" s="16"/>
      <c r="N31" s="31">
        <f>IF(H31=0,0,L31/H31)</f>
        <v>66.71797633333334</v>
      </c>
      <c r="O31" s="29"/>
      <c r="P31" s="33">
        <f>SUM(P26:P30)</f>
        <v>4838735.3499999996</v>
      </c>
      <c r="Q31" s="14"/>
      <c r="R31" s="31">
        <f>IF(P$12=0,0,P31/P$12)</f>
        <v>0</v>
      </c>
      <c r="S31" s="14"/>
      <c r="T31" s="33">
        <f>SUM(T26:T30)</f>
        <v>360000</v>
      </c>
      <c r="U31" s="14"/>
      <c r="V31" s="31">
        <f>IF(T$12=0,0,T31/T$12)</f>
        <v>0</v>
      </c>
      <c r="W31" s="16"/>
      <c r="X31" s="33">
        <f>+P31-T31</f>
        <v>4478735.3499999996</v>
      </c>
      <c r="Y31" s="16"/>
      <c r="Z31" s="31">
        <f>IF(T31=0,0,X31/T31)</f>
        <v>12.440931527777776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6">
        <v>44454.686112384261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0</v>
      </c>
      <c r="U17" s="14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1">
        <f>SUM(OSRRefD22x_0)</f>
        <v>744030.65999999992</v>
      </c>
      <c r="E19" s="21"/>
      <c r="F19" s="30">
        <f t="shared" ref="F19:F31" si="4">IF(D$12=0,0,D19/D$12)</f>
        <v>0</v>
      </c>
      <c r="G19" s="21"/>
      <c r="H19" s="21">
        <f>SUM(OSRRefH22x_0)</f>
        <v>-130464.28471999991</v>
      </c>
      <c r="I19" s="21"/>
      <c r="J19" s="30">
        <f t="shared" ref="J19:J31" si="5">IF(H$12=0,0,H19/H$12)</f>
        <v>0</v>
      </c>
      <c r="K19" s="4"/>
      <c r="L19" s="21">
        <f t="shared" ref="L19:L31" si="6">+D19-H19</f>
        <v>874494.9447199998</v>
      </c>
      <c r="M19" s="4"/>
      <c r="N19" s="30">
        <f t="shared" ref="N19:N31" si="7">IF(H19=0,0,L19/H19)</f>
        <v>-6.7029451515932124</v>
      </c>
      <c r="O19" s="10"/>
      <c r="P19" s="21">
        <f>SUM(OSRRefP22x_0)</f>
        <v>2840823.7500000005</v>
      </c>
      <c r="Q19" s="21"/>
      <c r="R19" s="30">
        <f t="shared" ref="R19:R31" si="8">IF(P$12=0,0,P19/P$12)</f>
        <v>0</v>
      </c>
      <c r="S19" s="21"/>
      <c r="T19" s="21">
        <f>SUM(OSRRefT22x_0)</f>
        <v>2862485.303304615</v>
      </c>
      <c r="U19" s="21"/>
      <c r="V19" s="30">
        <f t="shared" ref="V19:V31" si="9">IF(T$12=0,0,T19/T$12)</f>
        <v>0</v>
      </c>
      <c r="W19" s="4"/>
      <c r="X19" s="21">
        <f t="shared" ref="X19:X31" si="10">+P19-T19</f>
        <v>-21661.553304614499</v>
      </c>
      <c r="Y19" s="4"/>
      <c r="Z19" s="30">
        <f t="shared" ref="Z19:Z31" si="11">IF(T19=0,0,X19/T19)</f>
        <v>-7.5673937188802951E-3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570244.29</v>
      </c>
      <c r="E20" s="1"/>
      <c r="F20" s="5">
        <f t="shared" si="4"/>
        <v>0</v>
      </c>
      <c r="G20" s="1"/>
      <c r="H20" s="1">
        <f>SUM(OSRRefH22_0x_0)</f>
        <v>-301911.96164307691</v>
      </c>
      <c r="I20" s="1"/>
      <c r="J20" s="5">
        <f t="shared" si="5"/>
        <v>0</v>
      </c>
      <c r="K20" s="1"/>
      <c r="L20" s="1">
        <f t="shared" si="6"/>
        <v>872156.251643077</v>
      </c>
      <c r="M20" s="1"/>
      <c r="N20" s="5">
        <f t="shared" si="7"/>
        <v>-2.8887767377502853</v>
      </c>
      <c r="O20" s="13"/>
      <c r="P20" s="1">
        <f>SUM(OSRRefP22_0x_0)</f>
        <v>1080416.2299999997</v>
      </c>
      <c r="Q20" s="1"/>
      <c r="R20" s="5">
        <f t="shared" si="8"/>
        <v>0</v>
      </c>
      <c r="S20" s="1"/>
      <c r="T20" s="1">
        <f>SUM(OSRRefT22_0x_0)</f>
        <v>582894.38022769208</v>
      </c>
      <c r="U20" s="1"/>
      <c r="V20" s="5">
        <f t="shared" si="9"/>
        <v>0</v>
      </c>
      <c r="W20" s="1"/>
      <c r="X20" s="1">
        <f t="shared" si="10"/>
        <v>497521.84977230767</v>
      </c>
      <c r="Y20" s="1"/>
      <c r="Z20" s="5">
        <f t="shared" si="11"/>
        <v>0.85353687846152182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7326.22</v>
      </c>
      <c r="E21" s="2"/>
      <c r="F21" s="7">
        <f t="shared" si="4"/>
        <v>0</v>
      </c>
      <c r="G21" s="2"/>
      <c r="H21" s="6">
        <v>8027.1728307692301</v>
      </c>
      <c r="I21" s="2"/>
      <c r="J21" s="7">
        <f t="shared" si="5"/>
        <v>0</v>
      </c>
      <c r="K21" s="2"/>
      <c r="L21" s="6">
        <f t="shared" si="6"/>
        <v>-700.95283076922988</v>
      </c>
      <c r="M21" s="2"/>
      <c r="N21" s="7">
        <f t="shared" si="7"/>
        <v>-8.7322503893573045E-2</v>
      </c>
      <c r="O21" s="11"/>
      <c r="P21" s="6">
        <v>93764.74</v>
      </c>
      <c r="Q21" s="2"/>
      <c r="R21" s="7">
        <f t="shared" si="8"/>
        <v>0</v>
      </c>
      <c r="S21" s="2"/>
      <c r="T21" s="6">
        <v>93110.401107692407</v>
      </c>
      <c r="U21" s="2"/>
      <c r="V21" s="7">
        <f t="shared" si="9"/>
        <v>0</v>
      </c>
      <c r="W21" s="2"/>
      <c r="X21" s="6">
        <f t="shared" si="10"/>
        <v>654.33889230759814</v>
      </c>
      <c r="Y21" s="2"/>
      <c r="Z21" s="7">
        <f t="shared" si="11"/>
        <v>7.0275595907999941E-3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596.76</v>
      </c>
      <c r="E22" s="2"/>
      <c r="F22" s="7">
        <f t="shared" si="4"/>
        <v>0</v>
      </c>
      <c r="G22" s="2"/>
      <c r="H22" s="6">
        <v>652.68862153846101</v>
      </c>
      <c r="I22" s="2"/>
      <c r="J22" s="7">
        <f t="shared" si="5"/>
        <v>0</v>
      </c>
      <c r="K22" s="2"/>
      <c r="L22" s="6">
        <f t="shared" si="6"/>
        <v>-55.928621538461016</v>
      </c>
      <c r="M22" s="2"/>
      <c r="N22" s="7">
        <f t="shared" si="7"/>
        <v>-8.5689591779049126E-2</v>
      </c>
      <c r="O22" s="11"/>
      <c r="P22" s="6">
        <v>7948.31</v>
      </c>
      <c r="Q22" s="2"/>
      <c r="R22" s="7">
        <f t="shared" si="8"/>
        <v>0</v>
      </c>
      <c r="S22" s="2"/>
      <c r="T22" s="6">
        <v>7996.3920553846201</v>
      </c>
      <c r="U22" s="2"/>
      <c r="V22" s="7">
        <f t="shared" si="9"/>
        <v>0</v>
      </c>
      <c r="W22" s="2"/>
      <c r="X22" s="6">
        <f t="shared" si="10"/>
        <v>-48.082055384619707</v>
      </c>
      <c r="Y22" s="2"/>
      <c r="Z22" s="7">
        <f t="shared" si="11"/>
        <v>-6.0129687303466014E-3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22463.05</v>
      </c>
      <c r="E23" s="2"/>
      <c r="F23" s="7">
        <f t="shared" si="4"/>
        <v>0</v>
      </c>
      <c r="G23" s="2"/>
      <c r="H23" s="6">
        <v>21758.557692307699</v>
      </c>
      <c r="I23" s="2"/>
      <c r="J23" s="7">
        <f t="shared" si="5"/>
        <v>0</v>
      </c>
      <c r="K23" s="2"/>
      <c r="L23" s="6">
        <f t="shared" si="6"/>
        <v>704.49230769230053</v>
      </c>
      <c r="M23" s="2"/>
      <c r="N23" s="7">
        <f t="shared" si="7"/>
        <v>3.237771168726683E-2</v>
      </c>
      <c r="O23" s="11"/>
      <c r="P23" s="6">
        <v>272586.58</v>
      </c>
      <c r="Q23" s="2"/>
      <c r="R23" s="7">
        <f t="shared" si="8"/>
        <v>0</v>
      </c>
      <c r="S23" s="2"/>
      <c r="T23" s="6">
        <v>255187.69230769199</v>
      </c>
      <c r="U23" s="2"/>
      <c r="V23" s="7">
        <f t="shared" si="9"/>
        <v>0</v>
      </c>
      <c r="W23" s="2"/>
      <c r="X23" s="6">
        <f t="shared" si="10"/>
        <v>17398.887692308024</v>
      </c>
      <c r="Y23" s="2"/>
      <c r="Z23" s="7">
        <f t="shared" si="11"/>
        <v>6.8180747805538192E-2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500111.07</v>
      </c>
      <c r="E24" s="2"/>
      <c r="F24" s="7">
        <f t="shared" si="4"/>
        <v>0</v>
      </c>
      <c r="G24" s="2"/>
      <c r="H24" s="6">
        <v>298.75152000000003</v>
      </c>
      <c r="I24" s="2"/>
      <c r="J24" s="7">
        <f t="shared" si="5"/>
        <v>0</v>
      </c>
      <c r="K24" s="2"/>
      <c r="L24" s="6">
        <f t="shared" si="6"/>
        <v>499812.31848000002</v>
      </c>
      <c r="M24" s="2"/>
      <c r="N24" s="7">
        <f t="shared" si="7"/>
        <v>1673.0034326854636</v>
      </c>
      <c r="O24" s="11"/>
      <c r="P24" s="6">
        <v>503255.82</v>
      </c>
      <c r="Q24" s="2"/>
      <c r="R24" s="7">
        <f t="shared" si="8"/>
        <v>0</v>
      </c>
      <c r="S24" s="2"/>
      <c r="T24" s="6">
        <v>3492.2916799999998</v>
      </c>
      <c r="U24" s="2"/>
      <c r="V24" s="7">
        <f t="shared" si="9"/>
        <v>0</v>
      </c>
      <c r="W24" s="2"/>
      <c r="X24" s="6">
        <f t="shared" si="10"/>
        <v>499763.52831999998</v>
      </c>
      <c r="Y24" s="2"/>
      <c r="Z24" s="7">
        <f t="shared" si="11"/>
        <v>143.10475015076634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1033541.89</v>
      </c>
      <c r="E25" s="2"/>
      <c r="F25" s="7">
        <f t="shared" si="4"/>
        <v>0</v>
      </c>
      <c r="G25" s="2"/>
      <c r="H25" s="6">
        <v>7006.3538461538401</v>
      </c>
      <c r="I25" s="2"/>
      <c r="J25" s="7">
        <f t="shared" si="5"/>
        <v>0</v>
      </c>
      <c r="K25" s="2"/>
      <c r="L25" s="6">
        <f t="shared" si="6"/>
        <v>1026535.5361538462</v>
      </c>
      <c r="M25" s="2"/>
      <c r="N25" s="7">
        <f t="shared" si="7"/>
        <v>146.51494324931448</v>
      </c>
      <c r="O25" s="11"/>
      <c r="P25" s="6">
        <v>1131542.27</v>
      </c>
      <c r="Q25" s="2"/>
      <c r="R25" s="7">
        <f t="shared" si="8"/>
        <v>0</v>
      </c>
      <c r="S25" s="2"/>
      <c r="T25" s="6">
        <v>77984.138461538503</v>
      </c>
      <c r="U25" s="2"/>
      <c r="V25" s="7">
        <f t="shared" si="9"/>
        <v>0</v>
      </c>
      <c r="W25" s="2"/>
      <c r="X25" s="6">
        <f t="shared" si="10"/>
        <v>1053558.1315384614</v>
      </c>
      <c r="Y25" s="2"/>
      <c r="Z25" s="7">
        <f t="shared" si="11"/>
        <v>13.509902812583773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>
        <v>2636</v>
      </c>
      <c r="E26" s="2"/>
      <c r="F26" s="7">
        <f t="shared" si="4"/>
        <v>0</v>
      </c>
      <c r="G26" s="2"/>
      <c r="H26" s="6">
        <v>300</v>
      </c>
      <c r="I26" s="2"/>
      <c r="J26" s="7">
        <f t="shared" si="5"/>
        <v>0</v>
      </c>
      <c r="K26" s="2"/>
      <c r="L26" s="6">
        <f t="shared" si="6"/>
        <v>2336</v>
      </c>
      <c r="M26" s="2"/>
      <c r="N26" s="7">
        <f t="shared" si="7"/>
        <v>7.7866666666666671</v>
      </c>
      <c r="O26" s="11"/>
      <c r="P26" s="6">
        <v>7482</v>
      </c>
      <c r="Q26" s="2"/>
      <c r="R26" s="7">
        <f t="shared" si="8"/>
        <v>0</v>
      </c>
      <c r="S26" s="2"/>
      <c r="T26" s="6">
        <v>3600</v>
      </c>
      <c r="U26" s="2"/>
      <c r="V26" s="7">
        <f t="shared" si="9"/>
        <v>0</v>
      </c>
      <c r="W26" s="2"/>
      <c r="X26" s="6">
        <f t="shared" si="10"/>
        <v>3882</v>
      </c>
      <c r="Y26" s="2"/>
      <c r="Z26" s="7">
        <f t="shared" si="11"/>
        <v>1.0783333333333334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6">
        <v>585.27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585.27</v>
      </c>
      <c r="M27" s="2"/>
      <c r="N27" s="7">
        <f t="shared" si="7"/>
        <v>0</v>
      </c>
      <c r="O27" s="11"/>
      <c r="P27" s="6">
        <v>8163.56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8163.56</v>
      </c>
      <c r="Y27" s="2"/>
      <c r="Z27" s="7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10991.56</v>
      </c>
      <c r="E28" s="2"/>
      <c r="F28" s="7">
        <f t="shared" si="4"/>
        <v>0</v>
      </c>
      <c r="G28" s="2"/>
      <c r="H28" s="6">
        <v>5394.4615384615399</v>
      </c>
      <c r="I28" s="2"/>
      <c r="J28" s="7">
        <f t="shared" si="5"/>
        <v>0</v>
      </c>
      <c r="K28" s="2"/>
      <c r="L28" s="6">
        <f t="shared" si="6"/>
        <v>5597.0984615384596</v>
      </c>
      <c r="M28" s="2"/>
      <c r="N28" s="7">
        <f t="shared" si="7"/>
        <v>1.0375638831850325</v>
      </c>
      <c r="O28" s="11"/>
      <c r="P28" s="6">
        <v>84623.14</v>
      </c>
      <c r="Q28" s="2"/>
      <c r="R28" s="7">
        <f t="shared" si="8"/>
        <v>0</v>
      </c>
      <c r="S28" s="2"/>
      <c r="T28" s="6">
        <v>62567.615384615397</v>
      </c>
      <c r="U28" s="2"/>
      <c r="V28" s="7">
        <f t="shared" si="9"/>
        <v>0</v>
      </c>
      <c r="W28" s="2"/>
      <c r="X28" s="6">
        <f t="shared" si="10"/>
        <v>22055.524615384602</v>
      </c>
      <c r="Y28" s="2"/>
      <c r="Z28" s="7">
        <f t="shared" si="11"/>
        <v>0.35250703546563134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6643.52</v>
      </c>
      <c r="E29" s="2"/>
      <c r="F29" s="7">
        <f t="shared" si="4"/>
        <v>0</v>
      </c>
      <c r="G29" s="2"/>
      <c r="H29" s="6">
        <v>4300.05230769231</v>
      </c>
      <c r="I29" s="2"/>
      <c r="J29" s="7">
        <f t="shared" si="5"/>
        <v>0</v>
      </c>
      <c r="K29" s="2"/>
      <c r="L29" s="6">
        <f t="shared" si="6"/>
        <v>2343.4676923076904</v>
      </c>
      <c r="M29" s="2"/>
      <c r="N29" s="7">
        <f t="shared" si="7"/>
        <v>0.54498585705934099</v>
      </c>
      <c r="O29" s="11"/>
      <c r="P29" s="6">
        <v>55571.360000000001</v>
      </c>
      <c r="Q29" s="2"/>
      <c r="R29" s="7">
        <f t="shared" si="8"/>
        <v>0</v>
      </c>
      <c r="S29" s="2"/>
      <c r="T29" s="6">
        <v>51310.849230769199</v>
      </c>
      <c r="U29" s="2"/>
      <c r="V29" s="7">
        <f t="shared" si="9"/>
        <v>0</v>
      </c>
      <c r="W29" s="2"/>
      <c r="X29" s="6">
        <f t="shared" si="10"/>
        <v>4260.5107692308011</v>
      </c>
      <c r="Y29" s="2"/>
      <c r="Z29" s="7">
        <f t="shared" si="11"/>
        <v>8.3033331802193827E-2</v>
      </c>
    </row>
    <row r="30" spans="1:26" s="24" customFormat="1" hidden="1" outlineLevel="2" x14ac:dyDescent="0.25">
      <c r="A30" s="26"/>
      <c r="B30" s="11" t="str">
        <f>CONCATENATE("          ", "6120", " - ", "RETIREES HEALTH INSURANCE")</f>
        <v xml:space="preserve">          6120 - RETIREES HEALTH INSURANCE</v>
      </c>
      <c r="C30" s="11"/>
      <c r="D30" s="6">
        <v>-1015521.92</v>
      </c>
      <c r="E30" s="2"/>
      <c r="F30" s="7">
        <f t="shared" si="4"/>
        <v>0</v>
      </c>
      <c r="G30" s="2"/>
      <c r="H30" s="6">
        <v>-352000</v>
      </c>
      <c r="I30" s="2"/>
      <c r="J30" s="7">
        <f t="shared" si="5"/>
        <v>0</v>
      </c>
      <c r="K30" s="2"/>
      <c r="L30" s="6">
        <f t="shared" si="6"/>
        <v>-663521.92000000004</v>
      </c>
      <c r="M30" s="2"/>
      <c r="N30" s="7">
        <f t="shared" si="7"/>
        <v>1.8850054545454547</v>
      </c>
      <c r="O30" s="11"/>
      <c r="P30" s="6">
        <v>-1092215.8</v>
      </c>
      <c r="Q30" s="2"/>
      <c r="R30" s="7">
        <f t="shared" si="8"/>
        <v>0</v>
      </c>
      <c r="S30" s="2"/>
      <c r="T30" s="6">
        <v>0</v>
      </c>
      <c r="U30" s="2"/>
      <c r="V30" s="7">
        <f t="shared" si="9"/>
        <v>0</v>
      </c>
      <c r="W30" s="2"/>
      <c r="X30" s="6">
        <f t="shared" si="10"/>
        <v>-1092215.8</v>
      </c>
      <c r="Y30" s="2"/>
      <c r="Z30" s="7">
        <f t="shared" si="11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870.87</v>
      </c>
      <c r="E31" s="2"/>
      <c r="F31" s="7">
        <f t="shared" si="4"/>
        <v>0</v>
      </c>
      <c r="G31" s="2"/>
      <c r="H31" s="6">
        <v>2350</v>
      </c>
      <c r="I31" s="2"/>
      <c r="J31" s="7">
        <f t="shared" si="5"/>
        <v>0</v>
      </c>
      <c r="K31" s="2"/>
      <c r="L31" s="6">
        <f t="shared" si="6"/>
        <v>-1479.13</v>
      </c>
      <c r="M31" s="2"/>
      <c r="N31" s="7">
        <f t="shared" si="7"/>
        <v>-0.62941702127659582</v>
      </c>
      <c r="O31" s="11"/>
      <c r="P31" s="6">
        <v>7694.25</v>
      </c>
      <c r="Q31" s="2"/>
      <c r="R31" s="7">
        <f t="shared" si="8"/>
        <v>0</v>
      </c>
      <c r="S31" s="2"/>
      <c r="T31" s="6">
        <v>27645</v>
      </c>
      <c r="U31" s="2"/>
      <c r="V31" s="7">
        <f t="shared" si="9"/>
        <v>0</v>
      </c>
      <c r="W31" s="2"/>
      <c r="X31" s="6">
        <f t="shared" si="10"/>
        <v>-19950.75</v>
      </c>
      <c r="Y31" s="2"/>
      <c r="Z31" s="7">
        <f t="shared" si="11"/>
        <v>-0.72167661421595231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119645.82</v>
      </c>
      <c r="E32" s="1"/>
      <c r="F32" s="5">
        <f t="shared" ref="F32:F42" si="12">IF(D$12=0,0,D32/D$12)</f>
        <v>0</v>
      </c>
      <c r="G32" s="1"/>
      <c r="H32" s="1">
        <f>SUM(OSRRefH22_1x_0)</f>
        <v>105698.67692307699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13947.143076923021</v>
      </c>
      <c r="M32" s="1"/>
      <c r="N32" s="5">
        <f t="shared" ref="N32:N42" si="15">IF(H32=0,0,L32/H32)</f>
        <v>0.13195191730803935</v>
      </c>
      <c r="O32" s="13"/>
      <c r="P32" s="1">
        <f>SUM(OSRRefP22_1x_0)</f>
        <v>1143105.2600000002</v>
      </c>
      <c r="Q32" s="1"/>
      <c r="R32" s="5">
        <f t="shared" ref="R32:R42" si="16">IF(P$12=0,0,P32/P$12)</f>
        <v>0</v>
      </c>
      <c r="S32" s="1"/>
      <c r="T32" s="1">
        <f>SUM(OSRRefT22_1x_0)</f>
        <v>1235588.923076923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-92483.663076922763</v>
      </c>
      <c r="Y32" s="1"/>
      <c r="Z32" s="5">
        <f t="shared" ref="Z32:Z42" si="19">IF(T32=0,0,X32/T32)</f>
        <v>-7.4849864181863568E-2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>
        <v>52855.03</v>
      </c>
      <c r="E33" s="2"/>
      <c r="F33" s="7">
        <f t="shared" si="12"/>
        <v>0</v>
      </c>
      <c r="G33" s="2"/>
      <c r="H33" s="6">
        <v>40026.9230769231</v>
      </c>
      <c r="I33" s="2"/>
      <c r="J33" s="7">
        <f t="shared" si="13"/>
        <v>0</v>
      </c>
      <c r="K33" s="2"/>
      <c r="L33" s="6">
        <f t="shared" si="14"/>
        <v>12828.106923076899</v>
      </c>
      <c r="M33" s="2"/>
      <c r="N33" s="7">
        <f t="shared" si="15"/>
        <v>0.32048696069952837</v>
      </c>
      <c r="O33" s="11"/>
      <c r="P33" s="6">
        <v>325179.7</v>
      </c>
      <c r="Q33" s="2"/>
      <c r="R33" s="7">
        <f t="shared" si="16"/>
        <v>0</v>
      </c>
      <c r="S33" s="2"/>
      <c r="T33" s="6">
        <v>380226.92307692301</v>
      </c>
      <c r="U33" s="2"/>
      <c r="V33" s="7">
        <f t="shared" si="17"/>
        <v>0</v>
      </c>
      <c r="W33" s="2"/>
      <c r="X33" s="6">
        <f t="shared" si="18"/>
        <v>-55047.223076922994</v>
      </c>
      <c r="Y33" s="2"/>
      <c r="Z33" s="7">
        <f t="shared" si="19"/>
        <v>-0.14477465885756463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>
        <v>45813.25</v>
      </c>
      <c r="E34" s="2"/>
      <c r="F34" s="7">
        <f t="shared" si="12"/>
        <v>0</v>
      </c>
      <c r="G34" s="2"/>
      <c r="H34" s="6">
        <v>34146.153846153902</v>
      </c>
      <c r="I34" s="2"/>
      <c r="J34" s="7">
        <f t="shared" si="13"/>
        <v>0</v>
      </c>
      <c r="K34" s="2"/>
      <c r="L34" s="6">
        <f t="shared" si="14"/>
        <v>11667.096153846098</v>
      </c>
      <c r="M34" s="2"/>
      <c r="N34" s="7">
        <f t="shared" si="15"/>
        <v>0.34168112187429384</v>
      </c>
      <c r="O34" s="11"/>
      <c r="P34" s="6">
        <v>581348.59</v>
      </c>
      <c r="Q34" s="2"/>
      <c r="R34" s="7">
        <f t="shared" si="16"/>
        <v>0</v>
      </c>
      <c r="S34" s="2"/>
      <c r="T34" s="6">
        <v>443900</v>
      </c>
      <c r="U34" s="2"/>
      <c r="V34" s="7">
        <f t="shared" si="17"/>
        <v>0</v>
      </c>
      <c r="W34" s="2"/>
      <c r="X34" s="6">
        <f t="shared" si="18"/>
        <v>137448.58999999997</v>
      </c>
      <c r="Y34" s="2"/>
      <c r="Z34" s="7">
        <f t="shared" si="19"/>
        <v>0.30963863482766379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17307.849999999999</v>
      </c>
      <c r="E36" s="2"/>
      <c r="F36" s="7">
        <f t="shared" si="12"/>
        <v>0</v>
      </c>
      <c r="G36" s="2"/>
      <c r="H36" s="6">
        <v>20346.400000000001</v>
      </c>
      <c r="I36" s="2"/>
      <c r="J36" s="7">
        <f t="shared" si="13"/>
        <v>0</v>
      </c>
      <c r="K36" s="2"/>
      <c r="L36" s="6">
        <f t="shared" si="14"/>
        <v>-3038.5500000000029</v>
      </c>
      <c r="M36" s="2"/>
      <c r="N36" s="7">
        <f t="shared" si="15"/>
        <v>-0.14934091534620389</v>
      </c>
      <c r="O36" s="11"/>
      <c r="P36" s="6">
        <v>204780.37</v>
      </c>
      <c r="Q36" s="2"/>
      <c r="R36" s="7">
        <f t="shared" si="16"/>
        <v>0</v>
      </c>
      <c r="S36" s="2"/>
      <c r="T36" s="6">
        <v>270493.2</v>
      </c>
      <c r="U36" s="2"/>
      <c r="V36" s="7">
        <f t="shared" si="17"/>
        <v>0</v>
      </c>
      <c r="W36" s="2"/>
      <c r="X36" s="6">
        <f t="shared" si="18"/>
        <v>-65712.830000000016</v>
      </c>
      <c r="Y36" s="2"/>
      <c r="Z36" s="7">
        <f t="shared" si="19"/>
        <v>-0.24293708677334591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1984.5</v>
      </c>
      <c r="E37" s="2"/>
      <c r="F37" s="7">
        <f t="shared" si="12"/>
        <v>0</v>
      </c>
      <c r="G37" s="2"/>
      <c r="H37" s="6">
        <v>7772</v>
      </c>
      <c r="I37" s="2"/>
      <c r="J37" s="7">
        <f t="shared" si="13"/>
        <v>0</v>
      </c>
      <c r="K37" s="2"/>
      <c r="L37" s="6">
        <f t="shared" si="14"/>
        <v>-5787.5</v>
      </c>
      <c r="M37" s="2"/>
      <c r="N37" s="7">
        <f t="shared" si="15"/>
        <v>-0.74466031909418429</v>
      </c>
      <c r="O37" s="11"/>
      <c r="P37" s="6">
        <v>60188.51</v>
      </c>
      <c r="Q37" s="2"/>
      <c r="R37" s="7">
        <f t="shared" si="16"/>
        <v>0</v>
      </c>
      <c r="S37" s="2"/>
      <c r="T37" s="6">
        <v>101036</v>
      </c>
      <c r="U37" s="2"/>
      <c r="V37" s="7">
        <f t="shared" si="17"/>
        <v>0</v>
      </c>
      <c r="W37" s="2"/>
      <c r="X37" s="6">
        <f t="shared" si="18"/>
        <v>-40847.49</v>
      </c>
      <c r="Y37" s="2"/>
      <c r="Z37" s="7">
        <f t="shared" si="19"/>
        <v>-0.40428649194346566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12"/>
        <v>0</v>
      </c>
      <c r="G39" s="2"/>
      <c r="H39" s="6">
        <v>1164</v>
      </c>
      <c r="I39" s="2"/>
      <c r="J39" s="7">
        <f t="shared" si="13"/>
        <v>0</v>
      </c>
      <c r="K39" s="2"/>
      <c r="L39" s="6">
        <f t="shared" si="14"/>
        <v>-1164</v>
      </c>
      <c r="M39" s="2"/>
      <c r="N39" s="7">
        <f t="shared" si="15"/>
        <v>-1</v>
      </c>
      <c r="O39" s="11"/>
      <c r="P39" s="6">
        <v>-44841.01</v>
      </c>
      <c r="Q39" s="2"/>
      <c r="R39" s="7">
        <f t="shared" si="16"/>
        <v>0</v>
      </c>
      <c r="S39" s="2"/>
      <c r="T39" s="6">
        <v>14747</v>
      </c>
      <c r="U39" s="2"/>
      <c r="V39" s="7">
        <f t="shared" si="17"/>
        <v>0</v>
      </c>
      <c r="W39" s="2"/>
      <c r="X39" s="6">
        <f t="shared" si="18"/>
        <v>-59588.01</v>
      </c>
      <c r="Y39" s="2"/>
      <c r="Z39" s="7">
        <f t="shared" si="19"/>
        <v>-4.0406869193734316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1685.19</v>
      </c>
      <c r="E40" s="2"/>
      <c r="F40" s="7">
        <f t="shared" si="12"/>
        <v>0</v>
      </c>
      <c r="G40" s="2"/>
      <c r="H40" s="6">
        <v>2243.1999999999998</v>
      </c>
      <c r="I40" s="2"/>
      <c r="J40" s="7">
        <f t="shared" si="13"/>
        <v>0</v>
      </c>
      <c r="K40" s="2"/>
      <c r="L40" s="6">
        <f t="shared" si="14"/>
        <v>-558.00999999999976</v>
      </c>
      <c r="M40" s="2"/>
      <c r="N40" s="7">
        <f t="shared" si="15"/>
        <v>-0.24875624108416539</v>
      </c>
      <c r="O40" s="11"/>
      <c r="P40" s="6">
        <v>16449.099999999999</v>
      </c>
      <c r="Q40" s="2"/>
      <c r="R40" s="7">
        <f t="shared" si="16"/>
        <v>0</v>
      </c>
      <c r="S40" s="2"/>
      <c r="T40" s="6">
        <v>25185.8</v>
      </c>
      <c r="U40" s="2"/>
      <c r="V40" s="7">
        <f t="shared" si="17"/>
        <v>0</v>
      </c>
      <c r="W40" s="2"/>
      <c r="X40" s="6">
        <f t="shared" si="18"/>
        <v>-8736.7000000000007</v>
      </c>
      <c r="Y40" s="2"/>
      <c r="Z40" s="7">
        <f t="shared" si="19"/>
        <v>-0.34688991415797793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9087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-8913.7900000000009</v>
      </c>
      <c r="M43" s="1"/>
      <c r="N43" s="5">
        <f t="shared" ref="N43:N51" si="23">IF(H43=0,0,L43/H43)</f>
        <v>-0.98093870364256641</v>
      </c>
      <c r="O43" s="13"/>
      <c r="P43" s="1">
        <f>SUM(OSRRefP22_2x_0)</f>
        <v>2150.38</v>
      </c>
      <c r="Q43" s="1"/>
      <c r="R43" s="5">
        <f t="shared" ref="R43:R51" si="24">IF(P$12=0,0,P43/P$12)</f>
        <v>0</v>
      </c>
      <c r="S43" s="1"/>
      <c r="T43" s="1">
        <f>SUM(OSRRefT22_2x_0)</f>
        <v>109100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-106949.62</v>
      </c>
      <c r="Y43" s="1"/>
      <c r="Z43" s="5">
        <f t="shared" ref="Z43:Z51" si="27">IF(T43=0,0,X43/T43)</f>
        <v>-0.98028982584784596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>
        <v>173.21</v>
      </c>
      <c r="E44" s="2"/>
      <c r="F44" s="7">
        <f t="shared" si="20"/>
        <v>0</v>
      </c>
      <c r="G44" s="2"/>
      <c r="H44" s="6">
        <v>9087</v>
      </c>
      <c r="I44" s="2"/>
      <c r="J44" s="7">
        <f t="shared" si="21"/>
        <v>0</v>
      </c>
      <c r="K44" s="2"/>
      <c r="L44" s="6">
        <f t="shared" si="22"/>
        <v>-8913.7900000000009</v>
      </c>
      <c r="M44" s="2"/>
      <c r="N44" s="7">
        <f t="shared" si="23"/>
        <v>-0.98093870364256641</v>
      </c>
      <c r="O44" s="11"/>
      <c r="P44" s="6">
        <v>2150.38</v>
      </c>
      <c r="Q44" s="2"/>
      <c r="R44" s="7">
        <f t="shared" si="24"/>
        <v>0</v>
      </c>
      <c r="S44" s="2"/>
      <c r="T44" s="6">
        <v>109100</v>
      </c>
      <c r="U44" s="2"/>
      <c r="V44" s="7">
        <f t="shared" si="25"/>
        <v>0</v>
      </c>
      <c r="W44" s="2"/>
      <c r="X44" s="6">
        <f t="shared" si="26"/>
        <v>-106949.62</v>
      </c>
      <c r="Y44" s="2"/>
      <c r="Z44" s="7">
        <f t="shared" si="27"/>
        <v>-0.98028982584784596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3.07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-1996.93</v>
      </c>
      <c r="M45" s="1"/>
      <c r="N45" s="5">
        <f t="shared" si="23"/>
        <v>-0.99846500000000005</v>
      </c>
      <c r="O45" s="13"/>
      <c r="P45" s="1">
        <f>SUM(OSRRefP22_3x_0)</f>
        <v>6999.14</v>
      </c>
      <c r="Q45" s="1"/>
      <c r="R45" s="5">
        <f t="shared" si="24"/>
        <v>0</v>
      </c>
      <c r="S45" s="1"/>
      <c r="T45" s="1">
        <f>SUM(OSRRefT22_3x_0)</f>
        <v>72000</v>
      </c>
      <c r="U45" s="1"/>
      <c r="V45" s="5">
        <f t="shared" si="25"/>
        <v>0</v>
      </c>
      <c r="W45" s="1"/>
      <c r="X45" s="1">
        <f t="shared" si="26"/>
        <v>-65000.86</v>
      </c>
      <c r="Y45" s="1"/>
      <c r="Z45" s="5">
        <f t="shared" si="27"/>
        <v>-0.9027897222222222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3.07</v>
      </c>
      <c r="E46" s="2"/>
      <c r="F46" s="7">
        <f t="shared" si="20"/>
        <v>0</v>
      </c>
      <c r="G46" s="2"/>
      <c r="H46" s="6">
        <v>2000</v>
      </c>
      <c r="I46" s="2"/>
      <c r="J46" s="7">
        <f t="shared" si="21"/>
        <v>0</v>
      </c>
      <c r="K46" s="2"/>
      <c r="L46" s="6">
        <f t="shared" si="22"/>
        <v>-1996.93</v>
      </c>
      <c r="M46" s="2"/>
      <c r="N46" s="7">
        <f t="shared" si="23"/>
        <v>-0.99846500000000005</v>
      </c>
      <c r="O46" s="11"/>
      <c r="P46" s="6">
        <v>6999.14</v>
      </c>
      <c r="Q46" s="2"/>
      <c r="R46" s="7">
        <f t="shared" si="24"/>
        <v>0</v>
      </c>
      <c r="S46" s="2"/>
      <c r="T46" s="6">
        <v>72000</v>
      </c>
      <c r="U46" s="2"/>
      <c r="V46" s="7">
        <f t="shared" si="25"/>
        <v>0</v>
      </c>
      <c r="W46" s="2"/>
      <c r="X46" s="6">
        <f t="shared" si="26"/>
        <v>-65000.86</v>
      </c>
      <c r="Y46" s="2"/>
      <c r="Z46" s="7">
        <f t="shared" si="27"/>
        <v>-0.9027897222222222</v>
      </c>
    </row>
    <row r="47" spans="1:26" s="27" customFormat="1" outlineLevel="1" collapsed="1" x14ac:dyDescent="0.25">
      <c r="A47" s="25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1048.1099999999999</v>
      </c>
      <c r="E47" s="1"/>
      <c r="F47" s="5">
        <f t="shared" si="20"/>
        <v>0</v>
      </c>
      <c r="G47" s="1"/>
      <c r="H47" s="1">
        <f>SUM(OSRRefH22_4x_0)</f>
        <v>2137</v>
      </c>
      <c r="I47" s="1"/>
      <c r="J47" s="5">
        <f t="shared" si="21"/>
        <v>0</v>
      </c>
      <c r="K47" s="1"/>
      <c r="L47" s="1">
        <f t="shared" si="22"/>
        <v>-1088.8900000000001</v>
      </c>
      <c r="M47" s="1"/>
      <c r="N47" s="5">
        <f t="shared" si="23"/>
        <v>-0.50954141319606927</v>
      </c>
      <c r="O47" s="13"/>
      <c r="P47" s="1">
        <f>SUM(OSRRefP22_4x_0)</f>
        <v>15246.13</v>
      </c>
      <c r="Q47" s="1"/>
      <c r="R47" s="5">
        <f t="shared" si="24"/>
        <v>0</v>
      </c>
      <c r="S47" s="1"/>
      <c r="T47" s="1">
        <f>SUM(OSRRefT22_4x_0)</f>
        <v>45744</v>
      </c>
      <c r="U47" s="1"/>
      <c r="V47" s="5">
        <f t="shared" si="25"/>
        <v>0</v>
      </c>
      <c r="W47" s="1"/>
      <c r="X47" s="1">
        <f t="shared" si="26"/>
        <v>-30497.870000000003</v>
      </c>
      <c r="Y47" s="1"/>
      <c r="Z47" s="5">
        <f t="shared" si="27"/>
        <v>-0.66670754634487583</v>
      </c>
    </row>
    <row r="48" spans="1:26" s="24" customFormat="1" hidden="1" outlineLevel="2" x14ac:dyDescent="0.25">
      <c r="A48" s="26"/>
      <c r="B48" s="11" t="str">
        <f>CONCATENATE("          ", "6397", " - ", "BOARD EXPENSES")</f>
        <v xml:space="preserve">          6397 - BOARD EXPENSES</v>
      </c>
      <c r="C48" s="11"/>
      <c r="D48" s="6">
        <v>1048.1099999999999</v>
      </c>
      <c r="E48" s="2"/>
      <c r="F48" s="7">
        <f t="shared" si="20"/>
        <v>0</v>
      </c>
      <c r="G48" s="2"/>
      <c r="H48" s="6">
        <v>2137</v>
      </c>
      <c r="I48" s="2"/>
      <c r="J48" s="7">
        <f t="shared" si="21"/>
        <v>0</v>
      </c>
      <c r="K48" s="2"/>
      <c r="L48" s="6">
        <f t="shared" si="22"/>
        <v>-1088.8900000000001</v>
      </c>
      <c r="M48" s="2"/>
      <c r="N48" s="7">
        <f t="shared" si="23"/>
        <v>-0.50954141319606927</v>
      </c>
      <c r="O48" s="11"/>
      <c r="P48" s="6">
        <v>15246.13</v>
      </c>
      <c r="Q48" s="2"/>
      <c r="R48" s="7">
        <f t="shared" si="24"/>
        <v>0</v>
      </c>
      <c r="S48" s="2"/>
      <c r="T48" s="6">
        <v>45744</v>
      </c>
      <c r="U48" s="2"/>
      <c r="V48" s="7">
        <f t="shared" si="25"/>
        <v>0</v>
      </c>
      <c r="W48" s="2"/>
      <c r="X48" s="6">
        <f t="shared" si="26"/>
        <v>-30497.870000000003</v>
      </c>
      <c r="Y48" s="2"/>
      <c r="Z48" s="7">
        <f t="shared" si="27"/>
        <v>-0.66670754634487583</v>
      </c>
    </row>
    <row r="49" spans="1:26" s="27" customFormat="1" outlineLevel="1" collapsed="1" x14ac:dyDescent="0.25">
      <c r="A49" s="25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6971.93</v>
      </c>
      <c r="E49" s="1"/>
      <c r="F49" s="5">
        <f t="shared" si="20"/>
        <v>0</v>
      </c>
      <c r="G49" s="1"/>
      <c r="H49" s="1">
        <f>SUM(OSRRefH22_5x_0)</f>
        <v>6428</v>
      </c>
      <c r="I49" s="1"/>
      <c r="J49" s="5">
        <f t="shared" si="21"/>
        <v>0</v>
      </c>
      <c r="K49" s="1"/>
      <c r="L49" s="1">
        <f t="shared" si="22"/>
        <v>543.93000000000029</v>
      </c>
      <c r="M49" s="1"/>
      <c r="N49" s="5">
        <f t="shared" si="23"/>
        <v>8.4618855009334207E-2</v>
      </c>
      <c r="O49" s="13"/>
      <c r="P49" s="1">
        <f>SUM(OSRRefP22_5x_0)</f>
        <v>85883.73</v>
      </c>
      <c r="Q49" s="1"/>
      <c r="R49" s="5">
        <f t="shared" si="24"/>
        <v>0</v>
      </c>
      <c r="S49" s="1"/>
      <c r="T49" s="1">
        <f>SUM(OSRRefT22_5x_0)</f>
        <v>80078</v>
      </c>
      <c r="U49" s="1"/>
      <c r="V49" s="5">
        <f t="shared" si="25"/>
        <v>0</v>
      </c>
      <c r="W49" s="1"/>
      <c r="X49" s="1">
        <f t="shared" si="26"/>
        <v>5805.7299999999959</v>
      </c>
      <c r="Y49" s="1"/>
      <c r="Z49" s="5">
        <f t="shared" si="27"/>
        <v>7.2500936586827797E-2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6971.93</v>
      </c>
      <c r="E50" s="2"/>
      <c r="F50" s="7">
        <f t="shared" si="20"/>
        <v>0</v>
      </c>
      <c r="G50" s="2"/>
      <c r="H50" s="6">
        <v>6428</v>
      </c>
      <c r="I50" s="2"/>
      <c r="J50" s="7">
        <f t="shared" si="21"/>
        <v>0</v>
      </c>
      <c r="K50" s="2"/>
      <c r="L50" s="6">
        <f t="shared" si="22"/>
        <v>543.93000000000029</v>
      </c>
      <c r="M50" s="2"/>
      <c r="N50" s="7">
        <f t="shared" si="23"/>
        <v>8.4618855009334207E-2</v>
      </c>
      <c r="O50" s="11"/>
      <c r="P50" s="6">
        <v>85883.73</v>
      </c>
      <c r="Q50" s="2"/>
      <c r="R50" s="7">
        <f t="shared" si="24"/>
        <v>0</v>
      </c>
      <c r="S50" s="2"/>
      <c r="T50" s="6">
        <v>79978</v>
      </c>
      <c r="U50" s="2"/>
      <c r="V50" s="7">
        <f t="shared" si="25"/>
        <v>0</v>
      </c>
      <c r="W50" s="2"/>
      <c r="X50" s="6">
        <f t="shared" si="26"/>
        <v>5905.7299999999959</v>
      </c>
      <c r="Y50" s="2"/>
      <c r="Z50" s="7">
        <f t="shared" si="27"/>
        <v>7.3841931531171023E-2</v>
      </c>
    </row>
    <row r="51" spans="1:26" s="24" customFormat="1" hidden="1" outlineLevel="2" x14ac:dyDescent="0.25">
      <c r="A51" s="26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/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0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7" customFormat="1" outlineLevel="1" collapsed="1" x14ac:dyDescent="0.25">
      <c r="A52" s="25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263.25</v>
      </c>
      <c r="E52" s="1"/>
      <c r="F52" s="5">
        <f t="shared" ref="F52:F54" si="28">IF(D$12=0,0,D52/D$12)</f>
        <v>0</v>
      </c>
      <c r="G52" s="1"/>
      <c r="H52" s="1">
        <f>SUM(OSRRefH22_6x_0)</f>
        <v>1000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-736.75</v>
      </c>
      <c r="M52" s="1"/>
      <c r="N52" s="5">
        <f t="shared" ref="N52:N54" si="31">IF(H52=0,0,L52/H52)</f>
        <v>-0.73675000000000002</v>
      </c>
      <c r="O52" s="13"/>
      <c r="P52" s="1">
        <f>SUM(OSRRefP22_6x_0)</f>
        <v>26763.25</v>
      </c>
      <c r="Q52" s="1"/>
      <c r="R52" s="5">
        <f t="shared" ref="R52:R54" si="32">IF(P$12=0,0,P52/P$12)</f>
        <v>0</v>
      </c>
      <c r="S52" s="1"/>
      <c r="T52" s="1">
        <f>SUM(OSRRefT22_6x_0)</f>
        <v>46750</v>
      </c>
      <c r="U52" s="1"/>
      <c r="V52" s="5">
        <f t="shared" ref="V52:V54" si="33">IF(T$12=0,0,T52/T$12)</f>
        <v>0</v>
      </c>
      <c r="W52" s="1"/>
      <c r="X52" s="1">
        <f t="shared" ref="X52:X54" si="34">+P52-T52</f>
        <v>-19986.75</v>
      </c>
      <c r="Y52" s="1"/>
      <c r="Z52" s="5">
        <f t="shared" ref="Z52:Z54" si="35">IF(T52=0,0,X52/T52)</f>
        <v>-0.42752406417112299</v>
      </c>
    </row>
    <row r="53" spans="1:26" s="24" customFormat="1" hidden="1" outlineLevel="2" x14ac:dyDescent="0.25">
      <c r="A53" s="26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1500</v>
      </c>
      <c r="U53" s="2"/>
      <c r="V53" s="7">
        <f t="shared" si="33"/>
        <v>0</v>
      </c>
      <c r="W53" s="2"/>
      <c r="X53" s="6">
        <f t="shared" si="34"/>
        <v>-1500</v>
      </c>
      <c r="Y53" s="2"/>
      <c r="Z53" s="7">
        <f t="shared" si="35"/>
        <v>-1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6">
        <v>263.25</v>
      </c>
      <c r="E54" s="2"/>
      <c r="F54" s="7">
        <f t="shared" si="28"/>
        <v>0</v>
      </c>
      <c r="G54" s="2"/>
      <c r="H54" s="6">
        <v>1000</v>
      </c>
      <c r="I54" s="2"/>
      <c r="J54" s="7">
        <f t="shared" si="29"/>
        <v>0</v>
      </c>
      <c r="K54" s="2"/>
      <c r="L54" s="6">
        <f t="shared" si="30"/>
        <v>-736.75</v>
      </c>
      <c r="M54" s="2"/>
      <c r="N54" s="7">
        <f t="shared" si="31"/>
        <v>-0.73675000000000002</v>
      </c>
      <c r="O54" s="11"/>
      <c r="P54" s="6">
        <v>26763.25</v>
      </c>
      <c r="Q54" s="2"/>
      <c r="R54" s="7">
        <f t="shared" si="32"/>
        <v>0</v>
      </c>
      <c r="S54" s="2"/>
      <c r="T54" s="6">
        <v>45250</v>
      </c>
      <c r="U54" s="2"/>
      <c r="V54" s="7">
        <f t="shared" si="33"/>
        <v>0</v>
      </c>
      <c r="W54" s="2"/>
      <c r="X54" s="6">
        <f t="shared" si="34"/>
        <v>-18486.75</v>
      </c>
      <c r="Y54" s="2"/>
      <c r="Z54" s="7">
        <f t="shared" si="35"/>
        <v>-0.40854696132596685</v>
      </c>
    </row>
    <row r="55" spans="1:26" s="27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ref="F55:F61" si="36">IF(D$12=0,0,D55/D$12)</f>
        <v>0</v>
      </c>
      <c r="G55" s="1"/>
      <c r="H55" s="1">
        <f>SUM(OSRRefH22_7x_0)</f>
        <v>1000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-1000</v>
      </c>
      <c r="M55" s="1"/>
      <c r="N55" s="5">
        <f t="shared" ref="N55:N61" si="39">IF(H55=0,0,L55/H55)</f>
        <v>-1</v>
      </c>
      <c r="O55" s="13"/>
      <c r="P55" s="1">
        <f>SUM(OSRRefP22_7x_0)</f>
        <v>81.56</v>
      </c>
      <c r="Q55" s="1"/>
      <c r="R55" s="5">
        <f t="shared" ref="R55:R61" si="40">IF(P$12=0,0,P55/P$12)</f>
        <v>0</v>
      </c>
      <c r="S55" s="1"/>
      <c r="T55" s="1">
        <f>SUM(OSRRefT22_7x_0)</f>
        <v>16050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-15968.44</v>
      </c>
      <c r="Y55" s="1"/>
      <c r="Z55" s="5">
        <f t="shared" ref="Z55:Z61" si="43">IF(T55=0,0,X55/T55)</f>
        <v>-0.99491838006230537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1000</v>
      </c>
      <c r="I56" s="2"/>
      <c r="J56" s="7">
        <f t="shared" si="37"/>
        <v>0</v>
      </c>
      <c r="K56" s="2"/>
      <c r="L56" s="6">
        <f t="shared" si="38"/>
        <v>-1000</v>
      </c>
      <c r="M56" s="2"/>
      <c r="N56" s="7">
        <f t="shared" si="39"/>
        <v>-1</v>
      </c>
      <c r="O56" s="11"/>
      <c r="P56" s="6">
        <v>81.56</v>
      </c>
      <c r="Q56" s="2"/>
      <c r="R56" s="7">
        <f t="shared" si="40"/>
        <v>0</v>
      </c>
      <c r="S56" s="2"/>
      <c r="T56" s="6">
        <v>16050</v>
      </c>
      <c r="U56" s="2"/>
      <c r="V56" s="7">
        <f t="shared" si="41"/>
        <v>0</v>
      </c>
      <c r="W56" s="2"/>
      <c r="X56" s="6">
        <f t="shared" si="42"/>
        <v>-15968.44</v>
      </c>
      <c r="Y56" s="2"/>
      <c r="Z56" s="7">
        <f t="shared" si="43"/>
        <v>-0.99491838006230537</v>
      </c>
    </row>
    <row r="57" spans="1:26" s="27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208.97</v>
      </c>
      <c r="E57" s="1"/>
      <c r="F57" s="5">
        <f t="shared" si="36"/>
        <v>0</v>
      </c>
      <c r="G57" s="1"/>
      <c r="H57" s="1">
        <f>SUM(OSRRefH22_8x_0)</f>
        <v>297</v>
      </c>
      <c r="I57" s="1"/>
      <c r="J57" s="5">
        <f t="shared" si="37"/>
        <v>0</v>
      </c>
      <c r="K57" s="1"/>
      <c r="L57" s="1">
        <f t="shared" si="38"/>
        <v>-88.03</v>
      </c>
      <c r="M57" s="1"/>
      <c r="N57" s="5">
        <f t="shared" si="39"/>
        <v>-0.29639730639730638</v>
      </c>
      <c r="O57" s="13"/>
      <c r="P57" s="1">
        <f>SUM(OSRRefP22_8x_0)</f>
        <v>2598.9</v>
      </c>
      <c r="Q57" s="1"/>
      <c r="R57" s="5">
        <f t="shared" si="40"/>
        <v>0</v>
      </c>
      <c r="S57" s="1"/>
      <c r="T57" s="1">
        <f>SUM(OSRRefT22_8x_0)</f>
        <v>3416</v>
      </c>
      <c r="U57" s="1"/>
      <c r="V57" s="5">
        <f t="shared" si="41"/>
        <v>0</v>
      </c>
      <c r="W57" s="1"/>
      <c r="X57" s="1">
        <f t="shared" si="42"/>
        <v>-817.09999999999991</v>
      </c>
      <c r="Y57" s="1"/>
      <c r="Z57" s="5">
        <f t="shared" si="43"/>
        <v>-0.23919789227166274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6">
        <v>208.97</v>
      </c>
      <c r="E58" s="2"/>
      <c r="F58" s="7">
        <f t="shared" si="36"/>
        <v>0</v>
      </c>
      <c r="G58" s="2"/>
      <c r="H58" s="6">
        <v>297</v>
      </c>
      <c r="I58" s="2"/>
      <c r="J58" s="7">
        <f t="shared" si="37"/>
        <v>0</v>
      </c>
      <c r="K58" s="2"/>
      <c r="L58" s="6">
        <f t="shared" si="38"/>
        <v>-88.03</v>
      </c>
      <c r="M58" s="2"/>
      <c r="N58" s="7">
        <f t="shared" si="39"/>
        <v>-0.29639730639730638</v>
      </c>
      <c r="O58" s="11"/>
      <c r="P58" s="6">
        <v>2598.9</v>
      </c>
      <c r="Q58" s="2"/>
      <c r="R58" s="7">
        <f t="shared" si="40"/>
        <v>0</v>
      </c>
      <c r="S58" s="2"/>
      <c r="T58" s="6">
        <v>3416</v>
      </c>
      <c r="U58" s="2"/>
      <c r="V58" s="7">
        <f t="shared" si="41"/>
        <v>0</v>
      </c>
      <c r="W58" s="2"/>
      <c r="X58" s="6">
        <f t="shared" si="42"/>
        <v>-817.09999999999991</v>
      </c>
      <c r="Y58" s="2"/>
      <c r="Z58" s="7">
        <f t="shared" si="43"/>
        <v>-0.23919789227166274</v>
      </c>
    </row>
    <row r="59" spans="1:26" s="27" customFormat="1" outlineLevel="1" collapsed="1" x14ac:dyDescent="0.25">
      <c r="A59" s="25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85.68</v>
      </c>
      <c r="E59" s="1"/>
      <c r="F59" s="5">
        <f t="shared" si="36"/>
        <v>0</v>
      </c>
      <c r="G59" s="1"/>
      <c r="H59" s="1">
        <f>SUM(OSRRefH22_9x_0)</f>
        <v>202</v>
      </c>
      <c r="I59" s="1"/>
      <c r="J59" s="5">
        <f t="shared" si="37"/>
        <v>0</v>
      </c>
      <c r="K59" s="1"/>
      <c r="L59" s="1">
        <f t="shared" si="38"/>
        <v>-116.32</v>
      </c>
      <c r="M59" s="1"/>
      <c r="N59" s="5">
        <f t="shared" si="39"/>
        <v>-0.5758415841584158</v>
      </c>
      <c r="O59" s="13"/>
      <c r="P59" s="1">
        <f>SUM(OSRRefP22_9x_0)</f>
        <v>1265.3800000000001</v>
      </c>
      <c r="Q59" s="1"/>
      <c r="R59" s="5">
        <f t="shared" si="40"/>
        <v>0</v>
      </c>
      <c r="S59" s="1"/>
      <c r="T59" s="1">
        <f>SUM(OSRRefT22_9x_0)</f>
        <v>2380</v>
      </c>
      <c r="U59" s="1"/>
      <c r="V59" s="5">
        <f t="shared" si="41"/>
        <v>0</v>
      </c>
      <c r="W59" s="1"/>
      <c r="X59" s="1">
        <f t="shared" si="42"/>
        <v>-1114.6199999999999</v>
      </c>
      <c r="Y59" s="1"/>
      <c r="Z59" s="5">
        <f t="shared" si="43"/>
        <v>-0.46832773109243692</v>
      </c>
    </row>
    <row r="60" spans="1:26" s="24" customFormat="1" hidden="1" outlineLevel="2" x14ac:dyDescent="0.25">
      <c r="A60" s="26"/>
      <c r="B60" s="11" t="str">
        <f>CONCATENATE("          ", "6305", " - ", "FREIGHT OUT")</f>
        <v xml:space="preserve">          6305 - FREIGHT OUT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5.41</v>
      </c>
      <c r="Q60" s="2"/>
      <c r="R60" s="7">
        <f t="shared" si="40"/>
        <v>0</v>
      </c>
      <c r="S60" s="2"/>
      <c r="T60" s="6"/>
      <c r="U60" s="2"/>
      <c r="V60" s="7">
        <f t="shared" si="41"/>
        <v>0</v>
      </c>
      <c r="W60" s="2"/>
      <c r="X60" s="6">
        <f t="shared" si="42"/>
        <v>5.41</v>
      </c>
      <c r="Y60" s="2"/>
      <c r="Z60" s="7">
        <f t="shared" si="43"/>
        <v>0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6">
        <v>85.68</v>
      </c>
      <c r="E61" s="2"/>
      <c r="F61" s="7">
        <f t="shared" si="36"/>
        <v>0</v>
      </c>
      <c r="G61" s="2"/>
      <c r="H61" s="6">
        <v>202</v>
      </c>
      <c r="I61" s="2"/>
      <c r="J61" s="7">
        <f t="shared" si="37"/>
        <v>0</v>
      </c>
      <c r="K61" s="2"/>
      <c r="L61" s="6">
        <f t="shared" si="38"/>
        <v>-116.32</v>
      </c>
      <c r="M61" s="2"/>
      <c r="N61" s="7">
        <f t="shared" si="39"/>
        <v>-0.5758415841584158</v>
      </c>
      <c r="O61" s="11"/>
      <c r="P61" s="6">
        <v>1259.97</v>
      </c>
      <c r="Q61" s="2"/>
      <c r="R61" s="7">
        <f t="shared" si="40"/>
        <v>0</v>
      </c>
      <c r="S61" s="2"/>
      <c r="T61" s="6">
        <v>2380</v>
      </c>
      <c r="U61" s="2"/>
      <c r="V61" s="7">
        <f t="shared" si="41"/>
        <v>0</v>
      </c>
      <c r="W61" s="2"/>
      <c r="X61" s="6">
        <f t="shared" si="42"/>
        <v>-1120.03</v>
      </c>
      <c r="Y61" s="2"/>
      <c r="Z61" s="7">
        <f t="shared" si="43"/>
        <v>-0.47060084033613442</v>
      </c>
    </row>
    <row r="62" spans="1:26" s="27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197.75</v>
      </c>
      <c r="E62" s="1"/>
      <c r="F62" s="5">
        <f t="shared" ref="F62:F66" si="44">IF(D$12=0,0,D62/D$12)</f>
        <v>0</v>
      </c>
      <c r="G62" s="1"/>
      <c r="H62" s="1">
        <f>SUM(OSRRefH22_10x_0)</f>
        <v>1337</v>
      </c>
      <c r="I62" s="1"/>
      <c r="J62" s="5">
        <f t="shared" ref="J62:J66" si="45">IF(H$12=0,0,H62/H$12)</f>
        <v>0</v>
      </c>
      <c r="K62" s="1"/>
      <c r="L62" s="1">
        <f t="shared" ref="L62:L66" si="46">+D62-H62</f>
        <v>-1139.25</v>
      </c>
      <c r="M62" s="1"/>
      <c r="N62" s="5">
        <f t="shared" ref="N62:N66" si="47">IF(H62=0,0,L62/H62)</f>
        <v>-0.85209424083769636</v>
      </c>
      <c r="O62" s="13"/>
      <c r="P62" s="1">
        <f>SUM(OSRRefP22_10x_0)</f>
        <v>577.09</v>
      </c>
      <c r="Q62" s="1"/>
      <c r="R62" s="5">
        <f t="shared" ref="R62:R66" si="48">IF(P$12=0,0,P62/P$12)</f>
        <v>0</v>
      </c>
      <c r="S62" s="1"/>
      <c r="T62" s="1">
        <f>SUM(OSRRefT22_10x_0)</f>
        <v>6750</v>
      </c>
      <c r="U62" s="1"/>
      <c r="V62" s="5">
        <f t="shared" ref="V62:V66" si="49">IF(T$12=0,0,T62/T$12)</f>
        <v>0</v>
      </c>
      <c r="W62" s="1"/>
      <c r="X62" s="1">
        <f t="shared" ref="X62:X66" si="50">+P62-T62</f>
        <v>-6172.91</v>
      </c>
      <c r="Y62" s="1"/>
      <c r="Z62" s="5">
        <f t="shared" ref="Z62:Z66" si="51">IF(T62=0,0,X62/T62)</f>
        <v>-0.9145051851851852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197.75</v>
      </c>
      <c r="E63" s="2"/>
      <c r="F63" s="7">
        <f t="shared" si="44"/>
        <v>0</v>
      </c>
      <c r="G63" s="2"/>
      <c r="H63" s="6">
        <v>1337</v>
      </c>
      <c r="I63" s="2"/>
      <c r="J63" s="7">
        <f t="shared" si="45"/>
        <v>0</v>
      </c>
      <c r="K63" s="2"/>
      <c r="L63" s="6">
        <f t="shared" si="46"/>
        <v>-1139.25</v>
      </c>
      <c r="M63" s="2"/>
      <c r="N63" s="7">
        <f t="shared" si="47"/>
        <v>-0.85209424083769636</v>
      </c>
      <c r="O63" s="11"/>
      <c r="P63" s="6">
        <v>577.09</v>
      </c>
      <c r="Q63" s="2"/>
      <c r="R63" s="7">
        <f t="shared" si="48"/>
        <v>0</v>
      </c>
      <c r="S63" s="2"/>
      <c r="T63" s="6">
        <v>6750</v>
      </c>
      <c r="U63" s="2"/>
      <c r="V63" s="7">
        <f t="shared" si="49"/>
        <v>0</v>
      </c>
      <c r="W63" s="2"/>
      <c r="X63" s="6">
        <f t="shared" si="50"/>
        <v>-6172.91</v>
      </c>
      <c r="Y63" s="2"/>
      <c r="Z63" s="7">
        <f t="shared" si="51"/>
        <v>-0.9145051851851852</v>
      </c>
    </row>
    <row r="64" spans="1:26" s="27" customFormat="1" outlineLevel="1" collapsed="1" x14ac:dyDescent="0.25">
      <c r="A64" s="25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845.16</v>
      </c>
      <c r="E64" s="1"/>
      <c r="F64" s="5">
        <f t="shared" si="44"/>
        <v>0</v>
      </c>
      <c r="G64" s="1"/>
      <c r="H64" s="1">
        <f>SUM(OSRRefH22_11x_0)</f>
        <v>432</v>
      </c>
      <c r="I64" s="1"/>
      <c r="J64" s="5">
        <f t="shared" si="45"/>
        <v>0</v>
      </c>
      <c r="K64" s="1"/>
      <c r="L64" s="1">
        <f t="shared" si="46"/>
        <v>413.15999999999997</v>
      </c>
      <c r="M64" s="1"/>
      <c r="N64" s="5">
        <f t="shared" si="47"/>
        <v>0.95638888888888884</v>
      </c>
      <c r="O64" s="13"/>
      <c r="P64" s="1">
        <f>SUM(OSRRefP22_11x_0)</f>
        <v>5175.53</v>
      </c>
      <c r="Q64" s="1"/>
      <c r="R64" s="5">
        <f t="shared" si="48"/>
        <v>0</v>
      </c>
      <c r="S64" s="1"/>
      <c r="T64" s="1">
        <f>SUM(OSRRefT22_11x_0)</f>
        <v>6503</v>
      </c>
      <c r="U64" s="1"/>
      <c r="V64" s="5">
        <f t="shared" si="49"/>
        <v>0</v>
      </c>
      <c r="W64" s="1"/>
      <c r="X64" s="1">
        <f t="shared" si="50"/>
        <v>-1327.4700000000003</v>
      </c>
      <c r="Y64" s="1"/>
      <c r="Z64" s="5">
        <f t="shared" si="51"/>
        <v>-0.2041319391050285</v>
      </c>
    </row>
    <row r="65" spans="1:26" s="24" customFormat="1" hidden="1" outlineLevel="2" x14ac:dyDescent="0.25">
      <c r="A65" s="26"/>
      <c r="B65" s="11" t="str">
        <f>CONCATENATE("          ", "6312", " - ", "FIRE &amp; THEFT INSURANCE")</f>
        <v xml:space="preserve">          6312 - FIRE &amp; THEFT INSURANCE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780</v>
      </c>
      <c r="U65" s="2"/>
      <c r="V65" s="7">
        <f t="shared" si="49"/>
        <v>0</v>
      </c>
      <c r="W65" s="2"/>
      <c r="X65" s="6">
        <f t="shared" si="50"/>
        <v>-780</v>
      </c>
      <c r="Y65" s="2"/>
      <c r="Z65" s="7">
        <f t="shared" si="51"/>
        <v>-1</v>
      </c>
    </row>
    <row r="66" spans="1:26" s="24" customFormat="1" hidden="1" outlineLevel="2" x14ac:dyDescent="0.25">
      <c r="A66" s="26"/>
      <c r="B66" s="11" t="str">
        <f>CONCATENATE("          ", "6314", " - ", "LIABILITY INSURANCE")</f>
        <v xml:space="preserve">          6314 - LIABILITY INSURANCE</v>
      </c>
      <c r="C66" s="11"/>
      <c r="D66" s="6">
        <v>845.16</v>
      </c>
      <c r="E66" s="2"/>
      <c r="F66" s="7">
        <f t="shared" si="44"/>
        <v>0</v>
      </c>
      <c r="G66" s="2"/>
      <c r="H66" s="6">
        <v>432</v>
      </c>
      <c r="I66" s="2"/>
      <c r="J66" s="7">
        <f t="shared" si="45"/>
        <v>0</v>
      </c>
      <c r="K66" s="2"/>
      <c r="L66" s="6">
        <f t="shared" si="46"/>
        <v>413.15999999999997</v>
      </c>
      <c r="M66" s="2"/>
      <c r="N66" s="7">
        <f t="shared" si="47"/>
        <v>0.95638888888888884</v>
      </c>
      <c r="O66" s="11"/>
      <c r="P66" s="6">
        <v>5175.53</v>
      </c>
      <c r="Q66" s="2"/>
      <c r="R66" s="7">
        <f t="shared" si="48"/>
        <v>0</v>
      </c>
      <c r="S66" s="2"/>
      <c r="T66" s="6">
        <v>5723</v>
      </c>
      <c r="U66" s="2"/>
      <c r="V66" s="7">
        <f t="shared" si="49"/>
        <v>0</v>
      </c>
      <c r="W66" s="2"/>
      <c r="X66" s="6">
        <f t="shared" si="50"/>
        <v>-547.47000000000025</v>
      </c>
      <c r="Y66" s="2"/>
      <c r="Z66" s="7">
        <f t="shared" si="51"/>
        <v>-9.566136641621531E-2</v>
      </c>
    </row>
    <row r="67" spans="1:26" s="27" customFormat="1" outlineLevel="1" collapsed="1" x14ac:dyDescent="0.25">
      <c r="A67" s="25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SUM(OSRRefD22_12x_0)</f>
        <v>643.47</v>
      </c>
      <c r="E67" s="1"/>
      <c r="F67" s="5">
        <f t="shared" ref="F67:F71" si="52">IF(D$12=0,0,D67/D$12)</f>
        <v>0</v>
      </c>
      <c r="G67" s="1"/>
      <c r="H67" s="1">
        <f>SUM(OSRRefH22_12x_0)</f>
        <v>2337</v>
      </c>
      <c r="I67" s="1"/>
      <c r="J67" s="5">
        <f t="shared" ref="J67:J71" si="53">IF(H$12=0,0,H67/H$12)</f>
        <v>0</v>
      </c>
      <c r="K67" s="1"/>
      <c r="L67" s="1">
        <f t="shared" ref="L67:L71" si="54">+D67-H67</f>
        <v>-1693.53</v>
      </c>
      <c r="M67" s="1"/>
      <c r="N67" s="5">
        <f t="shared" ref="N67:N71" si="55">IF(H67=0,0,L67/H67)</f>
        <v>-0.72465982028241338</v>
      </c>
      <c r="O67" s="13"/>
      <c r="P67" s="1">
        <f>SUM(OSRRefP22_12x_0)</f>
        <v>108065.59000000001</v>
      </c>
      <c r="Q67" s="1"/>
      <c r="R67" s="5">
        <f t="shared" ref="R67:R71" si="56">IF(P$12=0,0,P67/P$12)</f>
        <v>0</v>
      </c>
      <c r="S67" s="1"/>
      <c r="T67" s="1">
        <f>SUM(OSRRefT22_12x_0)</f>
        <v>169500</v>
      </c>
      <c r="U67" s="1"/>
      <c r="V67" s="5">
        <f t="shared" ref="V67:V71" si="57">IF(T$12=0,0,T67/T$12)</f>
        <v>0</v>
      </c>
      <c r="W67" s="1"/>
      <c r="X67" s="1">
        <f t="shared" ref="X67:X71" si="58">+P67-T67</f>
        <v>-61434.409999999989</v>
      </c>
      <c r="Y67" s="1"/>
      <c r="Z67" s="5">
        <f t="shared" ref="Z67:Z71" si="59">IF(T67=0,0,X67/T67)</f>
        <v>-0.36244489675516217</v>
      </c>
    </row>
    <row r="68" spans="1:26" s="24" customFormat="1" hidden="1" outlineLevel="2" x14ac:dyDescent="0.25">
      <c r="A68" s="26"/>
      <c r="B68" s="11" t="str">
        <f>CONCATENATE("          ", "6331", " - ", "INDIRECT COSTS-AUXILIARY ORGAN")</f>
        <v xml:space="preserve">          6331 - INDIRECT COSTS-AUXILIARY ORGAN</v>
      </c>
      <c r="C68" s="11"/>
      <c r="D68" s="6"/>
      <c r="E68" s="2"/>
      <c r="F68" s="7">
        <f t="shared" si="52"/>
        <v>0</v>
      </c>
      <c r="G68" s="2"/>
      <c r="H68" s="6"/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>
        <v>92418</v>
      </c>
      <c r="Q68" s="2"/>
      <c r="R68" s="7">
        <f t="shared" si="56"/>
        <v>0</v>
      </c>
      <c r="S68" s="2"/>
      <c r="T68" s="6">
        <v>103000</v>
      </c>
      <c r="U68" s="2"/>
      <c r="V68" s="7">
        <f t="shared" si="57"/>
        <v>0</v>
      </c>
      <c r="W68" s="2"/>
      <c r="X68" s="6">
        <f t="shared" si="58"/>
        <v>-10582</v>
      </c>
      <c r="Y68" s="2"/>
      <c r="Z68" s="7">
        <f t="shared" si="59"/>
        <v>-0.1027378640776699</v>
      </c>
    </row>
    <row r="69" spans="1:26" s="24" customFormat="1" hidden="1" outlineLevel="2" x14ac:dyDescent="0.25">
      <c r="A69" s="26"/>
      <c r="B69" s="11" t="str">
        <f>CONCATENATE("          ", "6332", " - ", "CONSULTANT FEES")</f>
        <v xml:space="preserve">          6332 - CONSULTANT FEES</v>
      </c>
      <c r="C69" s="11"/>
      <c r="D69" s="6"/>
      <c r="E69" s="2"/>
      <c r="F69" s="7">
        <f t="shared" si="52"/>
        <v>0</v>
      </c>
      <c r="G69" s="2"/>
      <c r="H69" s="6">
        <v>250</v>
      </c>
      <c r="I69" s="2"/>
      <c r="J69" s="7">
        <f t="shared" si="53"/>
        <v>0</v>
      </c>
      <c r="K69" s="2"/>
      <c r="L69" s="6">
        <f t="shared" si="54"/>
        <v>-250</v>
      </c>
      <c r="M69" s="2"/>
      <c r="N69" s="7">
        <f t="shared" si="55"/>
        <v>-1</v>
      </c>
      <c r="O69" s="11"/>
      <c r="P69" s="6"/>
      <c r="Q69" s="2"/>
      <c r="R69" s="7">
        <f t="shared" si="56"/>
        <v>0</v>
      </c>
      <c r="S69" s="2"/>
      <c r="T69" s="6">
        <v>31000</v>
      </c>
      <c r="U69" s="2"/>
      <c r="V69" s="7">
        <f t="shared" si="57"/>
        <v>0</v>
      </c>
      <c r="W69" s="2"/>
      <c r="X69" s="6">
        <f t="shared" si="58"/>
        <v>-31000</v>
      </c>
      <c r="Y69" s="2"/>
      <c r="Z69" s="7">
        <f t="shared" si="59"/>
        <v>-1</v>
      </c>
    </row>
    <row r="70" spans="1:26" s="24" customFormat="1" hidden="1" outlineLevel="2" x14ac:dyDescent="0.25">
      <c r="A70" s="26"/>
      <c r="B70" s="11" t="str">
        <f>CONCATENATE("          ", "6334", " - ", "LEGAL COUNCIL EXPENSE")</f>
        <v xml:space="preserve">          6334 - LEGAL COUNCIL EXPENSE</v>
      </c>
      <c r="C70" s="11"/>
      <c r="D70" s="6"/>
      <c r="E70" s="2"/>
      <c r="F70" s="7">
        <f t="shared" si="52"/>
        <v>0</v>
      </c>
      <c r="G70" s="2"/>
      <c r="H70" s="6">
        <v>837</v>
      </c>
      <c r="I70" s="2"/>
      <c r="J70" s="7">
        <f t="shared" si="53"/>
        <v>0</v>
      </c>
      <c r="K70" s="2"/>
      <c r="L70" s="6">
        <f t="shared" si="54"/>
        <v>-837</v>
      </c>
      <c r="M70" s="2"/>
      <c r="N70" s="7">
        <f t="shared" si="55"/>
        <v>-1</v>
      </c>
      <c r="O70" s="11"/>
      <c r="P70" s="6">
        <v>6979.24</v>
      </c>
      <c r="Q70" s="2"/>
      <c r="R70" s="7">
        <f t="shared" si="56"/>
        <v>0</v>
      </c>
      <c r="S70" s="2"/>
      <c r="T70" s="6">
        <v>15500</v>
      </c>
      <c r="U70" s="2"/>
      <c r="V70" s="7">
        <f t="shared" si="57"/>
        <v>0</v>
      </c>
      <c r="W70" s="2"/>
      <c r="X70" s="6">
        <f t="shared" si="58"/>
        <v>-8520.76</v>
      </c>
      <c r="Y70" s="2"/>
      <c r="Z70" s="7">
        <f t="shared" si="59"/>
        <v>-0.54972645161290323</v>
      </c>
    </row>
    <row r="71" spans="1:26" s="24" customFormat="1" hidden="1" outlineLevel="2" x14ac:dyDescent="0.25">
      <c r="A71" s="26"/>
      <c r="B71" s="11" t="str">
        <f>CONCATENATE("          ", "6336", " - ", "PROFESSIONAL SERVICES")</f>
        <v xml:space="preserve">          6336 - PROFESSIONAL SERVICES</v>
      </c>
      <c r="C71" s="11"/>
      <c r="D71" s="6">
        <v>643.47</v>
      </c>
      <c r="E71" s="2"/>
      <c r="F71" s="7">
        <f t="shared" si="52"/>
        <v>0</v>
      </c>
      <c r="G71" s="2"/>
      <c r="H71" s="6">
        <v>1250</v>
      </c>
      <c r="I71" s="2"/>
      <c r="J71" s="7">
        <f t="shared" si="53"/>
        <v>0</v>
      </c>
      <c r="K71" s="2"/>
      <c r="L71" s="6">
        <f t="shared" si="54"/>
        <v>-606.53</v>
      </c>
      <c r="M71" s="2"/>
      <c r="N71" s="7">
        <f t="shared" si="55"/>
        <v>-0.48522399999999999</v>
      </c>
      <c r="O71" s="11"/>
      <c r="P71" s="6">
        <v>8668.35</v>
      </c>
      <c r="Q71" s="2"/>
      <c r="R71" s="7">
        <f t="shared" si="56"/>
        <v>0</v>
      </c>
      <c r="S71" s="2"/>
      <c r="T71" s="6">
        <v>20000</v>
      </c>
      <c r="U71" s="2"/>
      <c r="V71" s="7">
        <f t="shared" si="57"/>
        <v>0</v>
      </c>
      <c r="W71" s="2"/>
      <c r="X71" s="6">
        <f t="shared" si="58"/>
        <v>-11331.65</v>
      </c>
      <c r="Y71" s="2"/>
      <c r="Z71" s="7">
        <f t="shared" si="59"/>
        <v>-0.56658249999999999</v>
      </c>
    </row>
    <row r="72" spans="1:26" s="27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SUM(OSRRefD22_13x_0)</f>
        <v>21679.37</v>
      </c>
      <c r="E72" s="1"/>
      <c r="F72" s="5">
        <f t="shared" ref="F72:F76" si="60">IF(D$12=0,0,D72/D$12)</f>
        <v>0</v>
      </c>
      <c r="G72" s="1"/>
      <c r="H72" s="1">
        <f>SUM(OSRRefH22_13x_0)</f>
        <v>28996</v>
      </c>
      <c r="I72" s="1"/>
      <c r="J72" s="5">
        <f t="shared" ref="J72:J76" si="61">IF(H$12=0,0,H72/H$12)</f>
        <v>0</v>
      </c>
      <c r="K72" s="1"/>
      <c r="L72" s="1">
        <f t="shared" ref="L72:L76" si="62">+D72-H72</f>
        <v>-7316.630000000001</v>
      </c>
      <c r="M72" s="1"/>
      <c r="N72" s="5">
        <f t="shared" ref="N72:N76" si="63">IF(H72=0,0,L72/H72)</f>
        <v>-0.25233239067457586</v>
      </c>
      <c r="O72" s="13"/>
      <c r="P72" s="1">
        <f>SUM(OSRRefP22_13x_0)</f>
        <v>286993.28999999998</v>
      </c>
      <c r="Q72" s="1"/>
      <c r="R72" s="5">
        <f t="shared" ref="R72:R76" si="64">IF(P$12=0,0,P72/P$12)</f>
        <v>0</v>
      </c>
      <c r="S72" s="1"/>
      <c r="T72" s="1">
        <f>SUM(OSRRefT22_13x_0)</f>
        <v>342818</v>
      </c>
      <c r="U72" s="1"/>
      <c r="V72" s="5">
        <f t="shared" ref="V72:V76" si="65">IF(T$12=0,0,T72/T$12)</f>
        <v>0</v>
      </c>
      <c r="W72" s="1"/>
      <c r="X72" s="1">
        <f t="shared" ref="X72:X76" si="66">+P72-T72</f>
        <v>-55824.710000000021</v>
      </c>
      <c r="Y72" s="1"/>
      <c r="Z72" s="5">
        <f t="shared" ref="Z72:Z76" si="67">IF(T72=0,0,X72/T72)</f>
        <v>-0.1628406618088899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6281.98</v>
      </c>
      <c r="E73" s="2"/>
      <c r="F73" s="7">
        <f t="shared" si="60"/>
        <v>0</v>
      </c>
      <c r="G73" s="2"/>
      <c r="H73" s="6">
        <v>8470</v>
      </c>
      <c r="I73" s="2"/>
      <c r="J73" s="7">
        <f t="shared" si="61"/>
        <v>0</v>
      </c>
      <c r="K73" s="2"/>
      <c r="L73" s="6">
        <f t="shared" si="62"/>
        <v>-2188.0200000000004</v>
      </c>
      <c r="M73" s="2"/>
      <c r="N73" s="7">
        <f t="shared" si="63"/>
        <v>-0.25832585596221963</v>
      </c>
      <c r="O73" s="11"/>
      <c r="P73" s="6">
        <v>99100.72</v>
      </c>
      <c r="Q73" s="2"/>
      <c r="R73" s="7">
        <f t="shared" si="64"/>
        <v>0</v>
      </c>
      <c r="S73" s="2"/>
      <c r="T73" s="6">
        <v>133040</v>
      </c>
      <c r="U73" s="2"/>
      <c r="V73" s="7">
        <f t="shared" si="65"/>
        <v>0</v>
      </c>
      <c r="W73" s="2"/>
      <c r="X73" s="6">
        <f t="shared" si="66"/>
        <v>-33939.279999999999</v>
      </c>
      <c r="Y73" s="2"/>
      <c r="Z73" s="7">
        <f t="shared" si="67"/>
        <v>-0.25510583283223087</v>
      </c>
    </row>
    <row r="74" spans="1:26" s="24" customFormat="1" hidden="1" outlineLevel="2" x14ac:dyDescent="0.25">
      <c r="A74" s="26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60"/>
        <v>0</v>
      </c>
      <c r="G74" s="2"/>
      <c r="H74" s="6">
        <v>4200</v>
      </c>
      <c r="I74" s="2"/>
      <c r="J74" s="7">
        <f t="shared" si="61"/>
        <v>0</v>
      </c>
      <c r="K74" s="2"/>
      <c r="L74" s="6">
        <f t="shared" si="62"/>
        <v>-4200</v>
      </c>
      <c r="M74" s="2"/>
      <c r="N74" s="7">
        <f t="shared" si="63"/>
        <v>-1</v>
      </c>
      <c r="O74" s="11"/>
      <c r="P74" s="6"/>
      <c r="Q74" s="2"/>
      <c r="R74" s="7">
        <f t="shared" si="64"/>
        <v>0</v>
      </c>
      <c r="S74" s="2"/>
      <c r="T74" s="6">
        <v>21800</v>
      </c>
      <c r="U74" s="2"/>
      <c r="V74" s="7">
        <f t="shared" si="65"/>
        <v>0</v>
      </c>
      <c r="W74" s="2"/>
      <c r="X74" s="6">
        <f t="shared" si="66"/>
        <v>-21800</v>
      </c>
      <c r="Y74" s="2"/>
      <c r="Z74" s="7">
        <f t="shared" si="67"/>
        <v>-1</v>
      </c>
    </row>
    <row r="75" spans="1:26" s="24" customFormat="1" hidden="1" outlineLevel="2" x14ac:dyDescent="0.25">
      <c r="A75" s="26"/>
      <c r="B75" s="11" t="str">
        <f>CONCATENATE("          ", "6373", " - ", "MAINTENANCE CONTRACTS")</f>
        <v xml:space="preserve">          6373 - MAINTENANCE CONTRACTS</v>
      </c>
      <c r="C75" s="11"/>
      <c r="D75" s="6">
        <v>15312.39</v>
      </c>
      <c r="E75" s="2"/>
      <c r="F75" s="7">
        <f t="shared" si="60"/>
        <v>0</v>
      </c>
      <c r="G75" s="2"/>
      <c r="H75" s="6">
        <v>16326</v>
      </c>
      <c r="I75" s="2"/>
      <c r="J75" s="7">
        <f t="shared" si="61"/>
        <v>0</v>
      </c>
      <c r="K75" s="2"/>
      <c r="L75" s="6">
        <f t="shared" si="62"/>
        <v>-1013.6100000000006</v>
      </c>
      <c r="M75" s="2"/>
      <c r="N75" s="7">
        <f t="shared" si="63"/>
        <v>-6.2085630282984236E-2</v>
      </c>
      <c r="O75" s="11"/>
      <c r="P75" s="6">
        <v>185460.14</v>
      </c>
      <c r="Q75" s="2"/>
      <c r="R75" s="7">
        <f t="shared" si="64"/>
        <v>0</v>
      </c>
      <c r="S75" s="2"/>
      <c r="T75" s="6">
        <v>187978</v>
      </c>
      <c r="U75" s="2"/>
      <c r="V75" s="7">
        <f t="shared" si="65"/>
        <v>0</v>
      </c>
      <c r="W75" s="2"/>
      <c r="X75" s="6">
        <f t="shared" si="66"/>
        <v>-2517.859999999986</v>
      </c>
      <c r="Y75" s="2"/>
      <c r="Z75" s="7">
        <f t="shared" si="67"/>
        <v>-1.3394439774867197E-2</v>
      </c>
    </row>
    <row r="76" spans="1:26" s="24" customFormat="1" hidden="1" outlineLevel="2" x14ac:dyDescent="0.25">
      <c r="A76" s="26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85</v>
      </c>
      <c r="E76" s="2"/>
      <c r="F76" s="7">
        <f t="shared" si="60"/>
        <v>0</v>
      </c>
      <c r="G76" s="2"/>
      <c r="H76" s="6"/>
      <c r="I76" s="2"/>
      <c r="J76" s="7">
        <f t="shared" si="61"/>
        <v>0</v>
      </c>
      <c r="K76" s="2"/>
      <c r="L76" s="6">
        <f t="shared" si="62"/>
        <v>85</v>
      </c>
      <c r="M76" s="2"/>
      <c r="N76" s="7">
        <f t="shared" si="63"/>
        <v>0</v>
      </c>
      <c r="O76" s="11"/>
      <c r="P76" s="6">
        <v>2432.4299999999998</v>
      </c>
      <c r="Q76" s="2"/>
      <c r="R76" s="7">
        <f t="shared" si="64"/>
        <v>0</v>
      </c>
      <c r="S76" s="2"/>
      <c r="T76" s="6"/>
      <c r="U76" s="2"/>
      <c r="V76" s="7">
        <f t="shared" si="65"/>
        <v>0</v>
      </c>
      <c r="W76" s="2"/>
      <c r="X76" s="6">
        <f t="shared" si="66"/>
        <v>2432.4299999999998</v>
      </c>
      <c r="Y76" s="2"/>
      <c r="Z76" s="7">
        <f t="shared" si="67"/>
        <v>0</v>
      </c>
    </row>
    <row r="77" spans="1:26" s="27" customFormat="1" outlineLevel="1" collapsed="1" x14ac:dyDescent="0.25">
      <c r="A77" s="25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SUM(OSRRefD22_14x_0)</f>
        <v>1242.68</v>
      </c>
      <c r="E77" s="1"/>
      <c r="F77" s="5">
        <f t="shared" ref="F77:F79" si="68">IF(D$12=0,0,D77/D$12)</f>
        <v>0</v>
      </c>
      <c r="G77" s="1"/>
      <c r="H77" s="1">
        <f>SUM(OSRRefH22_14x_0)</f>
        <v>525</v>
      </c>
      <c r="I77" s="1"/>
      <c r="J77" s="5">
        <f t="shared" ref="J77:J79" si="69">IF(H$12=0,0,H77/H$12)</f>
        <v>0</v>
      </c>
      <c r="K77" s="1"/>
      <c r="L77" s="1">
        <f t="shared" ref="L77:L79" si="70">+D77-H77</f>
        <v>717.68000000000006</v>
      </c>
      <c r="M77" s="1"/>
      <c r="N77" s="5">
        <f t="shared" ref="N77:N79" si="71">IF(H77=0,0,L77/H77)</f>
        <v>1.3670095238095239</v>
      </c>
      <c r="O77" s="13"/>
      <c r="P77" s="1">
        <f>SUM(OSRRefP22_14x_0)</f>
        <v>7444.36</v>
      </c>
      <c r="Q77" s="1"/>
      <c r="R77" s="5">
        <f t="shared" ref="R77:R79" si="72">IF(P$12=0,0,P77/P$12)</f>
        <v>0</v>
      </c>
      <c r="S77" s="1"/>
      <c r="T77" s="1">
        <f>SUM(OSRRefT22_14x_0)</f>
        <v>6300</v>
      </c>
      <c r="U77" s="1"/>
      <c r="V77" s="5">
        <f t="shared" ref="V77:V79" si="73">IF(T$12=0,0,T77/T$12)</f>
        <v>0</v>
      </c>
      <c r="W77" s="1"/>
      <c r="X77" s="1">
        <f t="shared" ref="X77:X79" si="74">+P77-T77</f>
        <v>1144.3599999999997</v>
      </c>
      <c r="Y77" s="1"/>
      <c r="Z77" s="5">
        <f t="shared" ref="Z77:Z79" si="75">IF(T77=0,0,X77/T77)</f>
        <v>0.18164444444444439</v>
      </c>
    </row>
    <row r="78" spans="1:26" s="24" customFormat="1" hidden="1" outlineLevel="2" x14ac:dyDescent="0.25">
      <c r="A78" s="26"/>
      <c r="B78" s="11" t="str">
        <f>CONCATENATE("          ", "6281", " - ", "STORAGE FEE")</f>
        <v xml:space="preserve">          6281 - STORAGE FEE</v>
      </c>
      <c r="C78" s="11"/>
      <c r="D78" s="6">
        <v>1242.68</v>
      </c>
      <c r="E78" s="2"/>
      <c r="F78" s="7">
        <f t="shared" si="68"/>
        <v>0</v>
      </c>
      <c r="G78" s="2"/>
      <c r="H78" s="6">
        <v>500</v>
      </c>
      <c r="I78" s="2"/>
      <c r="J78" s="7">
        <f t="shared" si="69"/>
        <v>0</v>
      </c>
      <c r="K78" s="2"/>
      <c r="L78" s="6">
        <f t="shared" si="70"/>
        <v>742.68000000000006</v>
      </c>
      <c r="M78" s="2"/>
      <c r="N78" s="7">
        <f t="shared" si="71"/>
        <v>1.4853600000000002</v>
      </c>
      <c r="O78" s="11"/>
      <c r="P78" s="6">
        <v>7444.36</v>
      </c>
      <c r="Q78" s="2"/>
      <c r="R78" s="7">
        <f t="shared" si="72"/>
        <v>0</v>
      </c>
      <c r="S78" s="2"/>
      <c r="T78" s="6">
        <v>6000</v>
      </c>
      <c r="U78" s="2"/>
      <c r="V78" s="7">
        <f t="shared" si="73"/>
        <v>0</v>
      </c>
      <c r="W78" s="2"/>
      <c r="X78" s="6">
        <f t="shared" si="74"/>
        <v>1444.3599999999997</v>
      </c>
      <c r="Y78" s="2"/>
      <c r="Z78" s="7">
        <f t="shared" si="75"/>
        <v>0.24072666666666662</v>
      </c>
    </row>
    <row r="79" spans="1:26" s="24" customFormat="1" hidden="1" outlineLevel="2" x14ac:dyDescent="0.25">
      <c r="A79" s="26"/>
      <c r="B79" s="11" t="str">
        <f>CONCATENATE("          ", "6286", " - ", "LAUNDRY EXPENSE")</f>
        <v xml:space="preserve">          6286 - LAUNDRY EXPENSE</v>
      </c>
      <c r="C79" s="11"/>
      <c r="D79" s="6"/>
      <c r="E79" s="2"/>
      <c r="F79" s="7">
        <f t="shared" si="68"/>
        <v>0</v>
      </c>
      <c r="G79" s="2"/>
      <c r="H79" s="6">
        <v>25</v>
      </c>
      <c r="I79" s="2"/>
      <c r="J79" s="7">
        <f t="shared" si="69"/>
        <v>0</v>
      </c>
      <c r="K79" s="2"/>
      <c r="L79" s="6">
        <f t="shared" si="70"/>
        <v>-25</v>
      </c>
      <c r="M79" s="2"/>
      <c r="N79" s="7">
        <f t="shared" si="71"/>
        <v>-1</v>
      </c>
      <c r="O79" s="11"/>
      <c r="P79" s="6"/>
      <c r="Q79" s="2"/>
      <c r="R79" s="7">
        <f t="shared" si="72"/>
        <v>0</v>
      </c>
      <c r="S79" s="2"/>
      <c r="T79" s="6">
        <v>300</v>
      </c>
      <c r="U79" s="2"/>
      <c r="V79" s="7">
        <f t="shared" si="73"/>
        <v>0</v>
      </c>
      <c r="W79" s="2"/>
      <c r="X79" s="6">
        <f t="shared" si="74"/>
        <v>-300</v>
      </c>
      <c r="Y79" s="2"/>
      <c r="Z79" s="7">
        <f t="shared" si="75"/>
        <v>-1</v>
      </c>
    </row>
    <row r="80" spans="1:26" s="27" customFormat="1" outlineLevel="1" collapsed="1" x14ac:dyDescent="0.25">
      <c r="A80" s="25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SUM(OSRRefD22_15x_0)</f>
        <v>0</v>
      </c>
      <c r="E80" s="1"/>
      <c r="F80" s="5">
        <f t="shared" ref="F80:F82" si="76">IF(D$12=0,0,D80/D$12)</f>
        <v>0</v>
      </c>
      <c r="G80" s="1"/>
      <c r="H80" s="1">
        <f>SUM(OSRRefH22_15x_0)</f>
        <v>1652</v>
      </c>
      <c r="I80" s="1"/>
      <c r="J80" s="5">
        <f t="shared" ref="J80:J82" si="77">IF(H$12=0,0,H80/H$12)</f>
        <v>0</v>
      </c>
      <c r="K80" s="1"/>
      <c r="L80" s="1">
        <f t="shared" ref="L80:L82" si="78">+D80-H80</f>
        <v>-1652</v>
      </c>
      <c r="M80" s="1"/>
      <c r="N80" s="5">
        <f t="shared" ref="N80:N82" si="79">IF(H80=0,0,L80/H80)</f>
        <v>-1</v>
      </c>
      <c r="O80" s="13"/>
      <c r="P80" s="1">
        <f>SUM(OSRRefP22_15x_0)</f>
        <v>10122.99</v>
      </c>
      <c r="Q80" s="1"/>
      <c r="R80" s="5">
        <f t="shared" ref="R80:R82" si="80">IF(P$12=0,0,P80/P$12)</f>
        <v>0</v>
      </c>
      <c r="S80" s="1"/>
      <c r="T80" s="1">
        <f>SUM(OSRRefT22_15x_0)</f>
        <v>12307</v>
      </c>
      <c r="U80" s="1"/>
      <c r="V80" s="5">
        <f t="shared" ref="V80:V82" si="81">IF(T$12=0,0,T80/T$12)</f>
        <v>0</v>
      </c>
      <c r="W80" s="1"/>
      <c r="X80" s="1">
        <f t="shared" ref="X80:X82" si="82">+P80-T80</f>
        <v>-2184.0100000000002</v>
      </c>
      <c r="Y80" s="1"/>
      <c r="Z80" s="5">
        <f t="shared" ref="Z80:Z82" si="83">IF(T80=0,0,X80/T80)</f>
        <v>-0.17746079466970019</v>
      </c>
    </row>
    <row r="81" spans="1:26" s="24" customFormat="1" hidden="1" outlineLevel="2" x14ac:dyDescent="0.25">
      <c r="A81" s="26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76"/>
        <v>0</v>
      </c>
      <c r="G81" s="2"/>
      <c r="H81" s="6">
        <v>1552</v>
      </c>
      <c r="I81" s="2"/>
      <c r="J81" s="7">
        <f t="shared" si="77"/>
        <v>0</v>
      </c>
      <c r="K81" s="2"/>
      <c r="L81" s="6">
        <f t="shared" si="78"/>
        <v>-1552</v>
      </c>
      <c r="M81" s="2"/>
      <c r="N81" s="7">
        <f t="shared" si="79"/>
        <v>-1</v>
      </c>
      <c r="O81" s="11"/>
      <c r="P81" s="6">
        <v>10122.99</v>
      </c>
      <c r="Q81" s="2"/>
      <c r="R81" s="7">
        <f t="shared" si="80"/>
        <v>0</v>
      </c>
      <c r="S81" s="2"/>
      <c r="T81" s="6">
        <v>11107</v>
      </c>
      <c r="U81" s="2"/>
      <c r="V81" s="7">
        <f t="shared" si="81"/>
        <v>0</v>
      </c>
      <c r="W81" s="2"/>
      <c r="X81" s="6">
        <f t="shared" si="82"/>
        <v>-984.01000000000022</v>
      </c>
      <c r="Y81" s="2"/>
      <c r="Z81" s="7">
        <f t="shared" si="83"/>
        <v>-8.8593679661474758E-2</v>
      </c>
    </row>
    <row r="82" spans="1:26" s="24" customFormat="1" hidden="1" outlineLevel="2" x14ac:dyDescent="0.25">
      <c r="A82" s="26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76"/>
        <v>0</v>
      </c>
      <c r="G82" s="2"/>
      <c r="H82" s="6">
        <v>100</v>
      </c>
      <c r="I82" s="2"/>
      <c r="J82" s="7">
        <f t="shared" si="77"/>
        <v>0</v>
      </c>
      <c r="K82" s="2"/>
      <c r="L82" s="6">
        <f t="shared" si="78"/>
        <v>-100</v>
      </c>
      <c r="M82" s="2"/>
      <c r="N82" s="7">
        <f t="shared" si="79"/>
        <v>-1</v>
      </c>
      <c r="O82" s="11"/>
      <c r="P82" s="6"/>
      <c r="Q82" s="2"/>
      <c r="R82" s="7">
        <f t="shared" si="80"/>
        <v>0</v>
      </c>
      <c r="S82" s="2"/>
      <c r="T82" s="6">
        <v>1200</v>
      </c>
      <c r="U82" s="2"/>
      <c r="V82" s="7">
        <f t="shared" si="81"/>
        <v>0</v>
      </c>
      <c r="W82" s="2"/>
      <c r="X82" s="6">
        <f t="shared" si="82"/>
        <v>-1200</v>
      </c>
      <c r="Y82" s="2"/>
      <c r="Z82" s="7">
        <f t="shared" si="83"/>
        <v>-1</v>
      </c>
    </row>
    <row r="83" spans="1:26" s="27" customFormat="1" outlineLevel="1" collapsed="1" x14ac:dyDescent="0.25">
      <c r="A83" s="25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SUM(OSRRefD22_16x_0)</f>
        <v>17831.96</v>
      </c>
      <c r="E83" s="1"/>
      <c r="F83" s="5">
        <f t="shared" ref="F83:F89" si="84">IF(D$12=0,0,D83/D$12)</f>
        <v>0</v>
      </c>
      <c r="G83" s="1"/>
      <c r="H83" s="1">
        <f>SUM(OSRRefH22_16x_0)</f>
        <v>4913</v>
      </c>
      <c r="I83" s="1"/>
      <c r="J83" s="5">
        <f t="shared" ref="J83:J89" si="85">IF(H$12=0,0,H83/H$12)</f>
        <v>0</v>
      </c>
      <c r="K83" s="1"/>
      <c r="L83" s="1">
        <f t="shared" ref="L83:L89" si="86">+D83-H83</f>
        <v>12918.96</v>
      </c>
      <c r="M83" s="1"/>
      <c r="N83" s="5">
        <f t="shared" ref="N83:N89" si="87">IF(H83=0,0,L83/H83)</f>
        <v>2.6295461021778954</v>
      </c>
      <c r="O83" s="13"/>
      <c r="P83" s="1">
        <f>SUM(OSRRefP22_16x_0)</f>
        <v>26772.219999999998</v>
      </c>
      <c r="Q83" s="1"/>
      <c r="R83" s="5">
        <f t="shared" ref="R83:R89" si="88">IF(P$12=0,0,P83/P$12)</f>
        <v>0</v>
      </c>
      <c r="S83" s="1"/>
      <c r="T83" s="1">
        <f>SUM(OSRRefT22_16x_0)</f>
        <v>72084</v>
      </c>
      <c r="U83" s="1"/>
      <c r="V83" s="5">
        <f t="shared" ref="V83:V89" si="89">IF(T$12=0,0,T83/T$12)</f>
        <v>0</v>
      </c>
      <c r="W83" s="1"/>
      <c r="X83" s="1">
        <f t="shared" ref="X83:X89" si="90">+P83-T83</f>
        <v>-45311.78</v>
      </c>
      <c r="Y83" s="1"/>
      <c r="Z83" s="5">
        <f t="shared" ref="Z83:Z89" si="91">IF(T83=0,0,X83/T83)</f>
        <v>-0.62859691471061541</v>
      </c>
    </row>
    <row r="84" spans="1:26" s="24" customFormat="1" hidden="1" outlineLevel="2" x14ac:dyDescent="0.25">
      <c r="A84" s="26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84"/>
        <v>0</v>
      </c>
      <c r="G84" s="2"/>
      <c r="H84" s="6">
        <v>1000</v>
      </c>
      <c r="I84" s="2"/>
      <c r="J84" s="7">
        <f t="shared" si="85"/>
        <v>0</v>
      </c>
      <c r="K84" s="2"/>
      <c r="L84" s="6">
        <f t="shared" si="86"/>
        <v>-1000</v>
      </c>
      <c r="M84" s="2"/>
      <c r="N84" s="7">
        <f t="shared" si="87"/>
        <v>-1</v>
      </c>
      <c r="O84" s="11"/>
      <c r="P84" s="6"/>
      <c r="Q84" s="2"/>
      <c r="R84" s="7">
        <f t="shared" si="88"/>
        <v>0</v>
      </c>
      <c r="S84" s="2"/>
      <c r="T84" s="6">
        <v>21584</v>
      </c>
      <c r="U84" s="2"/>
      <c r="V84" s="7">
        <f t="shared" si="89"/>
        <v>0</v>
      </c>
      <c r="W84" s="2"/>
      <c r="X84" s="6">
        <f t="shared" si="90"/>
        <v>-21584</v>
      </c>
      <c r="Y84" s="2"/>
      <c r="Z84" s="7">
        <f t="shared" si="91"/>
        <v>-1</v>
      </c>
    </row>
    <row r="85" spans="1:26" s="24" customFormat="1" hidden="1" outlineLevel="2" x14ac:dyDescent="0.25">
      <c r="A85" s="26"/>
      <c r="B85" s="11" t="str">
        <f>CONCATENATE("          ", "6235", " - ", "COVID-19 EXPENSES")</f>
        <v xml:space="preserve">          6235 - COVID-19 EXPENSES</v>
      </c>
      <c r="C85" s="11"/>
      <c r="D85" s="6"/>
      <c r="E85" s="2"/>
      <c r="F85" s="7">
        <f t="shared" si="84"/>
        <v>0</v>
      </c>
      <c r="G85" s="2"/>
      <c r="H85" s="6">
        <v>913</v>
      </c>
      <c r="I85" s="2"/>
      <c r="J85" s="7">
        <f t="shared" si="85"/>
        <v>0</v>
      </c>
      <c r="K85" s="2"/>
      <c r="L85" s="6">
        <f t="shared" si="86"/>
        <v>-913</v>
      </c>
      <c r="M85" s="2"/>
      <c r="N85" s="7">
        <f t="shared" si="87"/>
        <v>-1</v>
      </c>
      <c r="O85" s="11"/>
      <c r="P85" s="6">
        <v>810.3</v>
      </c>
      <c r="Q85" s="2"/>
      <c r="R85" s="7">
        <f t="shared" si="88"/>
        <v>0</v>
      </c>
      <c r="S85" s="2"/>
      <c r="T85" s="6">
        <v>7000</v>
      </c>
      <c r="U85" s="2"/>
      <c r="V85" s="7">
        <f t="shared" si="89"/>
        <v>0</v>
      </c>
      <c r="W85" s="2"/>
      <c r="X85" s="6">
        <f t="shared" si="90"/>
        <v>-6189.7</v>
      </c>
      <c r="Y85" s="2"/>
      <c r="Z85" s="7">
        <f t="shared" si="91"/>
        <v>-0.88424285714285711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1289.96</v>
      </c>
      <c r="E86" s="2"/>
      <c r="F86" s="7">
        <f t="shared" si="84"/>
        <v>0</v>
      </c>
      <c r="G86" s="2"/>
      <c r="H86" s="6">
        <v>2587</v>
      </c>
      <c r="I86" s="2"/>
      <c r="J86" s="7">
        <f t="shared" si="85"/>
        <v>0</v>
      </c>
      <c r="K86" s="2"/>
      <c r="L86" s="6">
        <f t="shared" si="86"/>
        <v>-1297.04</v>
      </c>
      <c r="M86" s="2"/>
      <c r="N86" s="7">
        <f t="shared" si="87"/>
        <v>-0.50136838036335518</v>
      </c>
      <c r="O86" s="11"/>
      <c r="P86" s="6">
        <v>9197.2099999999991</v>
      </c>
      <c r="Q86" s="2"/>
      <c r="R86" s="7">
        <f t="shared" si="88"/>
        <v>0</v>
      </c>
      <c r="S86" s="2"/>
      <c r="T86" s="6">
        <v>33500</v>
      </c>
      <c r="U86" s="2"/>
      <c r="V86" s="7">
        <f t="shared" si="89"/>
        <v>0</v>
      </c>
      <c r="W86" s="2"/>
      <c r="X86" s="6">
        <f t="shared" si="90"/>
        <v>-24302.79</v>
      </c>
      <c r="Y86" s="2"/>
      <c r="Z86" s="7">
        <f t="shared" si="91"/>
        <v>-0.72545641791044779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6">
        <v>125</v>
      </c>
      <c r="E87" s="2"/>
      <c r="F87" s="7">
        <f t="shared" si="84"/>
        <v>0</v>
      </c>
      <c r="G87" s="2"/>
      <c r="H87" s="6">
        <v>413</v>
      </c>
      <c r="I87" s="2"/>
      <c r="J87" s="7">
        <f t="shared" si="85"/>
        <v>0</v>
      </c>
      <c r="K87" s="2"/>
      <c r="L87" s="6">
        <f t="shared" si="86"/>
        <v>-288</v>
      </c>
      <c r="M87" s="2"/>
      <c r="N87" s="7">
        <f t="shared" si="87"/>
        <v>-0.69733656174334135</v>
      </c>
      <c r="O87" s="11"/>
      <c r="P87" s="6">
        <v>347.71</v>
      </c>
      <c r="Q87" s="2"/>
      <c r="R87" s="7">
        <f t="shared" si="88"/>
        <v>0</v>
      </c>
      <c r="S87" s="2"/>
      <c r="T87" s="6">
        <v>5000</v>
      </c>
      <c r="U87" s="2"/>
      <c r="V87" s="7">
        <f t="shared" si="89"/>
        <v>0</v>
      </c>
      <c r="W87" s="2"/>
      <c r="X87" s="6">
        <f t="shared" si="90"/>
        <v>-4652.29</v>
      </c>
      <c r="Y87" s="2"/>
      <c r="Z87" s="7">
        <f t="shared" si="91"/>
        <v>-0.93045800000000001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6"/>
      <c r="E88" s="2"/>
      <c r="F88" s="7">
        <f t="shared" si="84"/>
        <v>0</v>
      </c>
      <c r="G88" s="2"/>
      <c r="H88" s="6"/>
      <c r="I88" s="2"/>
      <c r="J88" s="7">
        <f t="shared" si="85"/>
        <v>0</v>
      </c>
      <c r="K88" s="2"/>
      <c r="L88" s="6">
        <f t="shared" si="86"/>
        <v>0</v>
      </c>
      <c r="M88" s="2"/>
      <c r="N88" s="7">
        <f t="shared" si="87"/>
        <v>0</v>
      </c>
      <c r="O88" s="11"/>
      <c r="P88" s="6"/>
      <c r="Q88" s="2"/>
      <c r="R88" s="7">
        <f t="shared" si="88"/>
        <v>0</v>
      </c>
      <c r="S88" s="2"/>
      <c r="T88" s="6">
        <v>5000</v>
      </c>
      <c r="U88" s="2"/>
      <c r="V88" s="7">
        <f t="shared" si="89"/>
        <v>0</v>
      </c>
      <c r="W88" s="2"/>
      <c r="X88" s="6">
        <f t="shared" si="90"/>
        <v>-5000</v>
      </c>
      <c r="Y88" s="2"/>
      <c r="Z88" s="7">
        <f t="shared" si="91"/>
        <v>-1</v>
      </c>
    </row>
    <row r="89" spans="1:26" s="24" customFormat="1" hidden="1" outlineLevel="2" x14ac:dyDescent="0.25">
      <c r="A89" s="26"/>
      <c r="B89" s="11" t="str">
        <f>CONCATENATE("          ", "6248", " - ", "UNIFORMS")</f>
        <v xml:space="preserve">          6248 - UNIFORMS</v>
      </c>
      <c r="C89" s="11"/>
      <c r="D89" s="6">
        <v>16417</v>
      </c>
      <c r="E89" s="2"/>
      <c r="F89" s="7">
        <f t="shared" si="84"/>
        <v>0</v>
      </c>
      <c r="G89" s="2"/>
      <c r="H89" s="6"/>
      <c r="I89" s="2"/>
      <c r="J89" s="7">
        <f t="shared" si="85"/>
        <v>0</v>
      </c>
      <c r="K89" s="2"/>
      <c r="L89" s="6">
        <f t="shared" si="86"/>
        <v>16417</v>
      </c>
      <c r="M89" s="2"/>
      <c r="N89" s="7">
        <f t="shared" si="87"/>
        <v>0</v>
      </c>
      <c r="O89" s="11"/>
      <c r="P89" s="6">
        <v>16417</v>
      </c>
      <c r="Q89" s="2"/>
      <c r="R89" s="7">
        <f t="shared" si="88"/>
        <v>0</v>
      </c>
      <c r="S89" s="2"/>
      <c r="T89" s="6"/>
      <c r="U89" s="2"/>
      <c r="V89" s="7">
        <f t="shared" si="89"/>
        <v>0</v>
      </c>
      <c r="W89" s="2"/>
      <c r="X89" s="6">
        <f t="shared" si="90"/>
        <v>16417</v>
      </c>
      <c r="Y89" s="2"/>
      <c r="Z89" s="7">
        <f t="shared" si="91"/>
        <v>0</v>
      </c>
    </row>
    <row r="90" spans="1:26" s="27" customFormat="1" outlineLevel="1" collapsed="1" x14ac:dyDescent="0.25">
      <c r="A90" s="25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SUM(OSRRefD22_17x_0)</f>
        <v>2945.9399999999996</v>
      </c>
      <c r="E90" s="1"/>
      <c r="F90" s="5">
        <f t="shared" ref="F90:F92" si="92">IF(D$12=0,0,D90/D$12)</f>
        <v>0</v>
      </c>
      <c r="G90" s="1"/>
      <c r="H90" s="1">
        <f>SUM(OSRRefH22_17x_0)</f>
        <v>1585</v>
      </c>
      <c r="I90" s="1"/>
      <c r="J90" s="5">
        <f t="shared" ref="J90:J92" si="93">IF(H$12=0,0,H90/H$12)</f>
        <v>0</v>
      </c>
      <c r="K90" s="1"/>
      <c r="L90" s="1">
        <f t="shared" ref="L90:L92" si="94">+D90-H90</f>
        <v>1360.9399999999996</v>
      </c>
      <c r="M90" s="1"/>
      <c r="N90" s="5">
        <f t="shared" ref="N90:N92" si="95">IF(H90=0,0,L90/H90)</f>
        <v>0.85863722397476316</v>
      </c>
      <c r="O90" s="13"/>
      <c r="P90" s="1">
        <f>SUM(OSRRefP22_17x_0)</f>
        <v>25128.5</v>
      </c>
      <c r="Q90" s="1"/>
      <c r="R90" s="5">
        <f t="shared" ref="R90:R92" si="96">IF(P$12=0,0,P90/P$12)</f>
        <v>0</v>
      </c>
      <c r="S90" s="1"/>
      <c r="T90" s="1">
        <f>SUM(OSRRefT22_17x_0)</f>
        <v>19620</v>
      </c>
      <c r="U90" s="1"/>
      <c r="V90" s="5">
        <f t="shared" ref="V90:V92" si="97">IF(T$12=0,0,T90/T$12)</f>
        <v>0</v>
      </c>
      <c r="W90" s="1"/>
      <c r="X90" s="1">
        <f t="shared" ref="X90:X92" si="98">+P90-T90</f>
        <v>5508.5</v>
      </c>
      <c r="Y90" s="1"/>
      <c r="Z90" s="5">
        <f t="shared" ref="Z90:Z92" si="99">IF(T90=0,0,X90/T90)</f>
        <v>0.28075942915392454</v>
      </c>
    </row>
    <row r="91" spans="1:26" s="24" customFormat="1" hidden="1" outlineLevel="2" x14ac:dyDescent="0.25">
      <c r="A91" s="26"/>
      <c r="B91" s="11" t="str">
        <f>CONCATENATE("          ", "6303", " - ", "DATA PHONE LINES")</f>
        <v xml:space="preserve">          6303 - DATA PHONE LINES</v>
      </c>
      <c r="C91" s="11"/>
      <c r="D91" s="6">
        <v>241.97</v>
      </c>
      <c r="E91" s="2"/>
      <c r="F91" s="7">
        <f t="shared" si="92"/>
        <v>0</v>
      </c>
      <c r="G91" s="2"/>
      <c r="H91" s="6">
        <v>335</v>
      </c>
      <c r="I91" s="2"/>
      <c r="J91" s="7">
        <f t="shared" si="93"/>
        <v>0</v>
      </c>
      <c r="K91" s="2"/>
      <c r="L91" s="6">
        <f t="shared" si="94"/>
        <v>-93.03</v>
      </c>
      <c r="M91" s="2"/>
      <c r="N91" s="7">
        <f t="shared" si="95"/>
        <v>-0.27770149253731341</v>
      </c>
      <c r="O91" s="11"/>
      <c r="P91" s="6">
        <v>1727.78</v>
      </c>
      <c r="Q91" s="2"/>
      <c r="R91" s="7">
        <f t="shared" si="96"/>
        <v>0</v>
      </c>
      <c r="S91" s="2"/>
      <c r="T91" s="6">
        <v>5820</v>
      </c>
      <c r="U91" s="2"/>
      <c r="V91" s="7">
        <f t="shared" si="97"/>
        <v>0</v>
      </c>
      <c r="W91" s="2"/>
      <c r="X91" s="6">
        <f t="shared" si="98"/>
        <v>-4092.2200000000003</v>
      </c>
      <c r="Y91" s="2"/>
      <c r="Z91" s="7">
        <f t="shared" si="99"/>
        <v>-0.7031305841924399</v>
      </c>
    </row>
    <row r="92" spans="1:26" s="24" customFormat="1" hidden="1" outlineLevel="2" x14ac:dyDescent="0.25">
      <c r="A92" s="26"/>
      <c r="B92" s="11" t="str">
        <f>CONCATENATE("          ", "6309", " - ", "TELEPHONE")</f>
        <v xml:space="preserve">          6309 - TELEPHONE</v>
      </c>
      <c r="C92" s="11"/>
      <c r="D92" s="6">
        <v>2703.97</v>
      </c>
      <c r="E92" s="2"/>
      <c r="F92" s="7">
        <f t="shared" si="92"/>
        <v>0</v>
      </c>
      <c r="G92" s="2"/>
      <c r="H92" s="6">
        <v>1250</v>
      </c>
      <c r="I92" s="2"/>
      <c r="J92" s="7">
        <f t="shared" si="93"/>
        <v>0</v>
      </c>
      <c r="K92" s="2"/>
      <c r="L92" s="6">
        <f t="shared" si="94"/>
        <v>1453.9699999999998</v>
      </c>
      <c r="M92" s="2"/>
      <c r="N92" s="7">
        <f t="shared" si="95"/>
        <v>1.1631759999999998</v>
      </c>
      <c r="O92" s="11"/>
      <c r="P92" s="6">
        <v>23400.720000000001</v>
      </c>
      <c r="Q92" s="2"/>
      <c r="R92" s="7">
        <f t="shared" si="96"/>
        <v>0</v>
      </c>
      <c r="S92" s="2"/>
      <c r="T92" s="6">
        <v>13800</v>
      </c>
      <c r="U92" s="2"/>
      <c r="V92" s="7">
        <f t="shared" si="97"/>
        <v>0</v>
      </c>
      <c r="W92" s="2"/>
      <c r="X92" s="6">
        <f t="shared" si="98"/>
        <v>9600.7200000000012</v>
      </c>
      <c r="Y92" s="2"/>
      <c r="Z92" s="7">
        <f t="shared" si="99"/>
        <v>0.69570434782608703</v>
      </c>
    </row>
    <row r="93" spans="1:26" s="27" customFormat="1" outlineLevel="1" collapsed="1" x14ac:dyDescent="0.25">
      <c r="A93" s="25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SUM(OSRRefD22_18x_0)</f>
        <v>0</v>
      </c>
      <c r="E93" s="1"/>
      <c r="F93" s="5">
        <f t="shared" ref="F93:F97" si="100">IF(D$12=0,0,D93/D$12)</f>
        <v>0</v>
      </c>
      <c r="G93" s="1"/>
      <c r="H93" s="1">
        <f>SUM(OSRRefH22_18x_0)</f>
        <v>1196</v>
      </c>
      <c r="I93" s="1"/>
      <c r="J93" s="5">
        <f t="shared" ref="J93:J97" si="101">IF(H$12=0,0,H93/H$12)</f>
        <v>0</v>
      </c>
      <c r="K93" s="1"/>
      <c r="L93" s="1">
        <f t="shared" ref="L93:L97" si="102">+D93-H93</f>
        <v>-1196</v>
      </c>
      <c r="M93" s="1"/>
      <c r="N93" s="5">
        <f t="shared" ref="N93:N97" si="103">IF(H93=0,0,L93/H93)</f>
        <v>-1</v>
      </c>
      <c r="O93" s="13"/>
      <c r="P93" s="1">
        <f>SUM(OSRRefP22_18x_0)</f>
        <v>5225.5</v>
      </c>
      <c r="Q93" s="1"/>
      <c r="R93" s="5">
        <f t="shared" ref="R93:R97" si="104">IF(P$12=0,0,P93/P$12)</f>
        <v>0</v>
      </c>
      <c r="S93" s="1"/>
      <c r="T93" s="1">
        <f>SUM(OSRRefT22_18x_0)</f>
        <v>21502</v>
      </c>
      <c r="U93" s="1"/>
      <c r="V93" s="5">
        <f t="shared" ref="V93:V97" si="105">IF(T$12=0,0,T93/T$12)</f>
        <v>0</v>
      </c>
      <c r="W93" s="1"/>
      <c r="X93" s="1">
        <f t="shared" ref="X93:X97" si="106">+P93-T93</f>
        <v>-16276.5</v>
      </c>
      <c r="Y93" s="1"/>
      <c r="Z93" s="5">
        <f t="shared" ref="Z93:Z97" si="107">IF(T93=0,0,X93/T93)</f>
        <v>-0.75697609524695375</v>
      </c>
    </row>
    <row r="94" spans="1:26" s="24" customFormat="1" hidden="1" outlineLevel="2" x14ac:dyDescent="0.25">
      <c r="A94" s="26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100"/>
        <v>0</v>
      </c>
      <c r="G94" s="2"/>
      <c r="H94" s="6">
        <v>1196</v>
      </c>
      <c r="I94" s="2"/>
      <c r="J94" s="7">
        <f t="shared" si="101"/>
        <v>0</v>
      </c>
      <c r="K94" s="2"/>
      <c r="L94" s="6">
        <f t="shared" si="102"/>
        <v>-1196</v>
      </c>
      <c r="M94" s="2"/>
      <c r="N94" s="7">
        <f t="shared" si="103"/>
        <v>-1</v>
      </c>
      <c r="O94" s="11"/>
      <c r="P94" s="6">
        <v>5225.5</v>
      </c>
      <c r="Q94" s="2"/>
      <c r="R94" s="7">
        <f t="shared" si="104"/>
        <v>0</v>
      </c>
      <c r="S94" s="2"/>
      <c r="T94" s="6">
        <v>21502</v>
      </c>
      <c r="U94" s="2"/>
      <c r="V94" s="7">
        <f t="shared" si="105"/>
        <v>0</v>
      </c>
      <c r="W94" s="2"/>
      <c r="X94" s="6">
        <f t="shared" si="106"/>
        <v>-16276.5</v>
      </c>
      <c r="Y94" s="2"/>
      <c r="Z94" s="7">
        <f t="shared" si="107"/>
        <v>-0.75697609524695375</v>
      </c>
    </row>
    <row r="95" spans="1:26" s="27" customFormat="1" outlineLevel="1" collapsed="1" x14ac:dyDescent="0.25">
      <c r="A95" s="25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SUM(OSRRefD22_19x_0)</f>
        <v>0</v>
      </c>
      <c r="E95" s="1"/>
      <c r="F95" s="5">
        <f t="shared" si="100"/>
        <v>0</v>
      </c>
      <c r="G95" s="1"/>
      <c r="H95" s="1">
        <f>SUM(OSRRefH22_19x_0)</f>
        <v>625</v>
      </c>
      <c r="I95" s="1"/>
      <c r="J95" s="5">
        <f t="shared" si="101"/>
        <v>0</v>
      </c>
      <c r="K95" s="1"/>
      <c r="L95" s="1">
        <f t="shared" si="102"/>
        <v>-625</v>
      </c>
      <c r="M95" s="1"/>
      <c r="N95" s="5">
        <f t="shared" si="103"/>
        <v>-1</v>
      </c>
      <c r="O95" s="13"/>
      <c r="P95" s="1">
        <f>SUM(OSRRefP22_19x_0)</f>
        <v>808.72</v>
      </c>
      <c r="Q95" s="1"/>
      <c r="R95" s="5">
        <f t="shared" si="104"/>
        <v>0</v>
      </c>
      <c r="S95" s="1"/>
      <c r="T95" s="1">
        <f>SUM(OSRRefT22_19x_0)</f>
        <v>11100</v>
      </c>
      <c r="U95" s="1"/>
      <c r="V95" s="5">
        <f t="shared" si="105"/>
        <v>0</v>
      </c>
      <c r="W95" s="1"/>
      <c r="X95" s="1">
        <f t="shared" si="106"/>
        <v>-10291.280000000001</v>
      </c>
      <c r="Y95" s="1"/>
      <c r="Z95" s="5">
        <f t="shared" si="107"/>
        <v>-0.92714234234234238</v>
      </c>
    </row>
    <row r="96" spans="1:26" s="24" customFormat="1" hidden="1" outlineLevel="2" x14ac:dyDescent="0.25">
      <c r="A96" s="26"/>
      <c r="B96" s="11" t="str">
        <f>CONCATENATE("          ", "6292", " - ", "TRAVEL/CONFERENCE")</f>
        <v xml:space="preserve">          6292 - TRAVEL/CONFERENCE</v>
      </c>
      <c r="C96" s="11"/>
      <c r="D96" s="6"/>
      <c r="E96" s="2"/>
      <c r="F96" s="7">
        <f t="shared" si="100"/>
        <v>0</v>
      </c>
      <c r="G96" s="2"/>
      <c r="H96" s="6">
        <v>625</v>
      </c>
      <c r="I96" s="2"/>
      <c r="J96" s="7">
        <f t="shared" si="101"/>
        <v>0</v>
      </c>
      <c r="K96" s="2"/>
      <c r="L96" s="6">
        <f t="shared" si="102"/>
        <v>-625</v>
      </c>
      <c r="M96" s="2"/>
      <c r="N96" s="7">
        <f t="shared" si="103"/>
        <v>-1</v>
      </c>
      <c r="O96" s="11"/>
      <c r="P96" s="6">
        <v>720</v>
      </c>
      <c r="Q96" s="2"/>
      <c r="R96" s="7">
        <f t="shared" si="104"/>
        <v>0</v>
      </c>
      <c r="S96" s="2"/>
      <c r="T96" s="6">
        <v>7500</v>
      </c>
      <c r="U96" s="2"/>
      <c r="V96" s="7">
        <f t="shared" si="105"/>
        <v>0</v>
      </c>
      <c r="W96" s="2"/>
      <c r="X96" s="6">
        <f t="shared" si="106"/>
        <v>-6780</v>
      </c>
      <c r="Y96" s="2"/>
      <c r="Z96" s="7">
        <f t="shared" si="107"/>
        <v>-0.90400000000000003</v>
      </c>
    </row>
    <row r="97" spans="1:26" s="24" customFormat="1" hidden="1" outlineLevel="2" x14ac:dyDescent="0.25">
      <c r="A97" s="26"/>
      <c r="B97" s="11" t="str">
        <f>CONCATENATE("          ", "6294", " - ", "TRAVEL OPERATIONAL")</f>
        <v xml:space="preserve">          6294 - TRAVEL OPERATIONAL</v>
      </c>
      <c r="C97" s="11"/>
      <c r="D97" s="6"/>
      <c r="E97" s="2"/>
      <c r="F97" s="7">
        <f t="shared" si="100"/>
        <v>0</v>
      </c>
      <c r="G97" s="2"/>
      <c r="H97" s="6"/>
      <c r="I97" s="2"/>
      <c r="J97" s="7">
        <f t="shared" si="101"/>
        <v>0</v>
      </c>
      <c r="K97" s="2"/>
      <c r="L97" s="6">
        <f t="shared" si="102"/>
        <v>0</v>
      </c>
      <c r="M97" s="2"/>
      <c r="N97" s="7">
        <f t="shared" si="103"/>
        <v>0</v>
      </c>
      <c r="O97" s="11"/>
      <c r="P97" s="6">
        <v>88.72</v>
      </c>
      <c r="Q97" s="2"/>
      <c r="R97" s="7">
        <f t="shared" si="104"/>
        <v>0</v>
      </c>
      <c r="S97" s="2"/>
      <c r="T97" s="6">
        <v>3600</v>
      </c>
      <c r="U97" s="2"/>
      <c r="V97" s="7">
        <f t="shared" si="105"/>
        <v>0</v>
      </c>
      <c r="W97" s="2"/>
      <c r="X97" s="6">
        <f t="shared" si="106"/>
        <v>-3511.28</v>
      </c>
      <c r="Y97" s="2"/>
      <c r="Z97" s="7">
        <f t="shared" si="107"/>
        <v>-0.97535555555555564</v>
      </c>
    </row>
    <row r="98" spans="1:26" s="61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293</v>
      </c>
      <c r="C99" s="10"/>
      <c r="D99" s="4">
        <f>SUM(OSRRefD25x_0)</f>
        <v>0</v>
      </c>
      <c r="E99" s="4"/>
      <c r="F99" s="12">
        <f t="shared" ref="F99:F102" si="108">IF(D$12=0,0,D99/D$12)</f>
        <v>0</v>
      </c>
      <c r="G99" s="4"/>
      <c r="H99" s="4">
        <f>SUM(OSRRefH25x_0)</f>
        <v>0</v>
      </c>
      <c r="I99" s="4"/>
      <c r="J99" s="12">
        <f t="shared" ref="J99:J102" si="109">IF(H$12=0,0,H99/H$12)</f>
        <v>0</v>
      </c>
      <c r="K99" s="4"/>
      <c r="L99" s="4">
        <f t="shared" ref="L99:L102" si="110">+D99-H99</f>
        <v>0</v>
      </c>
      <c r="M99" s="4"/>
      <c r="N99" s="12">
        <f t="shared" ref="N99:N102" si="111">IF(H99=0,0,L99/H99)</f>
        <v>0</v>
      </c>
      <c r="O99" s="10"/>
      <c r="P99" s="4">
        <f>SUM(OSRRefP25x_0)</f>
        <v>0</v>
      </c>
      <c r="Q99" s="4"/>
      <c r="R99" s="12">
        <f t="shared" ref="R99:R102" si="112">IF(P$12=0,0,P99/P$12)</f>
        <v>0</v>
      </c>
      <c r="S99" s="4"/>
      <c r="T99" s="4">
        <f>SUM(OSRRefT25x_0)</f>
        <v>0</v>
      </c>
      <c r="U99" s="4"/>
      <c r="V99" s="12">
        <f t="shared" ref="V99:V102" si="113">IF(T$12=0,0,T99/T$12)</f>
        <v>0</v>
      </c>
      <c r="W99" s="4"/>
      <c r="X99" s="4">
        <f t="shared" ref="X99:X102" si="114">+P99-T99</f>
        <v>0</v>
      </c>
      <c r="Y99" s="4"/>
      <c r="Z99" s="12">
        <f t="shared" ref="Z99:Z102" si="115">IF(T99=0,0,X99/T99)</f>
        <v>0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 t="shared" ref="D100:D102" si="116">0</f>
        <v>0</v>
      </c>
      <c r="E100" s="2"/>
      <c r="F100" s="19">
        <f t="shared" si="108"/>
        <v>0</v>
      </c>
      <c r="G100" s="2"/>
      <c r="H100" s="2"/>
      <c r="I100" s="2"/>
      <c r="J100" s="19">
        <f t="shared" si="109"/>
        <v>0</v>
      </c>
      <c r="K100" s="2"/>
      <c r="L100" s="2">
        <f t="shared" si="110"/>
        <v>0</v>
      </c>
      <c r="M100" s="2"/>
      <c r="N100" s="19">
        <f t="shared" si="111"/>
        <v>0</v>
      </c>
      <c r="O100" s="11"/>
      <c r="P100" s="2">
        <f t="shared" ref="P100:P102" si="117">0</f>
        <v>0</v>
      </c>
      <c r="Q100" s="2"/>
      <c r="R100" s="19">
        <f t="shared" si="112"/>
        <v>0</v>
      </c>
      <c r="S100" s="2"/>
      <c r="T100" s="2">
        <v>0</v>
      </c>
      <c r="U100" s="2"/>
      <c r="V100" s="19">
        <f t="shared" si="113"/>
        <v>0</v>
      </c>
      <c r="W100" s="2"/>
      <c r="X100" s="2">
        <f t="shared" si="114"/>
        <v>0</v>
      </c>
      <c r="Y100" s="2"/>
      <c r="Z100" s="19">
        <f t="shared" si="115"/>
        <v>0</v>
      </c>
    </row>
    <row r="101" spans="1:26" s="24" customFormat="1" hidden="1" outlineLevel="1" x14ac:dyDescent="0.25">
      <c r="A101" s="44"/>
      <c r="B101" s="11" t="str">
        <f>CONCATENATE("          ", "9151", " - ", "MISC. INCOME")</f>
        <v xml:space="preserve">          9151 - MISC. INCOME</v>
      </c>
      <c r="C101" s="11"/>
      <c r="D101" s="2">
        <f t="shared" si="116"/>
        <v>0</v>
      </c>
      <c r="E101" s="2"/>
      <c r="F101" s="19">
        <f t="shared" si="108"/>
        <v>0</v>
      </c>
      <c r="G101" s="2"/>
      <c r="H101" s="2"/>
      <c r="I101" s="2"/>
      <c r="J101" s="19">
        <f t="shared" si="109"/>
        <v>0</v>
      </c>
      <c r="K101" s="2"/>
      <c r="L101" s="2">
        <f t="shared" si="110"/>
        <v>0</v>
      </c>
      <c r="M101" s="2"/>
      <c r="N101" s="19">
        <f t="shared" si="111"/>
        <v>0</v>
      </c>
      <c r="O101" s="11"/>
      <c r="P101" s="2">
        <f t="shared" si="117"/>
        <v>0</v>
      </c>
      <c r="Q101" s="2"/>
      <c r="R101" s="19">
        <f t="shared" si="112"/>
        <v>0</v>
      </c>
      <c r="S101" s="2"/>
      <c r="T101" s="2">
        <v>0</v>
      </c>
      <c r="U101" s="2"/>
      <c r="V101" s="19">
        <f t="shared" si="113"/>
        <v>0</v>
      </c>
      <c r="W101" s="2"/>
      <c r="X101" s="2">
        <f t="shared" si="114"/>
        <v>0</v>
      </c>
      <c r="Y101" s="2"/>
      <c r="Z101" s="19">
        <f t="shared" si="115"/>
        <v>0</v>
      </c>
    </row>
    <row r="102" spans="1:26" s="24" customFormat="1" hidden="1" outlineLevel="1" x14ac:dyDescent="0.25">
      <c r="A102" s="44"/>
      <c r="B102" s="11" t="str">
        <f>CONCATENATE("          ", "9160", " - ", "MISC. INCOME")</f>
        <v xml:space="preserve">          9160 - MISC. INCOME</v>
      </c>
      <c r="C102" s="11"/>
      <c r="D102" s="2">
        <f t="shared" si="116"/>
        <v>0</v>
      </c>
      <c r="E102" s="2"/>
      <c r="F102" s="19">
        <f t="shared" si="108"/>
        <v>0</v>
      </c>
      <c r="G102" s="2"/>
      <c r="H102" s="2"/>
      <c r="I102" s="2"/>
      <c r="J102" s="19">
        <f t="shared" si="109"/>
        <v>0</v>
      </c>
      <c r="K102" s="2"/>
      <c r="L102" s="2">
        <f t="shared" si="110"/>
        <v>0</v>
      </c>
      <c r="M102" s="2"/>
      <c r="N102" s="19">
        <f t="shared" si="111"/>
        <v>0</v>
      </c>
      <c r="O102" s="11"/>
      <c r="P102" s="2">
        <f t="shared" si="117"/>
        <v>0</v>
      </c>
      <c r="Q102" s="2"/>
      <c r="R102" s="19">
        <f t="shared" si="112"/>
        <v>0</v>
      </c>
      <c r="S102" s="2"/>
      <c r="T102" s="2">
        <v>0</v>
      </c>
      <c r="U102" s="2"/>
      <c r="V102" s="19">
        <f t="shared" si="113"/>
        <v>0</v>
      </c>
      <c r="W102" s="2"/>
      <c r="X102" s="2">
        <f t="shared" si="114"/>
        <v>0</v>
      </c>
      <c r="Y102" s="2"/>
      <c r="Z102" s="19">
        <f t="shared" si="115"/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277</v>
      </c>
      <c r="C104" s="28"/>
      <c r="D104" s="20">
        <f>+D17-D19+D99</f>
        <v>-744030.65999999992</v>
      </c>
      <c r="E104" s="14"/>
      <c r="F104" s="22">
        <f>IF(D$12=0,0,D104/D$12)</f>
        <v>0</v>
      </c>
      <c r="G104" s="14"/>
      <c r="H104" s="20">
        <f>+H17-H19+H99</f>
        <v>130464.28471999991</v>
      </c>
      <c r="I104" s="14"/>
      <c r="J104" s="22">
        <f>IF(H$12=0,0,H104/H$12)</f>
        <v>0</v>
      </c>
      <c r="K104" s="16"/>
      <c r="L104" s="20">
        <f>+D104-H104</f>
        <v>-874494.9447199998</v>
      </c>
      <c r="M104" s="16"/>
      <c r="N104" s="22">
        <f>IF(H104=0,0,L104/H104)</f>
        <v>-6.7029451515932124</v>
      </c>
      <c r="O104" s="29"/>
      <c r="P104" s="20">
        <f>+P17-P19+P99</f>
        <v>-2840823.7500000005</v>
      </c>
      <c r="Q104" s="14"/>
      <c r="R104" s="22">
        <f>IF(P$12=0,0,P104/P$12)</f>
        <v>0</v>
      </c>
      <c r="S104" s="14"/>
      <c r="T104" s="20">
        <f>+T17-T19+T99</f>
        <v>-2862485.303304615</v>
      </c>
      <c r="U104" s="14"/>
      <c r="V104" s="22">
        <f>IF(T$12=0,0,T104/T$12)</f>
        <v>0</v>
      </c>
      <c r="W104" s="16"/>
      <c r="X104" s="20">
        <f>+P104-T104</f>
        <v>21661.553304614499</v>
      </c>
      <c r="Y104" s="16"/>
      <c r="Z104" s="22">
        <f>IF(T104=0,0,X104/T104)</f>
        <v>-7.5673937188802951E-3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128</v>
      </c>
      <c r="C106" s="10"/>
      <c r="D106" s="4"/>
      <c r="E106" s="4"/>
      <c r="F106" s="12">
        <f>IF(D$12=0,0,D106/D$12)</f>
        <v>0</v>
      </c>
      <c r="G106" s="4"/>
      <c r="H106" s="4"/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/>
      <c r="Q106" s="4"/>
      <c r="R106" s="12">
        <f>IF(P$12=0,0,P106/P$12)</f>
        <v>0</v>
      </c>
      <c r="S106" s="4"/>
      <c r="T106" s="4"/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126</v>
      </c>
      <c r="C108" s="28"/>
      <c r="D108" s="34">
        <f>+D104-D106</f>
        <v>-744030.65999999992</v>
      </c>
      <c r="E108" s="14"/>
      <c r="F108" s="35">
        <f>IF(D$12=0,0,D108/D$12)</f>
        <v>0</v>
      </c>
      <c r="G108" s="14"/>
      <c r="H108" s="34">
        <f>+H104-H106</f>
        <v>130464.28471999991</v>
      </c>
      <c r="I108" s="14"/>
      <c r="J108" s="35">
        <f>IF(H$12=0,0,H108/H$12)</f>
        <v>0</v>
      </c>
      <c r="K108" s="16"/>
      <c r="L108" s="34">
        <f>D108-H108</f>
        <v>-874494.9447199998</v>
      </c>
      <c r="M108" s="16"/>
      <c r="N108" s="35">
        <f>IF(H108=0,0,L108/H108)</f>
        <v>-6.7029451515932124</v>
      </c>
      <c r="O108" s="29"/>
      <c r="P108" s="34">
        <f>+P104-P106</f>
        <v>-2840823.7500000005</v>
      </c>
      <c r="Q108" s="14"/>
      <c r="R108" s="35">
        <f>IF(P$12=0,0,P108/P$12)</f>
        <v>0</v>
      </c>
      <c r="S108" s="14"/>
      <c r="T108" s="34">
        <f>+T104-T106</f>
        <v>-2862485.303304615</v>
      </c>
      <c r="U108" s="14"/>
      <c r="V108" s="35">
        <f>IF(T$12=0,0,T108/T$12)</f>
        <v>0</v>
      </c>
      <c r="W108" s="16"/>
      <c r="X108" s="34">
        <f>P108-T108</f>
        <v>21661.553304614499</v>
      </c>
      <c r="Y108" s="16"/>
      <c r="Z108" s="35">
        <f>IF(T108=0,0,X108/T108)</f>
        <v>-7.5673937188802951E-3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294</v>
      </c>
      <c r="C111" s="28"/>
      <c r="D111" s="33">
        <f>SUM(D108:D110)</f>
        <v>-744030.65999999992</v>
      </c>
      <c r="E111" s="14"/>
      <c r="F111" s="31">
        <f>IF(D$12=0,0,D111/D$12)</f>
        <v>0</v>
      </c>
      <c r="G111" s="14"/>
      <c r="H111" s="33">
        <f>SUM(H108:H110)</f>
        <v>130464.28471999991</v>
      </c>
      <c r="I111" s="14"/>
      <c r="J111" s="31">
        <f>IF(H$12=0,0,H111/H$12)</f>
        <v>0</v>
      </c>
      <c r="K111" s="16"/>
      <c r="L111" s="33">
        <f>+D111-H111</f>
        <v>-874494.9447199998</v>
      </c>
      <c r="M111" s="16"/>
      <c r="N111" s="31">
        <f>IF(H111=0,0,L111/H111)</f>
        <v>-6.7029451515932124</v>
      </c>
      <c r="O111" s="29"/>
      <c r="P111" s="33">
        <f>SUM(P108:P110)</f>
        <v>-2840823.7500000005</v>
      </c>
      <c r="Q111" s="14"/>
      <c r="R111" s="31">
        <f>IF(P$12=0,0,P111/P$12)</f>
        <v>0</v>
      </c>
      <c r="S111" s="14"/>
      <c r="T111" s="33">
        <f>SUM(T108:T110)</f>
        <v>-2862485.303304615</v>
      </c>
      <c r="U111" s="14"/>
      <c r="V111" s="31">
        <f>IF(T$12=0,0,T111/T$12)</f>
        <v>0</v>
      </c>
      <c r="W111" s="16"/>
      <c r="X111" s="33">
        <f>+P111-T111</f>
        <v>21661.553304614499</v>
      </c>
      <c r="Y111" s="16"/>
      <c r="Z111" s="31">
        <f>IF(T111=0,0,X111/T111)</f>
        <v>-7.5673937188802951E-3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>
        <v>44454.686054664351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5" t="s">
        <v>56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63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9658.2599999999584</v>
      </c>
      <c r="E18" s="21"/>
      <c r="F18" s="30">
        <f t="shared" ref="F18:F21" si="0">IF(D$12=0,0,D18/D$12)</f>
        <v>0</v>
      </c>
      <c r="G18" s="21"/>
      <c r="H18" s="21">
        <f>SUM(OSRRefH22x_0)</f>
        <v>-347863</v>
      </c>
      <c r="I18" s="21"/>
      <c r="J18" s="30">
        <f t="shared" ref="J18:J21" si="1">IF(H$12=0,0,H18/H$12)</f>
        <v>0</v>
      </c>
      <c r="K18" s="4"/>
      <c r="L18" s="21">
        <f t="shared" ref="L18:L21" si="2">+D18-H18</f>
        <v>357521.25999999995</v>
      </c>
      <c r="M18" s="4"/>
      <c r="N18" s="30">
        <f t="shared" ref="N18:N21" si="3">IF(H18=0,0,L18/H18)</f>
        <v>-1.0277645509870263</v>
      </c>
      <c r="O18" s="10"/>
      <c r="P18" s="21">
        <f>SUM(OSRRefP22x_0)</f>
        <v>726.46999999995023</v>
      </c>
      <c r="Q18" s="21"/>
      <c r="R18" s="30">
        <f t="shared" ref="R18:R21" si="4">IF(P$12=0,0,P18/P$12)</f>
        <v>0</v>
      </c>
      <c r="S18" s="21"/>
      <c r="T18" s="21">
        <f>SUM(OSRRefT22x_0)</f>
        <v>204744</v>
      </c>
      <c r="U18" s="21"/>
      <c r="V18" s="30">
        <f t="shared" ref="V18:V21" si="5">IF(T$12=0,0,T18/T$12)</f>
        <v>0</v>
      </c>
      <c r="W18" s="4"/>
      <c r="X18" s="21">
        <f t="shared" ref="X18:X21" si="6">+P18-T18</f>
        <v>-204017.53000000006</v>
      </c>
      <c r="Y18" s="4"/>
      <c r="Z18" s="30">
        <f t="shared" ref="Z18:Z21" si="7">IF(T18=0,0,X18/T18)</f>
        <v>-0.99645181299574126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8607.0799999999581</v>
      </c>
      <c r="E19" s="1"/>
      <c r="F19" s="5">
        <f t="shared" si="0"/>
        <v>0</v>
      </c>
      <c r="G19" s="1"/>
      <c r="H19" s="1">
        <f>SUM(OSRRefH22_0x_0)</f>
        <v>-352000</v>
      </c>
      <c r="I19" s="1"/>
      <c r="J19" s="5">
        <f t="shared" si="1"/>
        <v>0</v>
      </c>
      <c r="K19" s="1"/>
      <c r="L19" s="1">
        <f t="shared" si="2"/>
        <v>360607.07999999996</v>
      </c>
      <c r="M19" s="1"/>
      <c r="N19" s="5">
        <f t="shared" si="3"/>
        <v>-1.0244519318181817</v>
      </c>
      <c r="O19" s="13"/>
      <c r="P19" s="1">
        <f>SUM(OSRRefP22_0x_0)</f>
        <v>-68086.800000000047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-68086.800000000047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"6115", " - ", "P.E.R.S.")</f>
        <v xml:space="preserve">          6115 - P.E.R.S.</v>
      </c>
      <c r="C20" s="11"/>
      <c r="D20" s="6">
        <v>1024129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1024129</v>
      </c>
      <c r="M20" s="2"/>
      <c r="N20" s="7">
        <f t="shared" si="3"/>
        <v>0</v>
      </c>
      <c r="O20" s="11"/>
      <c r="P20" s="6">
        <v>1024129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1024129</v>
      </c>
      <c r="Y20" s="2"/>
      <c r="Z20" s="7">
        <f t="shared" si="7"/>
        <v>0</v>
      </c>
    </row>
    <row r="21" spans="1:26" s="24" customFormat="1" hidden="1" outlineLevel="2" x14ac:dyDescent="0.25">
      <c r="A21" s="26"/>
      <c r="B21" s="11" t="str">
        <f>CONCATENATE("          ", "6120", " - ", "RETIREES HEALTH INSURANCE")</f>
        <v xml:space="preserve">          6120 - RETIREES HEALTH INSURANCE</v>
      </c>
      <c r="C21" s="11"/>
      <c r="D21" s="6">
        <v>-1015521.92</v>
      </c>
      <c r="E21" s="2"/>
      <c r="F21" s="7">
        <f t="shared" si="0"/>
        <v>0</v>
      </c>
      <c r="G21" s="2"/>
      <c r="H21" s="6">
        <v>-352000</v>
      </c>
      <c r="I21" s="2"/>
      <c r="J21" s="7">
        <f t="shared" si="1"/>
        <v>0</v>
      </c>
      <c r="K21" s="2"/>
      <c r="L21" s="6">
        <f t="shared" si="2"/>
        <v>-663521.92000000004</v>
      </c>
      <c r="M21" s="2"/>
      <c r="N21" s="7">
        <f t="shared" si="3"/>
        <v>1.8850054545454547</v>
      </c>
      <c r="O21" s="11"/>
      <c r="P21" s="6">
        <v>-1092215.8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-1092215.8</v>
      </c>
      <c r="Y21" s="2"/>
      <c r="Z21" s="7">
        <f t="shared" si="7"/>
        <v>0</v>
      </c>
    </row>
    <row r="22" spans="1:26" s="27" customFormat="1" outlineLevel="1" collapsed="1" x14ac:dyDescent="0.25">
      <c r="A22" s="25"/>
      <c r="B22" s="13" t="str">
        <f>CONCATENATE("     ","Bank/card Fees                                    ")</f>
        <v xml:space="preserve">     Bank/card Fees                                    </v>
      </c>
      <c r="C22" s="13"/>
      <c r="D22" s="1">
        <f>SUM(OSRRefD22_1x_0)</f>
        <v>3.07</v>
      </c>
      <c r="E22" s="1"/>
      <c r="F22" s="5">
        <f t="shared" ref="F22:F30" si="8">IF(D$12=0,0,D22/D$12)</f>
        <v>0</v>
      </c>
      <c r="G22" s="1"/>
      <c r="H22" s="1">
        <f>SUM(OSRRefH22_1x_0)</f>
        <v>2000</v>
      </c>
      <c r="I22" s="1"/>
      <c r="J22" s="5">
        <f t="shared" ref="J22:J30" si="9">IF(H$12=0,0,H22/H$12)</f>
        <v>0</v>
      </c>
      <c r="K22" s="1"/>
      <c r="L22" s="1">
        <f t="shared" ref="L22:L30" si="10">+D22-H22</f>
        <v>-1996.93</v>
      </c>
      <c r="M22" s="1"/>
      <c r="N22" s="5">
        <f t="shared" ref="N22:N30" si="11">IF(H22=0,0,L22/H22)</f>
        <v>-0.99846500000000005</v>
      </c>
      <c r="O22" s="13"/>
      <c r="P22" s="1">
        <f>SUM(OSRRefP22_1x_0)</f>
        <v>6999.14</v>
      </c>
      <c r="Q22" s="1"/>
      <c r="R22" s="5">
        <f t="shared" ref="R22:R30" si="12">IF(P$12=0,0,P22/P$12)</f>
        <v>0</v>
      </c>
      <c r="S22" s="1"/>
      <c r="T22" s="1">
        <f>SUM(OSRRefT22_1x_0)</f>
        <v>72000</v>
      </c>
      <c r="U22" s="1"/>
      <c r="V22" s="5">
        <f t="shared" ref="V22:V30" si="13">IF(T$12=0,0,T22/T$12)</f>
        <v>0</v>
      </c>
      <c r="W22" s="1"/>
      <c r="X22" s="1">
        <f t="shared" ref="X22:X30" si="14">+P22-T22</f>
        <v>-65000.86</v>
      </c>
      <c r="Y22" s="1"/>
      <c r="Z22" s="5">
        <f t="shared" ref="Z22:Z30" si="15">IF(T22=0,0,X22/T22)</f>
        <v>-0.9027897222222222</v>
      </c>
    </row>
    <row r="23" spans="1:26" s="24" customFormat="1" hidden="1" outlineLevel="2" x14ac:dyDescent="0.25">
      <c r="A23" s="26"/>
      <c r="B23" s="11" t="str">
        <f>CONCATENATE("          ", "6381", " - ", "BANK/CREDIT CARD FEES")</f>
        <v xml:space="preserve">          6381 - BANK/CREDIT CARD FEES</v>
      </c>
      <c r="C23" s="11"/>
      <c r="D23" s="6">
        <v>3.07</v>
      </c>
      <c r="E23" s="2"/>
      <c r="F23" s="7">
        <f t="shared" si="8"/>
        <v>0</v>
      </c>
      <c r="G23" s="2"/>
      <c r="H23" s="6">
        <v>2000</v>
      </c>
      <c r="I23" s="2"/>
      <c r="J23" s="7">
        <f t="shared" si="9"/>
        <v>0</v>
      </c>
      <c r="K23" s="2"/>
      <c r="L23" s="6">
        <f t="shared" si="10"/>
        <v>-1996.93</v>
      </c>
      <c r="M23" s="2"/>
      <c r="N23" s="7">
        <f t="shared" si="11"/>
        <v>-0.99846500000000005</v>
      </c>
      <c r="O23" s="11"/>
      <c r="P23" s="6">
        <v>6999.14</v>
      </c>
      <c r="Q23" s="2"/>
      <c r="R23" s="7">
        <f t="shared" si="12"/>
        <v>0</v>
      </c>
      <c r="S23" s="2"/>
      <c r="T23" s="6">
        <v>72000</v>
      </c>
      <c r="U23" s="2"/>
      <c r="V23" s="7">
        <f t="shared" si="13"/>
        <v>0</v>
      </c>
      <c r="W23" s="2"/>
      <c r="X23" s="6">
        <f t="shared" si="14"/>
        <v>-65000.86</v>
      </c>
      <c r="Y23" s="2"/>
      <c r="Z23" s="7">
        <f t="shared" si="15"/>
        <v>-0.9027897222222222</v>
      </c>
    </row>
    <row r="24" spans="1:26" s="27" customFormat="1" outlineLevel="1" collapsed="1" x14ac:dyDescent="0.25">
      <c r="A24" s="25"/>
      <c r="B24" s="13" t="str">
        <f>CONCATENATE("     ","Board                                             ")</f>
        <v xml:space="preserve">     Board                                             </v>
      </c>
      <c r="C24" s="13"/>
      <c r="D24" s="1">
        <f>SUM(OSRRefD22_2x_0)</f>
        <v>1048.1099999999999</v>
      </c>
      <c r="E24" s="1"/>
      <c r="F24" s="5">
        <f t="shared" si="8"/>
        <v>0</v>
      </c>
      <c r="G24" s="1"/>
      <c r="H24" s="1">
        <f>SUM(OSRRefH22_2x_0)</f>
        <v>2137</v>
      </c>
      <c r="I24" s="1"/>
      <c r="J24" s="5">
        <f t="shared" si="9"/>
        <v>0</v>
      </c>
      <c r="K24" s="1"/>
      <c r="L24" s="1">
        <f t="shared" si="10"/>
        <v>-1088.8900000000001</v>
      </c>
      <c r="M24" s="1"/>
      <c r="N24" s="5">
        <f t="shared" si="11"/>
        <v>-0.50954141319606927</v>
      </c>
      <c r="O24" s="13"/>
      <c r="P24" s="1">
        <f>SUM(OSRRefP22_2x_0)</f>
        <v>15246.13</v>
      </c>
      <c r="Q24" s="1"/>
      <c r="R24" s="5">
        <f t="shared" si="12"/>
        <v>0</v>
      </c>
      <c r="S24" s="1"/>
      <c r="T24" s="1">
        <f>SUM(OSRRefT22_2x_0)</f>
        <v>45744</v>
      </c>
      <c r="U24" s="1"/>
      <c r="V24" s="5">
        <f t="shared" si="13"/>
        <v>0</v>
      </c>
      <c r="W24" s="1"/>
      <c r="X24" s="1">
        <f t="shared" si="14"/>
        <v>-30497.870000000003</v>
      </c>
      <c r="Y24" s="1"/>
      <c r="Z24" s="5">
        <f t="shared" si="15"/>
        <v>-0.66670754634487583</v>
      </c>
    </row>
    <row r="25" spans="1:26" s="24" customFormat="1" hidden="1" outlineLevel="2" x14ac:dyDescent="0.25">
      <c r="A25" s="26"/>
      <c r="B25" s="11" t="str">
        <f>CONCATENATE("          ", "6397", " - ", "BOARD EXPENSES")</f>
        <v xml:space="preserve">          6397 - BOARD EXPENSES</v>
      </c>
      <c r="C25" s="11"/>
      <c r="D25" s="6">
        <v>1048.1099999999999</v>
      </c>
      <c r="E25" s="2"/>
      <c r="F25" s="7">
        <f t="shared" si="8"/>
        <v>0</v>
      </c>
      <c r="G25" s="2"/>
      <c r="H25" s="6">
        <v>2137</v>
      </c>
      <c r="I25" s="2"/>
      <c r="J25" s="7">
        <f t="shared" si="9"/>
        <v>0</v>
      </c>
      <c r="K25" s="2"/>
      <c r="L25" s="6">
        <f t="shared" si="10"/>
        <v>-1088.8900000000001</v>
      </c>
      <c r="M25" s="2"/>
      <c r="N25" s="7">
        <f t="shared" si="11"/>
        <v>-0.50954141319606927</v>
      </c>
      <c r="O25" s="11"/>
      <c r="P25" s="6">
        <v>15246.13</v>
      </c>
      <c r="Q25" s="2"/>
      <c r="R25" s="7">
        <f t="shared" si="12"/>
        <v>0</v>
      </c>
      <c r="S25" s="2"/>
      <c r="T25" s="6">
        <v>45744</v>
      </c>
      <c r="U25" s="2"/>
      <c r="V25" s="7">
        <f t="shared" si="13"/>
        <v>0</v>
      </c>
      <c r="W25" s="2"/>
      <c r="X25" s="6">
        <f t="shared" si="14"/>
        <v>-30497.870000000003</v>
      </c>
      <c r="Y25" s="2"/>
      <c r="Z25" s="7">
        <f t="shared" si="15"/>
        <v>-0.66670754634487583</v>
      </c>
    </row>
    <row r="26" spans="1:26" s="27" customFormat="1" outlineLevel="1" collapsed="1" x14ac:dyDescent="0.25">
      <c r="A26" s="25"/>
      <c r="B26" s="13" t="str">
        <f>CONCATENATE("     ","Donations                                         ")</f>
        <v xml:space="preserve">     Donations                                         </v>
      </c>
      <c r="C26" s="13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3"/>
      <c r="P26" s="1">
        <f>SUM(OSRRefP22_3x_0)</f>
        <v>0</v>
      </c>
      <c r="Q26" s="1"/>
      <c r="R26" s="5">
        <f t="shared" si="12"/>
        <v>0</v>
      </c>
      <c r="S26" s="1"/>
      <c r="T26" s="1">
        <f>SUM(OSRRefT22_3x_0)</f>
        <v>5000</v>
      </c>
      <c r="U26" s="1"/>
      <c r="V26" s="5">
        <f t="shared" si="13"/>
        <v>0</v>
      </c>
      <c r="W26" s="1"/>
      <c r="X26" s="1">
        <f t="shared" si="14"/>
        <v>-5000</v>
      </c>
      <c r="Y26" s="1"/>
      <c r="Z26" s="5">
        <f t="shared" si="15"/>
        <v>-1</v>
      </c>
    </row>
    <row r="27" spans="1:26" s="24" customFormat="1" hidden="1" outlineLevel="2" x14ac:dyDescent="0.25">
      <c r="A27" s="26"/>
      <c r="B27" s="11" t="str">
        <f>CONCATENATE("          ", "6399", " - ", "DONATION-ON CAMPUS")</f>
        <v xml:space="preserve">          6399 - DONATION-ON CAMPUS</v>
      </c>
      <c r="C27" s="11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/>
      <c r="Q27" s="2"/>
      <c r="R27" s="7">
        <f t="shared" si="12"/>
        <v>0</v>
      </c>
      <c r="S27" s="2"/>
      <c r="T27" s="6">
        <v>5000</v>
      </c>
      <c r="U27" s="2"/>
      <c r="V27" s="7">
        <f t="shared" si="13"/>
        <v>0</v>
      </c>
      <c r="W27" s="2"/>
      <c r="X27" s="6">
        <f t="shared" si="14"/>
        <v>-5000</v>
      </c>
      <c r="Y27" s="2"/>
      <c r="Z27" s="7">
        <f t="shared" si="15"/>
        <v>-1</v>
      </c>
    </row>
    <row r="28" spans="1:26" s="27" customFormat="1" outlineLevel="1" collapsed="1" x14ac:dyDescent="0.25">
      <c r="A28" s="25"/>
      <c r="B28" s="13" t="str">
        <f>CONCATENATE("     ","Professional Services                             ")</f>
        <v xml:space="preserve">     Professional Services                             </v>
      </c>
      <c r="C28" s="13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3"/>
      <c r="P28" s="1">
        <f>SUM(OSRRefP22_4x_0)</f>
        <v>46568</v>
      </c>
      <c r="Q28" s="1"/>
      <c r="R28" s="5">
        <f t="shared" si="12"/>
        <v>0</v>
      </c>
      <c r="S28" s="1"/>
      <c r="T28" s="1">
        <f>SUM(OSRRefT22_4x_0)</f>
        <v>82000</v>
      </c>
      <c r="U28" s="1"/>
      <c r="V28" s="5">
        <f t="shared" si="13"/>
        <v>0</v>
      </c>
      <c r="W28" s="1"/>
      <c r="X28" s="1">
        <f t="shared" si="14"/>
        <v>-35432</v>
      </c>
      <c r="Y28" s="1"/>
      <c r="Z28" s="5">
        <f t="shared" si="15"/>
        <v>-0.43209756097560975</v>
      </c>
    </row>
    <row r="29" spans="1:26" s="24" customFormat="1" hidden="1" outlineLevel="2" x14ac:dyDescent="0.25">
      <c r="A29" s="26"/>
      <c r="B29" s="11" t="str">
        <f>CONCATENATE("          ", "6331", " - ", "INDIRECT COSTS-AUXILIARY ORGAN")</f>
        <v xml:space="preserve">          6331 - INDIRECT COSTS-AUXILIARY ORGAN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46568</v>
      </c>
      <c r="Q29" s="2"/>
      <c r="R29" s="7">
        <f t="shared" si="12"/>
        <v>0</v>
      </c>
      <c r="S29" s="2"/>
      <c r="T29" s="6">
        <v>54000</v>
      </c>
      <c r="U29" s="2"/>
      <c r="V29" s="7">
        <f t="shared" si="13"/>
        <v>0</v>
      </c>
      <c r="W29" s="2"/>
      <c r="X29" s="6">
        <f t="shared" si="14"/>
        <v>-7432</v>
      </c>
      <c r="Y29" s="2"/>
      <c r="Z29" s="7">
        <f t="shared" si="15"/>
        <v>-0.13762962962962963</v>
      </c>
    </row>
    <row r="30" spans="1:26" s="24" customFormat="1" hidden="1" outlineLevel="2" x14ac:dyDescent="0.25">
      <c r="A30" s="26"/>
      <c r="B30" s="11" t="str">
        <f>CONCATENATE("          ", "6332", " - ", "CONSULTANT FEES")</f>
        <v xml:space="preserve">          6332 - CONSULTANT FEES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28000</v>
      </c>
      <c r="U30" s="2"/>
      <c r="V30" s="7">
        <f t="shared" si="13"/>
        <v>0</v>
      </c>
      <c r="W30" s="2"/>
      <c r="X30" s="6">
        <f t="shared" si="14"/>
        <v>-28000</v>
      </c>
      <c r="Y30" s="2"/>
      <c r="Z30" s="7">
        <f t="shared" si="15"/>
        <v>-1</v>
      </c>
    </row>
    <row r="31" spans="1:26" s="61" customFormat="1" x14ac:dyDescent="0.25">
      <c r="A31" s="36"/>
      <c r="B31" s="36"/>
      <c r="C31" s="36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293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8" t="s">
        <v>277</v>
      </c>
      <c r="C34" s="28"/>
      <c r="D34" s="20">
        <f>+D16-D18+D32</f>
        <v>-9658.2599999999584</v>
      </c>
      <c r="E34" s="14"/>
      <c r="F34" s="22">
        <f>IF(D$12=0,0,D34/D$12)</f>
        <v>0</v>
      </c>
      <c r="G34" s="14"/>
      <c r="H34" s="20">
        <f>+H16-H18+H32</f>
        <v>347863</v>
      </c>
      <c r="I34" s="14"/>
      <c r="J34" s="22">
        <f>IF(H$12=0,0,H34/H$12)</f>
        <v>0</v>
      </c>
      <c r="K34" s="16"/>
      <c r="L34" s="20">
        <f>+D34-H34</f>
        <v>-357521.25999999995</v>
      </c>
      <c r="M34" s="16"/>
      <c r="N34" s="22">
        <f>IF(H34=0,0,L34/H34)</f>
        <v>-1.0277645509870263</v>
      </c>
      <c r="O34" s="29"/>
      <c r="P34" s="20">
        <f>+P16-P18+P32</f>
        <v>-726.46999999995023</v>
      </c>
      <c r="Q34" s="14"/>
      <c r="R34" s="22">
        <f>IF(P$12=0,0,P34/P$12)</f>
        <v>0</v>
      </c>
      <c r="S34" s="14"/>
      <c r="T34" s="20">
        <f>+T16-T18+T32</f>
        <v>-204744</v>
      </c>
      <c r="U34" s="14"/>
      <c r="V34" s="22">
        <f>IF(T$12=0,0,T34/T$12)</f>
        <v>0</v>
      </c>
      <c r="W34" s="16"/>
      <c r="X34" s="20">
        <f>+P34-T34</f>
        <v>204017.53000000006</v>
      </c>
      <c r="Y34" s="16"/>
      <c r="Z34" s="22">
        <f>IF(T34=0,0,X34/T34)</f>
        <v>-0.99645181299574126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52"/>
      <c r="B36" s="10" t="s">
        <v>128</v>
      </c>
      <c r="C36" s="10"/>
      <c r="D36" s="4"/>
      <c r="E36" s="4"/>
      <c r="F36" s="12">
        <f>IF(D$12=0,0,D36/D$12)</f>
        <v>0</v>
      </c>
      <c r="G36" s="4"/>
      <c r="H36" s="4"/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/>
      <c r="Q36" s="4"/>
      <c r="R36" s="12">
        <f>IF(P$12=0,0,P36/P$12)</f>
        <v>0</v>
      </c>
      <c r="S36" s="4"/>
      <c r="T36" s="4"/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8" t="s">
        <v>126</v>
      </c>
      <c r="C38" s="28"/>
      <c r="D38" s="34">
        <f>+D34-D36</f>
        <v>-9658.2599999999584</v>
      </c>
      <c r="E38" s="14"/>
      <c r="F38" s="35">
        <f>IF(D$12=0,0,D38/D$12)</f>
        <v>0</v>
      </c>
      <c r="G38" s="14"/>
      <c r="H38" s="34">
        <f>+H34-H36</f>
        <v>347863</v>
      </c>
      <c r="I38" s="14"/>
      <c r="J38" s="35">
        <f>IF(H$12=0,0,H38/H$12)</f>
        <v>0</v>
      </c>
      <c r="K38" s="16"/>
      <c r="L38" s="34">
        <f>D38-H38</f>
        <v>-357521.25999999995</v>
      </c>
      <c r="M38" s="16"/>
      <c r="N38" s="35">
        <f>IF(H38=0,0,L38/H38)</f>
        <v>-1.0277645509870263</v>
      </c>
      <c r="O38" s="29"/>
      <c r="P38" s="34">
        <f>+P34-P36</f>
        <v>-726.46999999995023</v>
      </c>
      <c r="Q38" s="14"/>
      <c r="R38" s="35">
        <f>IF(P$12=0,0,P38/P$12)</f>
        <v>0</v>
      </c>
      <c r="S38" s="14"/>
      <c r="T38" s="34">
        <f>+T34-T36</f>
        <v>-204744</v>
      </c>
      <c r="U38" s="14"/>
      <c r="V38" s="35">
        <f>IF(T$12=0,0,T38/T$12)</f>
        <v>0</v>
      </c>
      <c r="W38" s="16"/>
      <c r="X38" s="34">
        <f>P38-T38</f>
        <v>204017.53000000006</v>
      </c>
      <c r="Y38" s="16"/>
      <c r="Z38" s="35">
        <f>IF(T38=0,0,X38/T38)</f>
        <v>-0.99645181299574126</v>
      </c>
    </row>
    <row r="39" spans="1:26" ht="15.75" thickTop="1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8" t="s">
        <v>294</v>
      </c>
      <c r="C41" s="28"/>
      <c r="D41" s="33">
        <f>SUM(D38:D40)</f>
        <v>-9658.2599999999584</v>
      </c>
      <c r="E41" s="14"/>
      <c r="F41" s="31">
        <f>IF(D$12=0,0,D41/D$12)</f>
        <v>0</v>
      </c>
      <c r="G41" s="14"/>
      <c r="H41" s="33">
        <f>SUM(H38:H40)</f>
        <v>347863</v>
      </c>
      <c r="I41" s="14"/>
      <c r="J41" s="31">
        <f>IF(H$12=0,0,H41/H$12)</f>
        <v>0</v>
      </c>
      <c r="K41" s="16"/>
      <c r="L41" s="33">
        <f>+D41-H41</f>
        <v>-357521.25999999995</v>
      </c>
      <c r="M41" s="16"/>
      <c r="N41" s="31">
        <f>IF(H41=0,0,L41/H41)</f>
        <v>-1.0277645509870263</v>
      </c>
      <c r="O41" s="29"/>
      <c r="P41" s="33">
        <f>SUM(P38:P40)</f>
        <v>-726.46999999995023</v>
      </c>
      <c r="Q41" s="14"/>
      <c r="R41" s="31">
        <f>IF(P$12=0,0,P41/P$12)</f>
        <v>0</v>
      </c>
      <c r="S41" s="14"/>
      <c r="T41" s="33">
        <f>SUM(T38:T40)</f>
        <v>-204744</v>
      </c>
      <c r="U41" s="14"/>
      <c r="V41" s="31">
        <f>IF(T$12=0,0,T41/T$12)</f>
        <v>0</v>
      </c>
      <c r="W41" s="16"/>
      <c r="X41" s="33">
        <f>+P41-T41</f>
        <v>204017.53000000006</v>
      </c>
      <c r="Y41" s="16"/>
      <c r="Z41" s="31">
        <f>IF(T41=0,0,X41/T41)</f>
        <v>-0.99645181299574126</v>
      </c>
    </row>
    <row r="42" spans="1:26" ht="15.75" thickTop="1" x14ac:dyDescent="0.25">
      <c r="A42" s="9"/>
      <c r="C42" s="9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6">
        <v>44454.686112384261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5" t="s">
        <v>56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63"/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0</v>
      </c>
      <c r="U17" s="14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1">
        <f>SUM(OSRRefD22x_0)</f>
        <v>62958.810000000005</v>
      </c>
      <c r="E19" s="21"/>
      <c r="F19" s="30">
        <f t="shared" ref="F19:F29" si="4">IF(D$12=0,0,D19/D$12)</f>
        <v>0</v>
      </c>
      <c r="G19" s="21"/>
      <c r="H19" s="21">
        <f>SUM(OSRRefH22x_0)</f>
        <v>53963.305846153875</v>
      </c>
      <c r="I19" s="21"/>
      <c r="J19" s="30">
        <f t="shared" ref="J19:J29" si="5">IF(H$12=0,0,H19/H$12)</f>
        <v>0</v>
      </c>
      <c r="K19" s="4"/>
      <c r="L19" s="21">
        <f t="shared" ref="L19:L29" si="6">+D19-H19</f>
        <v>8995.5041538461301</v>
      </c>
      <c r="M19" s="4"/>
      <c r="N19" s="30">
        <f t="shared" ref="N19:N29" si="7">IF(H19=0,0,L19/H19)</f>
        <v>0.16669668421522893</v>
      </c>
      <c r="O19" s="10"/>
      <c r="P19" s="21">
        <f>SUM(OSRRefP22x_0)</f>
        <v>476464.99000000005</v>
      </c>
      <c r="Q19" s="21"/>
      <c r="R19" s="30">
        <f t="shared" ref="R19:R29" si="8">IF(P$12=0,0,P19/P$12)</f>
        <v>0</v>
      </c>
      <c r="S19" s="21"/>
      <c r="T19" s="21">
        <f>SUM(OSRRefT22x_0)</f>
        <v>564074.94107692305</v>
      </c>
      <c r="U19" s="21"/>
      <c r="V19" s="30">
        <f t="shared" ref="V19:V29" si="9">IF(T$12=0,0,T19/T$12)</f>
        <v>0</v>
      </c>
      <c r="W19" s="4"/>
      <c r="X19" s="21">
        <f t="shared" ref="X19:X29" si="10">+P19-T19</f>
        <v>-87609.951076922996</v>
      </c>
      <c r="Y19" s="4"/>
      <c r="Z19" s="30">
        <f t="shared" ref="Z19:Z29" si="11">IF(T19=0,0,X19/T19)</f>
        <v>-0.15531615517196962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11134.529999999999</v>
      </c>
      <c r="E20" s="1"/>
      <c r="F20" s="5">
        <f t="shared" si="4"/>
        <v>0</v>
      </c>
      <c r="G20" s="1"/>
      <c r="H20" s="1">
        <f>SUM(OSRRefH22_0x_0)</f>
        <v>13239.152</v>
      </c>
      <c r="I20" s="1"/>
      <c r="J20" s="5">
        <f t="shared" si="5"/>
        <v>0</v>
      </c>
      <c r="K20" s="1"/>
      <c r="L20" s="1">
        <f t="shared" si="6"/>
        <v>-2104.6220000000012</v>
      </c>
      <c r="M20" s="1"/>
      <c r="N20" s="5">
        <f t="shared" si="7"/>
        <v>-0.15896954729426788</v>
      </c>
      <c r="O20" s="13"/>
      <c r="P20" s="1">
        <f>SUM(OSRRefP22_0x_0)</f>
        <v>129722.24999999999</v>
      </c>
      <c r="Q20" s="1"/>
      <c r="R20" s="5">
        <f t="shared" si="8"/>
        <v>0</v>
      </c>
      <c r="S20" s="1"/>
      <c r="T20" s="1">
        <f>SUM(OSRRefT22_0x_0)</f>
        <v>116514.01800000004</v>
      </c>
      <c r="U20" s="1"/>
      <c r="V20" s="5">
        <f t="shared" si="9"/>
        <v>0</v>
      </c>
      <c r="W20" s="1"/>
      <c r="X20" s="1">
        <f t="shared" si="10"/>
        <v>13208.231999999945</v>
      </c>
      <c r="Y20" s="1"/>
      <c r="Z20" s="5">
        <f t="shared" si="11"/>
        <v>0.11336174158889568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1454.4</v>
      </c>
      <c r="E21" s="2"/>
      <c r="F21" s="7">
        <f t="shared" si="4"/>
        <v>0</v>
      </c>
      <c r="G21" s="2"/>
      <c r="H21" s="6">
        <v>2496.0553846153798</v>
      </c>
      <c r="I21" s="2"/>
      <c r="J21" s="7">
        <f t="shared" si="5"/>
        <v>0</v>
      </c>
      <c r="K21" s="2"/>
      <c r="L21" s="6">
        <f t="shared" si="6"/>
        <v>-1041.6553846153797</v>
      </c>
      <c r="M21" s="2"/>
      <c r="N21" s="7">
        <f t="shared" si="7"/>
        <v>-0.41732062158383942</v>
      </c>
      <c r="O21" s="11"/>
      <c r="P21" s="6">
        <v>16290.18</v>
      </c>
      <c r="Q21" s="2"/>
      <c r="R21" s="7">
        <f t="shared" si="8"/>
        <v>0</v>
      </c>
      <c r="S21" s="2"/>
      <c r="T21" s="6">
        <v>21542.606307692298</v>
      </c>
      <c r="U21" s="2"/>
      <c r="V21" s="7">
        <f t="shared" si="9"/>
        <v>0</v>
      </c>
      <c r="W21" s="2"/>
      <c r="X21" s="6">
        <f t="shared" si="10"/>
        <v>-5252.426307692298</v>
      </c>
      <c r="Y21" s="2"/>
      <c r="Z21" s="7">
        <f t="shared" si="11"/>
        <v>-0.24381573114562255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62.74</v>
      </c>
      <c r="E22" s="2"/>
      <c r="F22" s="7">
        <f t="shared" si="4"/>
        <v>0</v>
      </c>
      <c r="G22" s="2"/>
      <c r="H22" s="6">
        <v>107.630769230769</v>
      </c>
      <c r="I22" s="2"/>
      <c r="J22" s="7">
        <f t="shared" si="5"/>
        <v>0</v>
      </c>
      <c r="K22" s="2"/>
      <c r="L22" s="6">
        <f t="shared" si="6"/>
        <v>-44.890769230769003</v>
      </c>
      <c r="M22" s="2"/>
      <c r="N22" s="7">
        <f t="shared" si="7"/>
        <v>-0.41708118925099935</v>
      </c>
      <c r="O22" s="11"/>
      <c r="P22" s="6">
        <v>913.78</v>
      </c>
      <c r="Q22" s="2"/>
      <c r="R22" s="7">
        <f t="shared" si="8"/>
        <v>0</v>
      </c>
      <c r="S22" s="2"/>
      <c r="T22" s="6">
        <v>896.58461538461495</v>
      </c>
      <c r="U22" s="2"/>
      <c r="V22" s="7">
        <f t="shared" si="9"/>
        <v>0</v>
      </c>
      <c r="W22" s="2"/>
      <c r="X22" s="6">
        <f t="shared" si="10"/>
        <v>17.195384615385024</v>
      </c>
      <c r="Y22" s="2"/>
      <c r="Z22" s="7">
        <f t="shared" si="11"/>
        <v>1.9178763856001015E-2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3917.15</v>
      </c>
      <c r="E23" s="2"/>
      <c r="F23" s="7">
        <f t="shared" si="4"/>
        <v>0</v>
      </c>
      <c r="G23" s="2"/>
      <c r="H23" s="6">
        <v>4750</v>
      </c>
      <c r="I23" s="2"/>
      <c r="J23" s="7">
        <f t="shared" si="5"/>
        <v>0</v>
      </c>
      <c r="K23" s="2"/>
      <c r="L23" s="6">
        <f t="shared" si="6"/>
        <v>-832.84999999999991</v>
      </c>
      <c r="M23" s="2"/>
      <c r="N23" s="7">
        <f t="shared" si="7"/>
        <v>-0.17533684210526315</v>
      </c>
      <c r="O23" s="11"/>
      <c r="P23" s="6">
        <v>47716.82</v>
      </c>
      <c r="Q23" s="2"/>
      <c r="R23" s="7">
        <f t="shared" si="8"/>
        <v>0</v>
      </c>
      <c r="S23" s="2"/>
      <c r="T23" s="6">
        <v>43150</v>
      </c>
      <c r="U23" s="2"/>
      <c r="V23" s="7">
        <f t="shared" si="9"/>
        <v>0</v>
      </c>
      <c r="W23" s="2"/>
      <c r="X23" s="6">
        <f t="shared" si="10"/>
        <v>4566.82</v>
      </c>
      <c r="Y23" s="2"/>
      <c r="Z23" s="7">
        <f t="shared" si="11"/>
        <v>0.10583592120509849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49.43</v>
      </c>
      <c r="E24" s="2"/>
      <c r="F24" s="7">
        <f t="shared" si="4"/>
        <v>0</v>
      </c>
      <c r="G24" s="2"/>
      <c r="H24" s="6">
        <v>87.712000000000003</v>
      </c>
      <c r="I24" s="2"/>
      <c r="J24" s="7">
        <f t="shared" si="5"/>
        <v>0</v>
      </c>
      <c r="K24" s="2"/>
      <c r="L24" s="6">
        <f t="shared" si="6"/>
        <v>-38.282000000000004</v>
      </c>
      <c r="M24" s="2"/>
      <c r="N24" s="7">
        <f t="shared" si="7"/>
        <v>-0.43645111273257936</v>
      </c>
      <c r="O24" s="11"/>
      <c r="P24" s="6">
        <v>719.95</v>
      </c>
      <c r="Q24" s="2"/>
      <c r="R24" s="7">
        <f t="shared" si="8"/>
        <v>0</v>
      </c>
      <c r="S24" s="2"/>
      <c r="T24" s="6">
        <v>737.70399999999995</v>
      </c>
      <c r="U24" s="2"/>
      <c r="V24" s="7">
        <f t="shared" si="9"/>
        <v>0</v>
      </c>
      <c r="W24" s="2"/>
      <c r="X24" s="6">
        <f t="shared" si="10"/>
        <v>-17.753999999999905</v>
      </c>
      <c r="Y24" s="2"/>
      <c r="Z24" s="7">
        <f t="shared" si="11"/>
        <v>-2.4066563282834182E-2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3073.55</v>
      </c>
      <c r="E25" s="2"/>
      <c r="F25" s="7">
        <f t="shared" si="4"/>
        <v>0</v>
      </c>
      <c r="G25" s="2"/>
      <c r="H25" s="6">
        <v>2804.9230769230799</v>
      </c>
      <c r="I25" s="2"/>
      <c r="J25" s="7">
        <f t="shared" si="5"/>
        <v>0</v>
      </c>
      <c r="K25" s="2"/>
      <c r="L25" s="6">
        <f t="shared" si="6"/>
        <v>268.62692307692032</v>
      </c>
      <c r="M25" s="2"/>
      <c r="N25" s="7">
        <f t="shared" si="7"/>
        <v>9.5769800351030068E-2</v>
      </c>
      <c r="O25" s="11"/>
      <c r="P25" s="6">
        <v>30837.23</v>
      </c>
      <c r="Q25" s="2"/>
      <c r="R25" s="7">
        <f t="shared" si="8"/>
        <v>0</v>
      </c>
      <c r="S25" s="2"/>
      <c r="T25" s="6">
        <v>23365.538461538501</v>
      </c>
      <c r="U25" s="2"/>
      <c r="V25" s="7">
        <f t="shared" si="9"/>
        <v>0</v>
      </c>
      <c r="W25" s="2"/>
      <c r="X25" s="6">
        <f t="shared" si="10"/>
        <v>7471.6915384614986</v>
      </c>
      <c r="Y25" s="2"/>
      <c r="Z25" s="7">
        <f t="shared" si="11"/>
        <v>0.31977399325765532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1658.98</v>
      </c>
      <c r="E27" s="2"/>
      <c r="F27" s="7">
        <f t="shared" si="4"/>
        <v>0</v>
      </c>
      <c r="G27" s="2"/>
      <c r="H27" s="6">
        <v>1630.76923076923</v>
      </c>
      <c r="I27" s="2"/>
      <c r="J27" s="7">
        <f t="shared" si="5"/>
        <v>0</v>
      </c>
      <c r="K27" s="2"/>
      <c r="L27" s="6">
        <f t="shared" si="6"/>
        <v>28.210769230769984</v>
      </c>
      <c r="M27" s="2"/>
      <c r="N27" s="7">
        <f t="shared" si="7"/>
        <v>1.7299056603774055E-2</v>
      </c>
      <c r="O27" s="11"/>
      <c r="P27" s="6">
        <v>21566.74</v>
      </c>
      <c r="Q27" s="2"/>
      <c r="R27" s="7">
        <f t="shared" si="8"/>
        <v>0</v>
      </c>
      <c r="S27" s="2"/>
      <c r="T27" s="6">
        <v>13584.615384615399</v>
      </c>
      <c r="U27" s="2"/>
      <c r="V27" s="7">
        <f t="shared" si="9"/>
        <v>0</v>
      </c>
      <c r="W27" s="2"/>
      <c r="X27" s="6">
        <f t="shared" si="10"/>
        <v>7982.1246153846023</v>
      </c>
      <c r="Y27" s="2"/>
      <c r="Z27" s="7">
        <f t="shared" si="11"/>
        <v>0.58758561721404146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856.8</v>
      </c>
      <c r="E28" s="2"/>
      <c r="F28" s="7">
        <f t="shared" si="4"/>
        <v>0</v>
      </c>
      <c r="G28" s="2"/>
      <c r="H28" s="6">
        <v>1012.06153846154</v>
      </c>
      <c r="I28" s="2"/>
      <c r="J28" s="7">
        <f t="shared" si="5"/>
        <v>0</v>
      </c>
      <c r="K28" s="2"/>
      <c r="L28" s="6">
        <f t="shared" si="6"/>
        <v>-155.26153846154</v>
      </c>
      <c r="M28" s="2"/>
      <c r="N28" s="7">
        <f t="shared" si="7"/>
        <v>-0.15341116380883019</v>
      </c>
      <c r="O28" s="11"/>
      <c r="P28" s="6">
        <v>11138.4</v>
      </c>
      <c r="Q28" s="2"/>
      <c r="R28" s="7">
        <f t="shared" si="8"/>
        <v>0</v>
      </c>
      <c r="S28" s="2"/>
      <c r="T28" s="6">
        <v>8511.9692307692294</v>
      </c>
      <c r="U28" s="2"/>
      <c r="V28" s="7">
        <f t="shared" si="9"/>
        <v>0</v>
      </c>
      <c r="W28" s="2"/>
      <c r="X28" s="6">
        <f t="shared" si="10"/>
        <v>2626.4307692307702</v>
      </c>
      <c r="Y28" s="2"/>
      <c r="Z28" s="7">
        <f t="shared" si="11"/>
        <v>0.3085573617602726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61.48</v>
      </c>
      <c r="E29" s="2"/>
      <c r="F29" s="7">
        <f t="shared" si="4"/>
        <v>0</v>
      </c>
      <c r="G29" s="2"/>
      <c r="H29" s="6">
        <v>350</v>
      </c>
      <c r="I29" s="2"/>
      <c r="J29" s="7">
        <f t="shared" si="5"/>
        <v>0</v>
      </c>
      <c r="K29" s="2"/>
      <c r="L29" s="6">
        <f t="shared" si="6"/>
        <v>-288.52</v>
      </c>
      <c r="M29" s="2"/>
      <c r="N29" s="7">
        <f t="shared" si="7"/>
        <v>-0.82434285714285704</v>
      </c>
      <c r="O29" s="11"/>
      <c r="P29" s="6">
        <v>539.15</v>
      </c>
      <c r="Q29" s="2"/>
      <c r="R29" s="7">
        <f t="shared" si="8"/>
        <v>0</v>
      </c>
      <c r="S29" s="2"/>
      <c r="T29" s="6">
        <v>4725</v>
      </c>
      <c r="U29" s="2"/>
      <c r="V29" s="7">
        <f t="shared" si="9"/>
        <v>0</v>
      </c>
      <c r="W29" s="2"/>
      <c r="X29" s="6">
        <f t="shared" si="10"/>
        <v>-4185.8500000000004</v>
      </c>
      <c r="Y29" s="2"/>
      <c r="Z29" s="7">
        <f t="shared" si="11"/>
        <v>-0.88589417989417996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48079.460000000006</v>
      </c>
      <c r="E30" s="1"/>
      <c r="F30" s="5">
        <f t="shared" ref="F30:F40" si="12">IF(D$12=0,0,D30/D$12)</f>
        <v>0</v>
      </c>
      <c r="G30" s="1"/>
      <c r="H30" s="1">
        <f>SUM(OSRRefH22_1x_0)</f>
        <v>31126.153846153869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16953.306153846137</v>
      </c>
      <c r="M30" s="1"/>
      <c r="N30" s="5">
        <f t="shared" ref="N30:N40" si="15">IF(H30=0,0,L30/H30)</f>
        <v>0.54466434361407579</v>
      </c>
      <c r="O30" s="13"/>
      <c r="P30" s="1">
        <f>SUM(OSRRefP22_1x_0)</f>
        <v>217400.77</v>
      </c>
      <c r="Q30" s="1"/>
      <c r="R30" s="5">
        <f t="shared" ref="R30:R40" si="16">IF(P$12=0,0,P30/P$12)</f>
        <v>0</v>
      </c>
      <c r="S30" s="1"/>
      <c r="T30" s="1">
        <f>SUM(OSRRefT22_1x_0)</f>
        <v>261996.92307692301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-44596.153076923016</v>
      </c>
      <c r="Y30" s="1"/>
      <c r="Z30" s="5">
        <f t="shared" ref="Z30:Z40" si="19">IF(T30=0,0,X30/T30)</f>
        <v>-0.17021632373838783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43182.98</v>
      </c>
      <c r="E31" s="2"/>
      <c r="F31" s="7">
        <f t="shared" si="12"/>
        <v>0</v>
      </c>
      <c r="G31" s="2"/>
      <c r="H31" s="6">
        <v>25476.9230769231</v>
      </c>
      <c r="I31" s="2"/>
      <c r="J31" s="7">
        <f t="shared" si="13"/>
        <v>0</v>
      </c>
      <c r="K31" s="2"/>
      <c r="L31" s="6">
        <f t="shared" si="14"/>
        <v>17706.056923076903</v>
      </c>
      <c r="M31" s="2"/>
      <c r="N31" s="7">
        <f t="shared" si="15"/>
        <v>0.69498411835748652</v>
      </c>
      <c r="O31" s="11"/>
      <c r="P31" s="6">
        <v>206935.89</v>
      </c>
      <c r="Q31" s="2"/>
      <c r="R31" s="7">
        <f t="shared" si="16"/>
        <v>0</v>
      </c>
      <c r="S31" s="2"/>
      <c r="T31" s="6">
        <v>191076.92307692301</v>
      </c>
      <c r="U31" s="2"/>
      <c r="V31" s="7">
        <f t="shared" si="17"/>
        <v>0</v>
      </c>
      <c r="W31" s="2"/>
      <c r="X31" s="6">
        <f t="shared" si="18"/>
        <v>15858.966923077009</v>
      </c>
      <c r="Y31" s="2"/>
      <c r="Z31" s="7">
        <f t="shared" si="19"/>
        <v>8.2997814009662316E-2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4896.4799999999996</v>
      </c>
      <c r="E32" s="2"/>
      <c r="F32" s="7">
        <f t="shared" si="12"/>
        <v>0</v>
      </c>
      <c r="G32" s="2"/>
      <c r="H32" s="6">
        <v>4529.2307692307704</v>
      </c>
      <c r="I32" s="2"/>
      <c r="J32" s="7">
        <f t="shared" si="13"/>
        <v>0</v>
      </c>
      <c r="K32" s="2"/>
      <c r="L32" s="6">
        <f t="shared" si="14"/>
        <v>367.24923076922914</v>
      </c>
      <c r="M32" s="2"/>
      <c r="N32" s="7">
        <f t="shared" si="15"/>
        <v>8.1084239130434402E-2</v>
      </c>
      <c r="O32" s="11"/>
      <c r="P32" s="6">
        <v>55422.17</v>
      </c>
      <c r="Q32" s="2"/>
      <c r="R32" s="7">
        <f t="shared" si="16"/>
        <v>0</v>
      </c>
      <c r="S32" s="2"/>
      <c r="T32" s="6">
        <v>58880</v>
      </c>
      <c r="U32" s="2"/>
      <c r="V32" s="7">
        <f t="shared" si="17"/>
        <v>0</v>
      </c>
      <c r="W32" s="2"/>
      <c r="X32" s="6">
        <f t="shared" si="18"/>
        <v>-3457.8300000000017</v>
      </c>
      <c r="Y32" s="2"/>
      <c r="Z32" s="7">
        <f t="shared" si="19"/>
        <v>-5.872673233695655E-2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>
        <v>-44957.29</v>
      </c>
      <c r="Q37" s="2"/>
      <c r="R37" s="7">
        <f t="shared" si="16"/>
        <v>0</v>
      </c>
      <c r="S37" s="2"/>
      <c r="T37" s="6">
        <v>9800</v>
      </c>
      <c r="U37" s="2"/>
      <c r="V37" s="7">
        <f t="shared" si="17"/>
        <v>0</v>
      </c>
      <c r="W37" s="2"/>
      <c r="X37" s="6">
        <f t="shared" si="18"/>
        <v>-54757.29</v>
      </c>
      <c r="Y37" s="2"/>
      <c r="Z37" s="7">
        <f t="shared" si="19"/>
        <v>-5.587478571428572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1120</v>
      </c>
      <c r="I38" s="2"/>
      <c r="J38" s="7">
        <f t="shared" si="13"/>
        <v>0</v>
      </c>
      <c r="K38" s="2"/>
      <c r="L38" s="6">
        <f t="shared" si="14"/>
        <v>-1120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2240</v>
      </c>
      <c r="U38" s="2"/>
      <c r="V38" s="7">
        <f t="shared" si="17"/>
        <v>0</v>
      </c>
      <c r="W38" s="2"/>
      <c r="X38" s="6">
        <f t="shared" si="18"/>
        <v>-2240</v>
      </c>
      <c r="Y38" s="2"/>
      <c r="Z38" s="7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0">IF(D$12=0,0,D41/D$12)</f>
        <v>0</v>
      </c>
      <c r="G41" s="1"/>
      <c r="H41" s="1">
        <f>SUM(OSRRefH22_2x_0)</f>
        <v>500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-500</v>
      </c>
      <c r="M41" s="1"/>
      <c r="N41" s="5">
        <f t="shared" ref="N41:N47" si="23">IF(H41=0,0,L41/H41)</f>
        <v>-1</v>
      </c>
      <c r="O41" s="13"/>
      <c r="P41" s="1">
        <f>SUM(OSRRefP22_2x_0)</f>
        <v>245.07</v>
      </c>
      <c r="Q41" s="1"/>
      <c r="R41" s="5">
        <f t="shared" ref="R41:R47" si="24">IF(P$12=0,0,P41/P$12)</f>
        <v>0</v>
      </c>
      <c r="S41" s="1"/>
      <c r="T41" s="1">
        <f>SUM(OSRRefT22_2x_0)</f>
        <v>6000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-5754.93</v>
      </c>
      <c r="Y41" s="1"/>
      <c r="Z41" s="5">
        <f t="shared" ref="Z41:Z47" si="27">IF(T41=0,0,X41/T41)</f>
        <v>-0.95915500000000009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500</v>
      </c>
      <c r="I42" s="2"/>
      <c r="J42" s="7">
        <f t="shared" si="21"/>
        <v>0</v>
      </c>
      <c r="K42" s="2"/>
      <c r="L42" s="6">
        <f t="shared" si="22"/>
        <v>-500</v>
      </c>
      <c r="M42" s="2"/>
      <c r="N42" s="7">
        <f t="shared" si="23"/>
        <v>-1</v>
      </c>
      <c r="O42" s="11"/>
      <c r="P42" s="6">
        <v>245.07</v>
      </c>
      <c r="Q42" s="2"/>
      <c r="R42" s="7">
        <f t="shared" si="24"/>
        <v>0</v>
      </c>
      <c r="S42" s="2"/>
      <c r="T42" s="6">
        <v>6000</v>
      </c>
      <c r="U42" s="2"/>
      <c r="V42" s="7">
        <f t="shared" si="25"/>
        <v>0</v>
      </c>
      <c r="W42" s="2"/>
      <c r="X42" s="6">
        <f t="shared" si="26"/>
        <v>-5754.93</v>
      </c>
      <c r="Y42" s="2"/>
      <c r="Z42" s="7">
        <f t="shared" si="27"/>
        <v>-0.95915500000000009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314.81</v>
      </c>
      <c r="E43" s="1"/>
      <c r="F43" s="5">
        <f t="shared" si="20"/>
        <v>0</v>
      </c>
      <c r="G43" s="1"/>
      <c r="H43" s="1">
        <f>SUM(OSRRefH22_3x_0)</f>
        <v>313</v>
      </c>
      <c r="I43" s="1"/>
      <c r="J43" s="5">
        <f t="shared" si="21"/>
        <v>0</v>
      </c>
      <c r="K43" s="1"/>
      <c r="L43" s="1">
        <f t="shared" si="22"/>
        <v>1.8100000000000023</v>
      </c>
      <c r="M43" s="1"/>
      <c r="N43" s="5">
        <f t="shared" si="23"/>
        <v>5.7827476038338731E-3</v>
      </c>
      <c r="O43" s="13"/>
      <c r="P43" s="1">
        <f>SUM(OSRRefP22_3x_0)</f>
        <v>3778.38</v>
      </c>
      <c r="Q43" s="1"/>
      <c r="R43" s="5">
        <f t="shared" si="24"/>
        <v>0</v>
      </c>
      <c r="S43" s="1"/>
      <c r="T43" s="1">
        <f>SUM(OSRRefT22_3x_0)</f>
        <v>3778</v>
      </c>
      <c r="U43" s="1"/>
      <c r="V43" s="5">
        <f t="shared" si="25"/>
        <v>0</v>
      </c>
      <c r="W43" s="1"/>
      <c r="X43" s="1">
        <f t="shared" si="26"/>
        <v>0.38000000000010914</v>
      </c>
      <c r="Y43" s="1"/>
      <c r="Z43" s="5">
        <f t="shared" si="27"/>
        <v>1.0058231868716493E-4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314.81</v>
      </c>
      <c r="E44" s="2"/>
      <c r="F44" s="7">
        <f t="shared" si="20"/>
        <v>0</v>
      </c>
      <c r="G44" s="2"/>
      <c r="H44" s="6">
        <v>313</v>
      </c>
      <c r="I44" s="2"/>
      <c r="J44" s="7">
        <f t="shared" si="21"/>
        <v>0</v>
      </c>
      <c r="K44" s="2"/>
      <c r="L44" s="6">
        <f t="shared" si="22"/>
        <v>1.8100000000000023</v>
      </c>
      <c r="M44" s="2"/>
      <c r="N44" s="7">
        <f t="shared" si="23"/>
        <v>5.7827476038338731E-3</v>
      </c>
      <c r="O44" s="11"/>
      <c r="P44" s="6">
        <v>3778.38</v>
      </c>
      <c r="Q44" s="2"/>
      <c r="R44" s="7">
        <f t="shared" si="24"/>
        <v>0</v>
      </c>
      <c r="S44" s="2"/>
      <c r="T44" s="6">
        <v>3778</v>
      </c>
      <c r="U44" s="2"/>
      <c r="V44" s="7">
        <f t="shared" si="25"/>
        <v>0</v>
      </c>
      <c r="W44" s="2"/>
      <c r="X44" s="6">
        <f t="shared" si="26"/>
        <v>0.38000000000010914</v>
      </c>
      <c r="Y44" s="2"/>
      <c r="Z44" s="7">
        <f t="shared" si="27"/>
        <v>1.0058231868716493E-4</v>
      </c>
    </row>
    <row r="45" spans="1:26" s="27" customFormat="1" outlineLevel="1" collapsed="1" x14ac:dyDescent="0.25">
      <c r="A45" s="25"/>
      <c r="B45" s="13" t="str">
        <f>CONCATENATE("     ","Donations                                         ")</f>
        <v xml:space="preserve">     Donations                                         </v>
      </c>
      <c r="C45" s="13"/>
      <c r="D45" s="1">
        <f>SUM(OSRRefD22_4x_0)</f>
        <v>263.25</v>
      </c>
      <c r="E45" s="1"/>
      <c r="F45" s="5">
        <f t="shared" si="20"/>
        <v>0</v>
      </c>
      <c r="G45" s="1"/>
      <c r="H45" s="1">
        <f>SUM(OSRRefH22_4x_0)</f>
        <v>1000</v>
      </c>
      <c r="I45" s="1"/>
      <c r="J45" s="5">
        <f t="shared" si="21"/>
        <v>0</v>
      </c>
      <c r="K45" s="1"/>
      <c r="L45" s="1">
        <f t="shared" si="22"/>
        <v>-736.75</v>
      </c>
      <c r="M45" s="1"/>
      <c r="N45" s="5">
        <f t="shared" si="23"/>
        <v>-0.73675000000000002</v>
      </c>
      <c r="O45" s="13"/>
      <c r="P45" s="1">
        <f>SUM(OSRRefP22_4x_0)</f>
        <v>26763.25</v>
      </c>
      <c r="Q45" s="1"/>
      <c r="R45" s="5">
        <f t="shared" si="24"/>
        <v>0</v>
      </c>
      <c r="S45" s="1"/>
      <c r="T45" s="1">
        <f>SUM(OSRRefT22_4x_0)</f>
        <v>41750</v>
      </c>
      <c r="U45" s="1"/>
      <c r="V45" s="5">
        <f t="shared" si="25"/>
        <v>0</v>
      </c>
      <c r="W45" s="1"/>
      <c r="X45" s="1">
        <f t="shared" si="26"/>
        <v>-14986.75</v>
      </c>
      <c r="Y45" s="1"/>
      <c r="Z45" s="5">
        <f t="shared" si="27"/>
        <v>-0.35896407185628743</v>
      </c>
    </row>
    <row r="46" spans="1:26" s="24" customFormat="1" hidden="1" outlineLevel="2" x14ac:dyDescent="0.25">
      <c r="A46" s="26"/>
      <c r="B46" s="11" t="str">
        <f>CONCATENATE("          ", "6395", " - ", "DONATION-OFF CAMPUS")</f>
        <v xml:space="preserve">          6395 - DONATION-OFF CAMPUS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1500</v>
      </c>
      <c r="U46" s="2"/>
      <c r="V46" s="7">
        <f t="shared" si="25"/>
        <v>0</v>
      </c>
      <c r="W46" s="2"/>
      <c r="X46" s="6">
        <f t="shared" si="26"/>
        <v>-1500</v>
      </c>
      <c r="Y46" s="2"/>
      <c r="Z46" s="7">
        <f t="shared" si="27"/>
        <v>-1</v>
      </c>
    </row>
    <row r="47" spans="1:26" s="24" customFormat="1" hidden="1" outlineLevel="2" x14ac:dyDescent="0.25">
      <c r="A47" s="26"/>
      <c r="B47" s="11" t="str">
        <f>CONCATENATE("          ", "6399", " - ", "DONATION-ON CAMPUS")</f>
        <v xml:space="preserve">          6399 - DONATION-ON CAMPUS</v>
      </c>
      <c r="C47" s="11"/>
      <c r="D47" s="6">
        <v>263.25</v>
      </c>
      <c r="E47" s="2"/>
      <c r="F47" s="7">
        <f t="shared" si="20"/>
        <v>0</v>
      </c>
      <c r="G47" s="2"/>
      <c r="H47" s="6">
        <v>1000</v>
      </c>
      <c r="I47" s="2"/>
      <c r="J47" s="7">
        <f t="shared" si="21"/>
        <v>0</v>
      </c>
      <c r="K47" s="2"/>
      <c r="L47" s="6">
        <f t="shared" si="22"/>
        <v>-736.75</v>
      </c>
      <c r="M47" s="2"/>
      <c r="N47" s="7">
        <f t="shared" si="23"/>
        <v>-0.73675000000000002</v>
      </c>
      <c r="O47" s="11"/>
      <c r="P47" s="6">
        <v>26763.25</v>
      </c>
      <c r="Q47" s="2"/>
      <c r="R47" s="7">
        <f t="shared" si="24"/>
        <v>0</v>
      </c>
      <c r="S47" s="2"/>
      <c r="T47" s="6">
        <v>40250</v>
      </c>
      <c r="U47" s="2"/>
      <c r="V47" s="7">
        <f t="shared" si="25"/>
        <v>0</v>
      </c>
      <c r="W47" s="2"/>
      <c r="X47" s="6">
        <f t="shared" si="26"/>
        <v>-13486.75</v>
      </c>
      <c r="Y47" s="2"/>
      <c r="Z47" s="7">
        <f t="shared" si="27"/>
        <v>-0.33507453416149069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61" si="28">IF(D$12=0,0,D48/D$12)</f>
        <v>0</v>
      </c>
      <c r="G48" s="1"/>
      <c r="H48" s="1">
        <f>SUM(OSRRefH22_5x_0)</f>
        <v>1000</v>
      </c>
      <c r="I48" s="1"/>
      <c r="J48" s="5">
        <f t="shared" ref="J48:J61" si="29">IF(H$12=0,0,H48/H$12)</f>
        <v>0</v>
      </c>
      <c r="K48" s="1"/>
      <c r="L48" s="1">
        <f t="shared" ref="L48:L61" si="30">+D48-H48</f>
        <v>-1000</v>
      </c>
      <c r="M48" s="1"/>
      <c r="N48" s="5">
        <f t="shared" ref="N48:N61" si="31">IF(H48=0,0,L48/H48)</f>
        <v>-1</v>
      </c>
      <c r="O48" s="13"/>
      <c r="P48" s="1">
        <f>SUM(OSRRefP22_5x_0)</f>
        <v>0</v>
      </c>
      <c r="Q48" s="1"/>
      <c r="R48" s="5">
        <f t="shared" ref="R48:R61" si="32">IF(P$12=0,0,P48/P$12)</f>
        <v>0</v>
      </c>
      <c r="S48" s="1"/>
      <c r="T48" s="1">
        <f>SUM(OSRRefT22_5x_0)</f>
        <v>4000</v>
      </c>
      <c r="U48" s="1"/>
      <c r="V48" s="5">
        <f t="shared" ref="V48:V61" si="33">IF(T$12=0,0,T48/T$12)</f>
        <v>0</v>
      </c>
      <c r="W48" s="1"/>
      <c r="X48" s="1">
        <f t="shared" ref="X48:X61" si="34">+P48-T48</f>
        <v>-4000</v>
      </c>
      <c r="Y48" s="1"/>
      <c r="Z48" s="5">
        <f t="shared" ref="Z48:Z61" si="35">IF(T48=0,0,X48/T48)</f>
        <v>-1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28"/>
        <v>0</v>
      </c>
      <c r="G49" s="2"/>
      <c r="H49" s="6">
        <v>1000</v>
      </c>
      <c r="I49" s="2"/>
      <c r="J49" s="7">
        <f t="shared" si="29"/>
        <v>0</v>
      </c>
      <c r="K49" s="2"/>
      <c r="L49" s="6">
        <f t="shared" si="30"/>
        <v>-1000</v>
      </c>
      <c r="M49" s="2"/>
      <c r="N49" s="7">
        <f t="shared" si="31"/>
        <v>-1</v>
      </c>
      <c r="O49" s="11"/>
      <c r="P49" s="6"/>
      <c r="Q49" s="2"/>
      <c r="R49" s="7">
        <f t="shared" si="32"/>
        <v>0</v>
      </c>
      <c r="S49" s="2"/>
      <c r="T49" s="6">
        <v>4000</v>
      </c>
      <c r="U49" s="2"/>
      <c r="V49" s="7">
        <f t="shared" si="33"/>
        <v>0</v>
      </c>
      <c r="W49" s="2"/>
      <c r="X49" s="6">
        <f t="shared" si="34"/>
        <v>-4000</v>
      </c>
      <c r="Y49" s="2"/>
      <c r="Z49" s="7">
        <f t="shared" si="35"/>
        <v>-1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117.71</v>
      </c>
      <c r="E50" s="1"/>
      <c r="F50" s="5">
        <f t="shared" si="28"/>
        <v>0</v>
      </c>
      <c r="G50" s="1"/>
      <c r="H50" s="1">
        <f>SUM(OSRRefH22_6x_0)</f>
        <v>118</v>
      </c>
      <c r="I50" s="1"/>
      <c r="J50" s="5">
        <f t="shared" si="29"/>
        <v>0</v>
      </c>
      <c r="K50" s="1"/>
      <c r="L50" s="1">
        <f t="shared" si="30"/>
        <v>-0.29000000000000625</v>
      </c>
      <c r="M50" s="1"/>
      <c r="N50" s="5">
        <f t="shared" si="31"/>
        <v>-2.457627118644121E-3</v>
      </c>
      <c r="O50" s="13"/>
      <c r="P50" s="1">
        <f>SUM(OSRRefP22_6x_0)</f>
        <v>1503.78</v>
      </c>
      <c r="Q50" s="1"/>
      <c r="R50" s="5">
        <f t="shared" si="32"/>
        <v>0</v>
      </c>
      <c r="S50" s="1"/>
      <c r="T50" s="1">
        <f>SUM(OSRRefT22_6x_0)</f>
        <v>1416</v>
      </c>
      <c r="U50" s="1"/>
      <c r="V50" s="5">
        <f t="shared" si="33"/>
        <v>0</v>
      </c>
      <c r="W50" s="1"/>
      <c r="X50" s="1">
        <f t="shared" si="34"/>
        <v>87.779999999999973</v>
      </c>
      <c r="Y50" s="1"/>
      <c r="Z50" s="5">
        <f t="shared" si="35"/>
        <v>6.1991525423728794E-2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117.71</v>
      </c>
      <c r="E51" s="2"/>
      <c r="F51" s="7">
        <f t="shared" si="28"/>
        <v>0</v>
      </c>
      <c r="G51" s="2"/>
      <c r="H51" s="6">
        <v>118</v>
      </c>
      <c r="I51" s="2"/>
      <c r="J51" s="7">
        <f t="shared" si="29"/>
        <v>0</v>
      </c>
      <c r="K51" s="2"/>
      <c r="L51" s="6">
        <f t="shared" si="30"/>
        <v>-0.29000000000000625</v>
      </c>
      <c r="M51" s="2"/>
      <c r="N51" s="7">
        <f t="shared" si="31"/>
        <v>-2.457627118644121E-3</v>
      </c>
      <c r="O51" s="11"/>
      <c r="P51" s="6">
        <v>1503.78</v>
      </c>
      <c r="Q51" s="2"/>
      <c r="R51" s="7">
        <f t="shared" si="32"/>
        <v>0</v>
      </c>
      <c r="S51" s="2"/>
      <c r="T51" s="6">
        <v>1416</v>
      </c>
      <c r="U51" s="2"/>
      <c r="V51" s="7">
        <f t="shared" si="33"/>
        <v>0</v>
      </c>
      <c r="W51" s="2"/>
      <c r="X51" s="6">
        <f t="shared" si="34"/>
        <v>87.779999999999973</v>
      </c>
      <c r="Y51" s="2"/>
      <c r="Z51" s="7">
        <f t="shared" si="35"/>
        <v>6.1991525423728794E-2</v>
      </c>
    </row>
    <row r="52" spans="1:26" s="27" customFormat="1" outlineLevel="1" collapsed="1" x14ac:dyDescent="0.25">
      <c r="A52" s="25"/>
      <c r="B52" s="13" t="str">
        <f>CONCATENATE("     ","Freight out/Postage                               ")</f>
        <v xml:space="preserve">     Freight out/Postage   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15</v>
      </c>
      <c r="I52" s="1"/>
      <c r="J52" s="5">
        <f t="shared" si="29"/>
        <v>0</v>
      </c>
      <c r="K52" s="1"/>
      <c r="L52" s="1">
        <f t="shared" si="30"/>
        <v>-15</v>
      </c>
      <c r="M52" s="1"/>
      <c r="N52" s="5">
        <f t="shared" si="31"/>
        <v>-1</v>
      </c>
      <c r="O52" s="13"/>
      <c r="P52" s="1">
        <f>SUM(OSRRefP22_7x_0)</f>
        <v>70.680000000000007</v>
      </c>
      <c r="Q52" s="1"/>
      <c r="R52" s="5">
        <f t="shared" si="32"/>
        <v>0</v>
      </c>
      <c r="S52" s="1"/>
      <c r="T52" s="1">
        <f>SUM(OSRRefT22_7x_0)</f>
        <v>180</v>
      </c>
      <c r="U52" s="1"/>
      <c r="V52" s="5">
        <f t="shared" si="33"/>
        <v>0</v>
      </c>
      <c r="W52" s="1"/>
      <c r="X52" s="1">
        <f t="shared" si="34"/>
        <v>-109.32</v>
      </c>
      <c r="Y52" s="1"/>
      <c r="Z52" s="5">
        <f t="shared" si="35"/>
        <v>-0.60733333333333328</v>
      </c>
    </row>
    <row r="53" spans="1:26" s="24" customFormat="1" hidden="1" outlineLevel="2" x14ac:dyDescent="0.25">
      <c r="A53" s="26"/>
      <c r="B53" s="11" t="str">
        <f>CONCATENATE("          ", "6307", " - ", "POSTAGE")</f>
        <v xml:space="preserve">          6307 - POSTAGE</v>
      </c>
      <c r="C53" s="11"/>
      <c r="D53" s="6"/>
      <c r="E53" s="2"/>
      <c r="F53" s="7">
        <f t="shared" si="28"/>
        <v>0</v>
      </c>
      <c r="G53" s="2"/>
      <c r="H53" s="6">
        <v>15</v>
      </c>
      <c r="I53" s="2"/>
      <c r="J53" s="7">
        <f t="shared" si="29"/>
        <v>0</v>
      </c>
      <c r="K53" s="2"/>
      <c r="L53" s="6">
        <f t="shared" si="30"/>
        <v>-15</v>
      </c>
      <c r="M53" s="2"/>
      <c r="N53" s="7">
        <f t="shared" si="31"/>
        <v>-1</v>
      </c>
      <c r="O53" s="11"/>
      <c r="P53" s="6">
        <v>70.680000000000007</v>
      </c>
      <c r="Q53" s="2"/>
      <c r="R53" s="7">
        <f t="shared" si="32"/>
        <v>0</v>
      </c>
      <c r="S53" s="2"/>
      <c r="T53" s="6">
        <v>180</v>
      </c>
      <c r="U53" s="2"/>
      <c r="V53" s="7">
        <f t="shared" si="33"/>
        <v>0</v>
      </c>
      <c r="W53" s="2"/>
      <c r="X53" s="6">
        <f t="shared" si="34"/>
        <v>-109.32</v>
      </c>
      <c r="Y53" s="2"/>
      <c r="Z53" s="7">
        <f t="shared" si="35"/>
        <v>-0.60733333333333328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1000</v>
      </c>
      <c r="I54" s="1"/>
      <c r="J54" s="5">
        <f t="shared" si="29"/>
        <v>0</v>
      </c>
      <c r="K54" s="1"/>
      <c r="L54" s="1">
        <f t="shared" si="30"/>
        <v>-1000</v>
      </c>
      <c r="M54" s="1"/>
      <c r="N54" s="5">
        <f t="shared" si="31"/>
        <v>-1</v>
      </c>
      <c r="O54" s="13"/>
      <c r="P54" s="1">
        <f>SUM(OSRRefP22_8x_0)</f>
        <v>0</v>
      </c>
      <c r="Q54" s="1"/>
      <c r="R54" s="5">
        <f t="shared" si="32"/>
        <v>0</v>
      </c>
      <c r="S54" s="1"/>
      <c r="T54" s="1">
        <f>SUM(OSRRefT22_8x_0)</f>
        <v>3000</v>
      </c>
      <c r="U54" s="1"/>
      <c r="V54" s="5">
        <f t="shared" si="33"/>
        <v>0</v>
      </c>
      <c r="W54" s="1"/>
      <c r="X54" s="1">
        <f t="shared" si="34"/>
        <v>-3000</v>
      </c>
      <c r="Y54" s="1"/>
      <c r="Z54" s="5">
        <f t="shared" si="35"/>
        <v>-1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3000</v>
      </c>
      <c r="U55" s="2"/>
      <c r="V55" s="7">
        <f t="shared" si="33"/>
        <v>0</v>
      </c>
      <c r="W55" s="2"/>
      <c r="X55" s="6">
        <f t="shared" si="34"/>
        <v>-3000</v>
      </c>
      <c r="Y55" s="2"/>
      <c r="Z55" s="7">
        <f t="shared" si="35"/>
        <v>-1</v>
      </c>
    </row>
    <row r="56" spans="1:26" s="27" customFormat="1" outlineLevel="1" collapsed="1" x14ac:dyDescent="0.25">
      <c r="A56" s="25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SUM(OSRRefD22_9x_0)</f>
        <v>247.17</v>
      </c>
      <c r="E56" s="1"/>
      <c r="F56" s="5">
        <f t="shared" si="28"/>
        <v>0</v>
      </c>
      <c r="G56" s="1"/>
      <c r="H56" s="1">
        <f>SUM(OSRRefH22_9x_0)</f>
        <v>126</v>
      </c>
      <c r="I56" s="1"/>
      <c r="J56" s="5">
        <f t="shared" si="29"/>
        <v>0</v>
      </c>
      <c r="K56" s="1"/>
      <c r="L56" s="1">
        <f t="shared" si="30"/>
        <v>121.16999999999999</v>
      </c>
      <c r="M56" s="1"/>
      <c r="N56" s="5">
        <f t="shared" si="31"/>
        <v>0.96166666666666656</v>
      </c>
      <c r="O56" s="13"/>
      <c r="P56" s="1">
        <f>SUM(OSRRefP22_9x_0)</f>
        <v>1513.6</v>
      </c>
      <c r="Q56" s="1"/>
      <c r="R56" s="5">
        <f t="shared" si="32"/>
        <v>0</v>
      </c>
      <c r="S56" s="1"/>
      <c r="T56" s="1">
        <f>SUM(OSRRefT22_9x_0)</f>
        <v>1512</v>
      </c>
      <c r="U56" s="1"/>
      <c r="V56" s="5">
        <f t="shared" si="33"/>
        <v>0</v>
      </c>
      <c r="W56" s="1"/>
      <c r="X56" s="1">
        <f t="shared" si="34"/>
        <v>1.5999999999999091</v>
      </c>
      <c r="Y56" s="1"/>
      <c r="Z56" s="5">
        <f t="shared" si="35"/>
        <v>1.058201058200998E-3</v>
      </c>
    </row>
    <row r="57" spans="1:26" s="24" customFormat="1" hidden="1" outlineLevel="2" x14ac:dyDescent="0.25">
      <c r="A57" s="26"/>
      <c r="B57" s="11" t="str">
        <f>CONCATENATE("          ", "6314", " - ", "LIABILITY INSURANCE")</f>
        <v xml:space="preserve">          6314 - LIABILITY INSURANCE</v>
      </c>
      <c r="C57" s="11"/>
      <c r="D57" s="6">
        <v>247.17</v>
      </c>
      <c r="E57" s="2"/>
      <c r="F57" s="7">
        <f t="shared" si="28"/>
        <v>0</v>
      </c>
      <c r="G57" s="2"/>
      <c r="H57" s="6">
        <v>126</v>
      </c>
      <c r="I57" s="2"/>
      <c r="J57" s="7">
        <f t="shared" si="29"/>
        <v>0</v>
      </c>
      <c r="K57" s="2"/>
      <c r="L57" s="6">
        <f t="shared" si="30"/>
        <v>121.16999999999999</v>
      </c>
      <c r="M57" s="2"/>
      <c r="N57" s="7">
        <f t="shared" si="31"/>
        <v>0.96166666666666656</v>
      </c>
      <c r="O57" s="11"/>
      <c r="P57" s="6">
        <v>1513.6</v>
      </c>
      <c r="Q57" s="2"/>
      <c r="R57" s="7">
        <f t="shared" si="32"/>
        <v>0</v>
      </c>
      <c r="S57" s="2"/>
      <c r="T57" s="6">
        <v>1512</v>
      </c>
      <c r="U57" s="2"/>
      <c r="V57" s="7">
        <f t="shared" si="33"/>
        <v>0</v>
      </c>
      <c r="W57" s="2"/>
      <c r="X57" s="6">
        <f t="shared" si="34"/>
        <v>1.5999999999999091</v>
      </c>
      <c r="Y57" s="2"/>
      <c r="Z57" s="7">
        <f t="shared" si="35"/>
        <v>1.058201058200998E-3</v>
      </c>
    </row>
    <row r="58" spans="1:26" s="27" customFormat="1" outlineLevel="1" collapsed="1" x14ac:dyDescent="0.25">
      <c r="A58" s="25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SUM(OSRRefP22_10x_0)</f>
        <v>50379.24</v>
      </c>
      <c r="Q58" s="1"/>
      <c r="R58" s="5">
        <f t="shared" si="32"/>
        <v>0</v>
      </c>
      <c r="S58" s="1"/>
      <c r="T58" s="1">
        <f>SUM(OSRRefT22_10x_0)</f>
        <v>59500</v>
      </c>
      <c r="U58" s="1"/>
      <c r="V58" s="5">
        <f t="shared" si="33"/>
        <v>0</v>
      </c>
      <c r="W58" s="1"/>
      <c r="X58" s="1">
        <f t="shared" si="34"/>
        <v>-9120.760000000002</v>
      </c>
      <c r="Y58" s="1"/>
      <c r="Z58" s="5">
        <f t="shared" si="35"/>
        <v>-0.15329008403361347</v>
      </c>
    </row>
    <row r="59" spans="1:26" s="24" customFormat="1" hidden="1" outlineLevel="2" x14ac:dyDescent="0.25">
      <c r="A59" s="26"/>
      <c r="B59" s="11" t="str">
        <f>CONCATENATE("          ", "6331", " - ", "INDIRECT COSTS-AUXILIARY ORGAN")</f>
        <v xml:space="preserve">          6331 - INDIRECT COSTS-AUXILIARY ORGAN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45850</v>
      </c>
      <c r="Q59" s="2"/>
      <c r="R59" s="7">
        <f t="shared" si="32"/>
        <v>0</v>
      </c>
      <c r="S59" s="2"/>
      <c r="T59" s="6">
        <v>49000</v>
      </c>
      <c r="U59" s="2"/>
      <c r="V59" s="7">
        <f t="shared" si="33"/>
        <v>0</v>
      </c>
      <c r="W59" s="2"/>
      <c r="X59" s="6">
        <f t="shared" si="34"/>
        <v>-3150</v>
      </c>
      <c r="Y59" s="2"/>
      <c r="Z59" s="7">
        <f t="shared" si="35"/>
        <v>-6.4285714285714279E-2</v>
      </c>
    </row>
    <row r="60" spans="1:26" s="24" customFormat="1" hidden="1" outlineLevel="2" x14ac:dyDescent="0.25">
      <c r="A60" s="26"/>
      <c r="B60" s="11" t="str">
        <f>CONCATENATE("          ", "6334", " - ", "LEGAL COUNCIL EXPENSE")</f>
        <v xml:space="preserve">          6334 - LEGAL COUNCIL EXPENSE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4529.24</v>
      </c>
      <c r="Q60" s="2"/>
      <c r="R60" s="7">
        <f t="shared" si="32"/>
        <v>0</v>
      </c>
      <c r="S60" s="2"/>
      <c r="T60" s="6">
        <v>5500</v>
      </c>
      <c r="U60" s="2"/>
      <c r="V60" s="7">
        <f t="shared" si="33"/>
        <v>0</v>
      </c>
      <c r="W60" s="2"/>
      <c r="X60" s="6">
        <f t="shared" si="34"/>
        <v>-970.76000000000022</v>
      </c>
      <c r="Y60" s="2"/>
      <c r="Z60" s="7">
        <f t="shared" si="35"/>
        <v>-0.17650181818181823</v>
      </c>
    </row>
    <row r="61" spans="1:26" s="24" customFormat="1" hidden="1" outlineLevel="2" x14ac:dyDescent="0.25">
      <c r="A61" s="26"/>
      <c r="B61" s="11" t="str">
        <f>CONCATENATE("          ", "6336", " - ", "PROFESSIONAL SERVICES")</f>
        <v xml:space="preserve">          6336 - PROFESSIONAL SERVICES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/>
      <c r="Q61" s="2"/>
      <c r="R61" s="7">
        <f t="shared" si="32"/>
        <v>0</v>
      </c>
      <c r="S61" s="2"/>
      <c r="T61" s="6">
        <v>5000</v>
      </c>
      <c r="U61" s="2"/>
      <c r="V61" s="7">
        <f t="shared" si="33"/>
        <v>0</v>
      </c>
      <c r="W61" s="2"/>
      <c r="X61" s="6">
        <f t="shared" si="34"/>
        <v>-5000</v>
      </c>
      <c r="Y61" s="2"/>
      <c r="Z61" s="7">
        <f t="shared" si="35"/>
        <v>-1</v>
      </c>
    </row>
    <row r="62" spans="1:26" s="27" customFormat="1" outlineLevel="1" collapsed="1" x14ac:dyDescent="0.25">
      <c r="A62" s="25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SUM(OSRRefD22_11x_0)</f>
        <v>2219.7199999999998</v>
      </c>
      <c r="E62" s="1"/>
      <c r="F62" s="5">
        <f t="shared" ref="F62:F64" si="36">IF(D$12=0,0,D62/D$12)</f>
        <v>0</v>
      </c>
      <c r="G62" s="1"/>
      <c r="H62" s="1">
        <f>SUM(OSRRefH22_11x_0)</f>
        <v>2176</v>
      </c>
      <c r="I62" s="1"/>
      <c r="J62" s="5">
        <f t="shared" ref="J62:J64" si="37">IF(H$12=0,0,H62/H$12)</f>
        <v>0</v>
      </c>
      <c r="K62" s="1"/>
      <c r="L62" s="1">
        <f t="shared" ref="L62:L64" si="38">+D62-H62</f>
        <v>43.7199999999998</v>
      </c>
      <c r="M62" s="1"/>
      <c r="N62" s="5">
        <f t="shared" ref="N62:N64" si="39">IF(H62=0,0,L62/H62)</f>
        <v>2.0091911764705789E-2</v>
      </c>
      <c r="O62" s="13"/>
      <c r="P62" s="1">
        <f>SUM(OSRRefP22_11x_0)</f>
        <v>26559</v>
      </c>
      <c r="Q62" s="1"/>
      <c r="R62" s="5">
        <f t="shared" ref="R62:R64" si="40">IF(P$12=0,0,P62/P$12)</f>
        <v>0</v>
      </c>
      <c r="S62" s="1"/>
      <c r="T62" s="1">
        <f>SUM(OSRRefT22_11x_0)</f>
        <v>26178</v>
      </c>
      <c r="U62" s="1"/>
      <c r="V62" s="5">
        <f t="shared" ref="V62:V64" si="41">IF(T$12=0,0,T62/T$12)</f>
        <v>0</v>
      </c>
      <c r="W62" s="1"/>
      <c r="X62" s="1">
        <f t="shared" ref="X62:X64" si="42">+P62-T62</f>
        <v>381</v>
      </c>
      <c r="Y62" s="1"/>
      <c r="Z62" s="5">
        <f t="shared" ref="Z62:Z64" si="43">IF(T62=0,0,X62/T62)</f>
        <v>1.4554205821682329E-2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1980</v>
      </c>
      <c r="Q63" s="2"/>
      <c r="R63" s="7">
        <f t="shared" si="40"/>
        <v>0</v>
      </c>
      <c r="S63" s="2"/>
      <c r="T63" s="6"/>
      <c r="U63" s="2"/>
      <c r="V63" s="7">
        <f t="shared" si="41"/>
        <v>0</v>
      </c>
      <c r="W63" s="2"/>
      <c r="X63" s="6">
        <f t="shared" si="42"/>
        <v>1980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6">
        <v>2219.7199999999998</v>
      </c>
      <c r="E64" s="2"/>
      <c r="F64" s="7">
        <f t="shared" si="36"/>
        <v>0</v>
      </c>
      <c r="G64" s="2"/>
      <c r="H64" s="6">
        <v>2176</v>
      </c>
      <c r="I64" s="2"/>
      <c r="J64" s="7">
        <f t="shared" si="37"/>
        <v>0</v>
      </c>
      <c r="K64" s="2"/>
      <c r="L64" s="6">
        <f t="shared" si="38"/>
        <v>43.7199999999998</v>
      </c>
      <c r="M64" s="2"/>
      <c r="N64" s="7">
        <f t="shared" si="39"/>
        <v>2.0091911764705789E-2</v>
      </c>
      <c r="O64" s="11"/>
      <c r="P64" s="6">
        <v>24579</v>
      </c>
      <c r="Q64" s="2"/>
      <c r="R64" s="7">
        <f t="shared" si="40"/>
        <v>0</v>
      </c>
      <c r="S64" s="2"/>
      <c r="T64" s="6">
        <v>26178</v>
      </c>
      <c r="U64" s="2"/>
      <c r="V64" s="7">
        <f t="shared" si="41"/>
        <v>0</v>
      </c>
      <c r="W64" s="2"/>
      <c r="X64" s="6">
        <f t="shared" si="42"/>
        <v>-1599</v>
      </c>
      <c r="Y64" s="2"/>
      <c r="Z64" s="7">
        <f t="shared" si="43"/>
        <v>-6.1081824432729775E-2</v>
      </c>
    </row>
    <row r="65" spans="1:26" s="27" customFormat="1" outlineLevel="1" collapsed="1" x14ac:dyDescent="0.25">
      <c r="A65" s="25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4">IF(D$12=0,0,D65/D$12)</f>
        <v>0</v>
      </c>
      <c r="G65" s="1"/>
      <c r="H65" s="1">
        <f>SUM(OSRRefH22_12x_0)</f>
        <v>1500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-1500</v>
      </c>
      <c r="M65" s="1"/>
      <c r="N65" s="5">
        <f t="shared" ref="N65:N70" si="47">IF(H65=0,0,L65/H65)</f>
        <v>-1</v>
      </c>
      <c r="O65" s="13"/>
      <c r="P65" s="1">
        <f>SUM(OSRRefP22_12x_0)</f>
        <v>8793</v>
      </c>
      <c r="Q65" s="1"/>
      <c r="R65" s="5">
        <f t="shared" ref="R65:R70" si="48">IF(P$12=0,0,P65/P$12)</f>
        <v>0</v>
      </c>
      <c r="S65" s="1"/>
      <c r="T65" s="1">
        <f>SUM(OSRRefT22_12x_0)</f>
        <v>8950</v>
      </c>
      <c r="U65" s="1"/>
      <c r="V65" s="5">
        <f t="shared" ref="V65:V70" si="49">IF(T$12=0,0,T65/T$12)</f>
        <v>0</v>
      </c>
      <c r="W65" s="1"/>
      <c r="X65" s="1">
        <f t="shared" ref="X65:X70" si="50">+P65-T65</f>
        <v>-157</v>
      </c>
      <c r="Y65" s="1"/>
      <c r="Z65" s="5">
        <f t="shared" ref="Z65:Z70" si="51">IF(T65=0,0,X65/T65)</f>
        <v>-1.7541899441340783E-2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4"/>
        <v>0</v>
      </c>
      <c r="G66" s="2"/>
      <c r="H66" s="6">
        <v>1500</v>
      </c>
      <c r="I66" s="2"/>
      <c r="J66" s="7">
        <f t="shared" si="45"/>
        <v>0</v>
      </c>
      <c r="K66" s="2"/>
      <c r="L66" s="6">
        <f t="shared" si="46"/>
        <v>-1500</v>
      </c>
      <c r="M66" s="2"/>
      <c r="N66" s="7">
        <f t="shared" si="47"/>
        <v>-1</v>
      </c>
      <c r="O66" s="11"/>
      <c r="P66" s="6">
        <v>8793</v>
      </c>
      <c r="Q66" s="2"/>
      <c r="R66" s="7">
        <f t="shared" si="48"/>
        <v>0</v>
      </c>
      <c r="S66" s="2"/>
      <c r="T66" s="6">
        <v>8950</v>
      </c>
      <c r="U66" s="2"/>
      <c r="V66" s="7">
        <f t="shared" si="49"/>
        <v>0</v>
      </c>
      <c r="W66" s="2"/>
      <c r="X66" s="6">
        <f t="shared" si="50"/>
        <v>-157</v>
      </c>
      <c r="Y66" s="2"/>
      <c r="Z66" s="7">
        <f t="shared" si="51"/>
        <v>-1.7541899441340783E-2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39.69</v>
      </c>
      <c r="E67" s="1"/>
      <c r="F67" s="5">
        <f t="shared" si="44"/>
        <v>0</v>
      </c>
      <c r="G67" s="1"/>
      <c r="H67" s="1">
        <f>SUM(OSRRefH22_13x_0)</f>
        <v>1500</v>
      </c>
      <c r="I67" s="1"/>
      <c r="J67" s="5">
        <f t="shared" si="45"/>
        <v>0</v>
      </c>
      <c r="K67" s="1"/>
      <c r="L67" s="1">
        <f t="shared" si="46"/>
        <v>-1460.31</v>
      </c>
      <c r="M67" s="1"/>
      <c r="N67" s="5">
        <f t="shared" si="47"/>
        <v>-0.97353999999999996</v>
      </c>
      <c r="O67" s="13"/>
      <c r="P67" s="1">
        <f>SUM(OSRRefP22_13x_0)</f>
        <v>683.38000000000011</v>
      </c>
      <c r="Q67" s="1"/>
      <c r="R67" s="5">
        <f t="shared" si="48"/>
        <v>0</v>
      </c>
      <c r="S67" s="1"/>
      <c r="T67" s="1">
        <f>SUM(OSRRefT22_13x_0)</f>
        <v>16500</v>
      </c>
      <c r="U67" s="1"/>
      <c r="V67" s="5">
        <f t="shared" si="49"/>
        <v>0</v>
      </c>
      <c r="W67" s="1"/>
      <c r="X67" s="1">
        <f t="shared" si="50"/>
        <v>-15816.619999999999</v>
      </c>
      <c r="Y67" s="1"/>
      <c r="Z67" s="5">
        <f t="shared" si="51"/>
        <v>-0.95858303030303027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>
        <v>1000</v>
      </c>
      <c r="I68" s="2"/>
      <c r="J68" s="7">
        <f t="shared" si="45"/>
        <v>0</v>
      </c>
      <c r="K68" s="2"/>
      <c r="L68" s="6">
        <f t="shared" si="46"/>
        <v>-1000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12000</v>
      </c>
      <c r="U68" s="2"/>
      <c r="V68" s="7">
        <f t="shared" si="49"/>
        <v>0</v>
      </c>
      <c r="W68" s="2"/>
      <c r="X68" s="6">
        <f t="shared" si="50"/>
        <v>-12000</v>
      </c>
      <c r="Y68" s="2"/>
      <c r="Z68" s="7">
        <f t="shared" si="51"/>
        <v>-1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6"/>
      <c r="E69" s="2"/>
      <c r="F69" s="7">
        <f t="shared" si="44"/>
        <v>0</v>
      </c>
      <c r="G69" s="2"/>
      <c r="H69" s="6">
        <v>500</v>
      </c>
      <c r="I69" s="2"/>
      <c r="J69" s="7">
        <f t="shared" si="45"/>
        <v>0</v>
      </c>
      <c r="K69" s="2"/>
      <c r="L69" s="6">
        <f t="shared" si="46"/>
        <v>-500</v>
      </c>
      <c r="M69" s="2"/>
      <c r="N69" s="7">
        <f t="shared" si="47"/>
        <v>-1</v>
      </c>
      <c r="O69" s="11"/>
      <c r="P69" s="6">
        <v>106.94</v>
      </c>
      <c r="Q69" s="2"/>
      <c r="R69" s="7">
        <f t="shared" si="48"/>
        <v>0</v>
      </c>
      <c r="S69" s="2"/>
      <c r="T69" s="6">
        <v>2000</v>
      </c>
      <c r="U69" s="2"/>
      <c r="V69" s="7">
        <f t="shared" si="49"/>
        <v>0</v>
      </c>
      <c r="W69" s="2"/>
      <c r="X69" s="6">
        <f t="shared" si="50"/>
        <v>-1893.06</v>
      </c>
      <c r="Y69" s="2"/>
      <c r="Z69" s="7">
        <f t="shared" si="51"/>
        <v>-0.94652999999999998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39.69</v>
      </c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39.69</v>
      </c>
      <c r="M70" s="2"/>
      <c r="N70" s="7">
        <f t="shared" si="47"/>
        <v>0</v>
      </c>
      <c r="O70" s="11"/>
      <c r="P70" s="6">
        <v>576.44000000000005</v>
      </c>
      <c r="Q70" s="2"/>
      <c r="R70" s="7">
        <f t="shared" si="48"/>
        <v>0</v>
      </c>
      <c r="S70" s="2"/>
      <c r="T70" s="6">
        <v>2500</v>
      </c>
      <c r="U70" s="2"/>
      <c r="V70" s="7">
        <f t="shared" si="49"/>
        <v>0</v>
      </c>
      <c r="W70" s="2"/>
      <c r="X70" s="6">
        <f t="shared" si="50"/>
        <v>-1923.56</v>
      </c>
      <c r="Y70" s="2"/>
      <c r="Z70" s="7">
        <f t="shared" si="51"/>
        <v>-0.769424</v>
      </c>
    </row>
    <row r="71" spans="1:26" s="27" customFormat="1" outlineLevel="1" collapsed="1" x14ac:dyDescent="0.25">
      <c r="A71" s="25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542.47</v>
      </c>
      <c r="E71" s="1"/>
      <c r="F71" s="5">
        <f t="shared" ref="F71:F76" si="52">IF(D$12=0,0,D71/D$12)</f>
        <v>0</v>
      </c>
      <c r="G71" s="1"/>
      <c r="H71" s="1">
        <f>SUM(OSRRefH22_14x_0)</f>
        <v>350</v>
      </c>
      <c r="I71" s="1"/>
      <c r="J71" s="5">
        <f t="shared" ref="J71:J76" si="53">IF(H$12=0,0,H71/H$12)</f>
        <v>0</v>
      </c>
      <c r="K71" s="1"/>
      <c r="L71" s="1">
        <f t="shared" ref="L71:L76" si="54">+D71-H71</f>
        <v>192.47000000000003</v>
      </c>
      <c r="M71" s="1"/>
      <c r="N71" s="5">
        <f t="shared" ref="N71:N76" si="55">IF(H71=0,0,L71/H71)</f>
        <v>0.5499142857142858</v>
      </c>
      <c r="O71" s="13"/>
      <c r="P71" s="1">
        <f>SUM(OSRRefP22_14x_0)</f>
        <v>4776.09</v>
      </c>
      <c r="Q71" s="1"/>
      <c r="R71" s="5">
        <f t="shared" ref="R71:R76" si="56">IF(P$12=0,0,P71/P$12)</f>
        <v>0</v>
      </c>
      <c r="S71" s="1"/>
      <c r="T71" s="1">
        <f>SUM(OSRRefT22_14x_0)</f>
        <v>4200</v>
      </c>
      <c r="U71" s="1"/>
      <c r="V71" s="5">
        <f t="shared" ref="V71:V76" si="57">IF(T$12=0,0,T71/T$12)</f>
        <v>0</v>
      </c>
      <c r="W71" s="1"/>
      <c r="X71" s="1">
        <f t="shared" ref="X71:X76" si="58">+P71-T71</f>
        <v>576.09000000000015</v>
      </c>
      <c r="Y71" s="1"/>
      <c r="Z71" s="5">
        <f t="shared" ref="Z71:Z76" si="59">IF(T71=0,0,X71/T71)</f>
        <v>0.13716428571428574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6">
        <v>542.47</v>
      </c>
      <c r="E72" s="2"/>
      <c r="F72" s="7">
        <f t="shared" si="52"/>
        <v>0</v>
      </c>
      <c r="G72" s="2"/>
      <c r="H72" s="6">
        <v>350</v>
      </c>
      <c r="I72" s="2"/>
      <c r="J72" s="7">
        <f t="shared" si="53"/>
        <v>0</v>
      </c>
      <c r="K72" s="2"/>
      <c r="L72" s="6">
        <f t="shared" si="54"/>
        <v>192.47000000000003</v>
      </c>
      <c r="M72" s="2"/>
      <c r="N72" s="7">
        <f t="shared" si="55"/>
        <v>0.5499142857142858</v>
      </c>
      <c r="O72" s="11"/>
      <c r="P72" s="6">
        <v>4776.09</v>
      </c>
      <c r="Q72" s="2"/>
      <c r="R72" s="7">
        <f t="shared" si="56"/>
        <v>0</v>
      </c>
      <c r="S72" s="2"/>
      <c r="T72" s="6">
        <v>4200</v>
      </c>
      <c r="U72" s="2"/>
      <c r="V72" s="7">
        <f t="shared" si="57"/>
        <v>0</v>
      </c>
      <c r="W72" s="2"/>
      <c r="X72" s="6">
        <f t="shared" si="58"/>
        <v>576.09000000000015</v>
      </c>
      <c r="Y72" s="2"/>
      <c r="Z72" s="7">
        <f t="shared" si="59"/>
        <v>0.13716428571428574</v>
      </c>
    </row>
    <row r="73" spans="1:26" s="27" customFormat="1" outlineLevel="1" collapsed="1" x14ac:dyDescent="0.25">
      <c r="A73" s="25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0</v>
      </c>
      <c r="E73" s="1"/>
      <c r="F73" s="5">
        <f t="shared" si="52"/>
        <v>0</v>
      </c>
      <c r="G73" s="1"/>
      <c r="H73" s="1">
        <f>SUM(OSRRefH22_15x_0)</f>
        <v>0</v>
      </c>
      <c r="I73" s="1"/>
      <c r="J73" s="5">
        <f t="shared" si="53"/>
        <v>0</v>
      </c>
      <c r="K73" s="1"/>
      <c r="L73" s="1">
        <f t="shared" si="54"/>
        <v>0</v>
      </c>
      <c r="M73" s="1"/>
      <c r="N73" s="5">
        <f t="shared" si="55"/>
        <v>0</v>
      </c>
      <c r="O73" s="13"/>
      <c r="P73" s="1">
        <f>SUM(OSRRefP22_15x_0)</f>
        <v>4276.5</v>
      </c>
      <c r="Q73" s="1"/>
      <c r="R73" s="5">
        <f t="shared" si="56"/>
        <v>0</v>
      </c>
      <c r="S73" s="1"/>
      <c r="T73" s="1">
        <f>SUM(OSRRefT22_15x_0)</f>
        <v>5000</v>
      </c>
      <c r="U73" s="1"/>
      <c r="V73" s="5">
        <f t="shared" si="57"/>
        <v>0</v>
      </c>
      <c r="W73" s="1"/>
      <c r="X73" s="1">
        <f t="shared" si="58"/>
        <v>-723.5</v>
      </c>
      <c r="Y73" s="1"/>
      <c r="Z73" s="5">
        <f t="shared" si="59"/>
        <v>-0.1447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>
        <v>4276.5</v>
      </c>
      <c r="Q74" s="2"/>
      <c r="R74" s="7">
        <f t="shared" si="56"/>
        <v>0</v>
      </c>
      <c r="S74" s="2"/>
      <c r="T74" s="6">
        <v>5000</v>
      </c>
      <c r="U74" s="2"/>
      <c r="V74" s="7">
        <f t="shared" si="57"/>
        <v>0</v>
      </c>
      <c r="W74" s="2"/>
      <c r="X74" s="6">
        <f t="shared" si="58"/>
        <v>-723.5</v>
      </c>
      <c r="Y74" s="2"/>
      <c r="Z74" s="7">
        <f t="shared" si="59"/>
        <v>-0.1447</v>
      </c>
    </row>
    <row r="75" spans="1:26" s="27" customFormat="1" outlineLevel="1" collapsed="1" x14ac:dyDescent="0.25">
      <c r="A75" s="25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52"/>
        <v>0</v>
      </c>
      <c r="G75" s="1"/>
      <c r="H75" s="1">
        <f>SUM(OSRRefH22_16x_0)</f>
        <v>0</v>
      </c>
      <c r="I75" s="1"/>
      <c r="J75" s="5">
        <f t="shared" si="53"/>
        <v>0</v>
      </c>
      <c r="K75" s="1"/>
      <c r="L75" s="1">
        <f t="shared" si="54"/>
        <v>0</v>
      </c>
      <c r="M75" s="1"/>
      <c r="N75" s="5">
        <f t="shared" si="55"/>
        <v>0</v>
      </c>
      <c r="O75" s="13"/>
      <c r="P75" s="1">
        <f>SUM(OSRRefP22_16x_0)</f>
        <v>0</v>
      </c>
      <c r="Q75" s="1"/>
      <c r="R75" s="5">
        <f t="shared" si="56"/>
        <v>0</v>
      </c>
      <c r="S75" s="1"/>
      <c r="T75" s="1">
        <f>SUM(OSRRefT22_16x_0)</f>
        <v>3600</v>
      </c>
      <c r="U75" s="1"/>
      <c r="V75" s="5">
        <f t="shared" si="57"/>
        <v>0</v>
      </c>
      <c r="W75" s="1"/>
      <c r="X75" s="1">
        <f t="shared" si="58"/>
        <v>-3600</v>
      </c>
      <c r="Y75" s="1"/>
      <c r="Z75" s="5">
        <f t="shared" si="59"/>
        <v>-1</v>
      </c>
    </row>
    <row r="76" spans="1:26" s="24" customFormat="1" hidden="1" outlineLevel="2" x14ac:dyDescent="0.25">
      <c r="A76" s="26"/>
      <c r="B76" s="11" t="str">
        <f>CONCATENATE("          ", "6294", " - ", "TRAVEL OPERATIONAL")</f>
        <v xml:space="preserve">          6294 - TRAVEL OPERATIONAL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/>
      <c r="Q76" s="2"/>
      <c r="R76" s="7">
        <f t="shared" si="56"/>
        <v>0</v>
      </c>
      <c r="S76" s="2"/>
      <c r="T76" s="6">
        <v>3600</v>
      </c>
      <c r="U76" s="2"/>
      <c r="V76" s="7">
        <f t="shared" si="57"/>
        <v>0</v>
      </c>
      <c r="W76" s="2"/>
      <c r="X76" s="6">
        <f t="shared" si="58"/>
        <v>-3600</v>
      </c>
      <c r="Y76" s="2"/>
      <c r="Z76" s="7">
        <f t="shared" si="59"/>
        <v>-1</v>
      </c>
    </row>
    <row r="77" spans="1:26" s="61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0">
        <f>+D17-D19+D78</f>
        <v>-62958.810000000005</v>
      </c>
      <c r="E80" s="14"/>
      <c r="F80" s="22">
        <f>IF(D$12=0,0,D80/D$12)</f>
        <v>0</v>
      </c>
      <c r="G80" s="14"/>
      <c r="H80" s="20">
        <f>+H17-H19+H78</f>
        <v>-53963.305846153875</v>
      </c>
      <c r="I80" s="14"/>
      <c r="J80" s="22">
        <f>IF(H$12=0,0,H80/H$12)</f>
        <v>0</v>
      </c>
      <c r="K80" s="16"/>
      <c r="L80" s="20">
        <f>+D80-H80</f>
        <v>-8995.5041538461301</v>
      </c>
      <c r="M80" s="16"/>
      <c r="N80" s="22">
        <f>IF(H80=0,0,L80/H80)</f>
        <v>0.16669668421522893</v>
      </c>
      <c r="O80" s="29"/>
      <c r="P80" s="20">
        <f>+P17-P19+P78</f>
        <v>-476464.99000000005</v>
      </c>
      <c r="Q80" s="14"/>
      <c r="R80" s="22">
        <f>IF(P$12=0,0,P80/P$12)</f>
        <v>0</v>
      </c>
      <c r="S80" s="14"/>
      <c r="T80" s="20">
        <f>+T17-T19+T78</f>
        <v>-564074.94107692305</v>
      </c>
      <c r="U80" s="14"/>
      <c r="V80" s="22">
        <f>IF(T$12=0,0,T80/T$12)</f>
        <v>0</v>
      </c>
      <c r="W80" s="16"/>
      <c r="X80" s="20">
        <f>+P80-T80</f>
        <v>87609.951076922996</v>
      </c>
      <c r="Y80" s="16"/>
      <c r="Z80" s="22">
        <f>IF(T80=0,0,X80/T80)</f>
        <v>-0.15531615517196962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4">
        <f>+D80-D82</f>
        <v>-62958.810000000005</v>
      </c>
      <c r="E84" s="14"/>
      <c r="F84" s="35">
        <f>IF(D$12=0,0,D84/D$12)</f>
        <v>0</v>
      </c>
      <c r="G84" s="14"/>
      <c r="H84" s="34">
        <f>+H80-H82</f>
        <v>-53963.305846153875</v>
      </c>
      <c r="I84" s="14"/>
      <c r="J84" s="35">
        <f>IF(H$12=0,0,H84/H$12)</f>
        <v>0</v>
      </c>
      <c r="K84" s="16"/>
      <c r="L84" s="34">
        <f>D84-H84</f>
        <v>-8995.5041538461301</v>
      </c>
      <c r="M84" s="16"/>
      <c r="N84" s="35">
        <f>IF(H84=0,0,L84/H84)</f>
        <v>0.16669668421522893</v>
      </c>
      <c r="O84" s="29"/>
      <c r="P84" s="34">
        <f>+P80-P82</f>
        <v>-476464.99000000005</v>
      </c>
      <c r="Q84" s="14"/>
      <c r="R84" s="35">
        <f>IF(P$12=0,0,P84/P$12)</f>
        <v>0</v>
      </c>
      <c r="S84" s="14"/>
      <c r="T84" s="34">
        <f>+T80-T82</f>
        <v>-564074.94107692305</v>
      </c>
      <c r="U84" s="14"/>
      <c r="V84" s="35">
        <f>IF(T$12=0,0,T84/T$12)</f>
        <v>0</v>
      </c>
      <c r="W84" s="16"/>
      <c r="X84" s="34">
        <f>P84-T84</f>
        <v>87609.951076922996</v>
      </c>
      <c r="Y84" s="16"/>
      <c r="Z84" s="35">
        <f>IF(T84=0,0,X84/T84)</f>
        <v>-0.15531615517196962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3">
        <f>SUM(D84:D86)</f>
        <v>-62958.810000000005</v>
      </c>
      <c r="E87" s="14"/>
      <c r="F87" s="31">
        <f>IF(D$12=0,0,D87/D$12)</f>
        <v>0</v>
      </c>
      <c r="G87" s="14"/>
      <c r="H87" s="33">
        <f>SUM(H84:H86)</f>
        <v>-53963.305846153875</v>
      </c>
      <c r="I87" s="14"/>
      <c r="J87" s="31">
        <f>IF(H$12=0,0,H87/H$12)</f>
        <v>0</v>
      </c>
      <c r="K87" s="16"/>
      <c r="L87" s="33">
        <f>+D87-H87</f>
        <v>-8995.5041538461301</v>
      </c>
      <c r="M87" s="16"/>
      <c r="N87" s="31">
        <f>IF(H87=0,0,L87/H87)</f>
        <v>0.16669668421522893</v>
      </c>
      <c r="O87" s="29"/>
      <c r="P87" s="33">
        <f>SUM(P84:P86)</f>
        <v>-476464.99000000005</v>
      </c>
      <c r="Q87" s="14"/>
      <c r="R87" s="31">
        <f>IF(P$12=0,0,P87/P$12)</f>
        <v>0</v>
      </c>
      <c r="S87" s="14"/>
      <c r="T87" s="33">
        <f>SUM(T84:T86)</f>
        <v>-564074.94107692305</v>
      </c>
      <c r="U87" s="14"/>
      <c r="V87" s="31">
        <f>IF(T$12=0,0,T87/T$12)</f>
        <v>0</v>
      </c>
      <c r="W87" s="16"/>
      <c r="X87" s="33">
        <f>+P87-T87</f>
        <v>87609.951076922996</v>
      </c>
      <c r="Y87" s="16"/>
      <c r="Z87" s="31">
        <f>IF(T87=0,0,X87/T87)</f>
        <v>-0.15531615517196962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6">
        <v>44454.686112384261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 t="s">
        <v>56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0</v>
      </c>
      <c r="U17" s="14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1">
        <f>SUM(OSRRefD22x_0)</f>
        <v>37925.810000000005</v>
      </c>
      <c r="E19" s="21"/>
      <c r="F19" s="30">
        <f t="shared" ref="F19:F29" si="4">IF(D$12=0,0,D19/D$12)</f>
        <v>0</v>
      </c>
      <c r="G19" s="21"/>
      <c r="H19" s="21">
        <f>SUM(OSRRefH22x_0)</f>
        <v>35590.482495384662</v>
      </c>
      <c r="I19" s="21"/>
      <c r="J19" s="30">
        <f t="shared" ref="J19:J29" si="5">IF(H$12=0,0,H19/H$12)</f>
        <v>0</v>
      </c>
      <c r="K19" s="4"/>
      <c r="L19" s="21">
        <f t="shared" ref="L19:L29" si="6">+D19-H19</f>
        <v>2335.3275046153431</v>
      </c>
      <c r="M19" s="4"/>
      <c r="N19" s="30">
        <f t="shared" ref="N19:N29" si="7">IF(H19=0,0,L19/H19)</f>
        <v>6.5616629527801035E-2</v>
      </c>
      <c r="O19" s="10"/>
      <c r="P19" s="21">
        <f>SUM(OSRRefP22x_0)</f>
        <v>491918.74999999994</v>
      </c>
      <c r="Q19" s="21"/>
      <c r="R19" s="30">
        <f t="shared" ref="R19:R29" si="8">IF(P$12=0,0,P19/P$12)</f>
        <v>0</v>
      </c>
      <c r="S19" s="21"/>
      <c r="T19" s="21">
        <f>SUM(OSRRefT22x_0)</f>
        <v>490283.61171999999</v>
      </c>
      <c r="U19" s="21"/>
      <c r="V19" s="30">
        <f t="shared" ref="V19:V29" si="9">IF(T$12=0,0,T19/T$12)</f>
        <v>0</v>
      </c>
      <c r="W19" s="4"/>
      <c r="X19" s="21">
        <f t="shared" ref="X19:X29" si="10">+P19-T19</f>
        <v>1635.1382799999556</v>
      </c>
      <c r="Y19" s="4"/>
      <c r="Z19" s="30">
        <f t="shared" ref="Z19:Z29" si="11">IF(T19=0,0,X19/T19)</f>
        <v>3.3350865517686929E-3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13913</v>
      </c>
      <c r="E20" s="1"/>
      <c r="F20" s="5">
        <f t="shared" si="4"/>
        <v>0</v>
      </c>
      <c r="G20" s="1"/>
      <c r="H20" s="1">
        <f>SUM(OSRRefH22_0x_0)</f>
        <v>11822.667110769233</v>
      </c>
      <c r="I20" s="1"/>
      <c r="J20" s="5">
        <f t="shared" si="5"/>
        <v>0</v>
      </c>
      <c r="K20" s="1"/>
      <c r="L20" s="1">
        <f t="shared" si="6"/>
        <v>2090.3328892307673</v>
      </c>
      <c r="M20" s="1"/>
      <c r="N20" s="5">
        <f t="shared" si="7"/>
        <v>0.17680721867967417</v>
      </c>
      <c r="O20" s="13"/>
      <c r="P20" s="1">
        <f>SUM(OSRRefP22_0x_0)</f>
        <v>160928.85</v>
      </c>
      <c r="Q20" s="1"/>
      <c r="R20" s="5">
        <f t="shared" si="8"/>
        <v>0</v>
      </c>
      <c r="S20" s="1"/>
      <c r="T20" s="1">
        <f>SUM(OSRRefT22_0x_0)</f>
        <v>146488.81172</v>
      </c>
      <c r="U20" s="1"/>
      <c r="V20" s="5">
        <f t="shared" si="9"/>
        <v>0</v>
      </c>
      <c r="W20" s="1"/>
      <c r="X20" s="1">
        <f t="shared" si="10"/>
        <v>14440.038280000008</v>
      </c>
      <c r="Y20" s="1"/>
      <c r="Z20" s="5">
        <f t="shared" si="11"/>
        <v>9.8574342370943827E-2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1630.09</v>
      </c>
      <c r="E21" s="2"/>
      <c r="F21" s="7">
        <f t="shared" si="4"/>
        <v>0</v>
      </c>
      <c r="G21" s="2"/>
      <c r="H21" s="6">
        <v>1625.37946153846</v>
      </c>
      <c r="I21" s="2"/>
      <c r="J21" s="7">
        <f t="shared" si="5"/>
        <v>0</v>
      </c>
      <c r="K21" s="2"/>
      <c r="L21" s="6">
        <f t="shared" si="6"/>
        <v>4.7105384615399544</v>
      </c>
      <c r="M21" s="2"/>
      <c r="N21" s="7">
        <f t="shared" si="7"/>
        <v>2.8981161464174763E-3</v>
      </c>
      <c r="O21" s="11"/>
      <c r="P21" s="6">
        <v>22399.99</v>
      </c>
      <c r="Q21" s="2"/>
      <c r="R21" s="7">
        <f t="shared" si="8"/>
        <v>0</v>
      </c>
      <c r="S21" s="2"/>
      <c r="T21" s="6">
        <v>21129.933000000001</v>
      </c>
      <c r="U21" s="2"/>
      <c r="V21" s="7">
        <f t="shared" si="9"/>
        <v>0</v>
      </c>
      <c r="W21" s="2"/>
      <c r="X21" s="6">
        <f t="shared" si="10"/>
        <v>1270.0570000000007</v>
      </c>
      <c r="Y21" s="2"/>
      <c r="Z21" s="7">
        <f t="shared" si="11"/>
        <v>6.0107005545166688E-2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70.319999999999993</v>
      </c>
      <c r="E22" s="2"/>
      <c r="F22" s="7">
        <f t="shared" si="4"/>
        <v>0</v>
      </c>
      <c r="G22" s="2"/>
      <c r="H22" s="6">
        <v>73.793483076923096</v>
      </c>
      <c r="I22" s="2"/>
      <c r="J22" s="7">
        <f t="shared" si="5"/>
        <v>0</v>
      </c>
      <c r="K22" s="2"/>
      <c r="L22" s="6">
        <f t="shared" si="6"/>
        <v>-3.4734830769231024</v>
      </c>
      <c r="M22" s="2"/>
      <c r="N22" s="7">
        <f t="shared" si="7"/>
        <v>-4.7070322907814335E-2</v>
      </c>
      <c r="O22" s="11"/>
      <c r="P22" s="6">
        <v>964.45</v>
      </c>
      <c r="Q22" s="2"/>
      <c r="R22" s="7">
        <f t="shared" si="8"/>
        <v>0</v>
      </c>
      <c r="S22" s="2"/>
      <c r="T22" s="6">
        <v>953.24063999999998</v>
      </c>
      <c r="U22" s="2"/>
      <c r="V22" s="7">
        <f t="shared" si="9"/>
        <v>0</v>
      </c>
      <c r="W22" s="2"/>
      <c r="X22" s="6">
        <f t="shared" si="10"/>
        <v>11.209360000000061</v>
      </c>
      <c r="Y22" s="2"/>
      <c r="Z22" s="7">
        <f t="shared" si="11"/>
        <v>1.1759213287423478E-2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6236.66</v>
      </c>
      <c r="E23" s="2"/>
      <c r="F23" s="7">
        <f t="shared" si="4"/>
        <v>0</v>
      </c>
      <c r="G23" s="2"/>
      <c r="H23" s="6">
        <v>5415</v>
      </c>
      <c r="I23" s="2"/>
      <c r="J23" s="7">
        <f t="shared" si="5"/>
        <v>0</v>
      </c>
      <c r="K23" s="2"/>
      <c r="L23" s="6">
        <f t="shared" si="6"/>
        <v>821.65999999999985</v>
      </c>
      <c r="M23" s="2"/>
      <c r="N23" s="7">
        <f t="shared" si="7"/>
        <v>0.1517377654662973</v>
      </c>
      <c r="O23" s="11"/>
      <c r="P23" s="6">
        <v>72861.240000000005</v>
      </c>
      <c r="Q23" s="2"/>
      <c r="R23" s="7">
        <f t="shared" si="8"/>
        <v>0</v>
      </c>
      <c r="S23" s="2"/>
      <c r="T23" s="6">
        <v>64980</v>
      </c>
      <c r="U23" s="2"/>
      <c r="V23" s="7">
        <f t="shared" si="9"/>
        <v>0</v>
      </c>
      <c r="W23" s="2"/>
      <c r="X23" s="6">
        <f t="shared" si="10"/>
        <v>7881.2400000000052</v>
      </c>
      <c r="Y23" s="2"/>
      <c r="Z23" s="7">
        <f t="shared" si="11"/>
        <v>0.1212871652816252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55.4</v>
      </c>
      <c r="E24" s="2"/>
      <c r="F24" s="7">
        <f t="shared" si="4"/>
        <v>0</v>
      </c>
      <c r="G24" s="2"/>
      <c r="H24" s="6">
        <v>58.140320000000003</v>
      </c>
      <c r="I24" s="2"/>
      <c r="J24" s="7">
        <f t="shared" si="5"/>
        <v>0</v>
      </c>
      <c r="K24" s="2"/>
      <c r="L24" s="6">
        <f t="shared" si="6"/>
        <v>-2.7403200000000041</v>
      </c>
      <c r="M24" s="2"/>
      <c r="N24" s="7">
        <f t="shared" si="7"/>
        <v>-4.713286751775711E-2</v>
      </c>
      <c r="O24" s="11"/>
      <c r="P24" s="6">
        <v>759.83</v>
      </c>
      <c r="Q24" s="2"/>
      <c r="R24" s="7">
        <f t="shared" si="8"/>
        <v>0</v>
      </c>
      <c r="S24" s="2"/>
      <c r="T24" s="6">
        <v>751.03808000000004</v>
      </c>
      <c r="U24" s="2"/>
      <c r="V24" s="7">
        <f t="shared" si="9"/>
        <v>0</v>
      </c>
      <c r="W24" s="2"/>
      <c r="X24" s="6">
        <f t="shared" si="10"/>
        <v>8.7919200000000046</v>
      </c>
      <c r="Y24" s="2"/>
      <c r="Z24" s="7">
        <f t="shared" si="11"/>
        <v>1.1706357153022127E-2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2968.15</v>
      </c>
      <c r="E25" s="2"/>
      <c r="F25" s="7">
        <f t="shared" si="4"/>
        <v>0</v>
      </c>
      <c r="G25" s="2"/>
      <c r="H25" s="6">
        <v>1826.5076923076899</v>
      </c>
      <c r="I25" s="2"/>
      <c r="J25" s="7">
        <f t="shared" si="5"/>
        <v>0</v>
      </c>
      <c r="K25" s="2"/>
      <c r="L25" s="6">
        <f t="shared" si="6"/>
        <v>1141.6423076923102</v>
      </c>
      <c r="M25" s="2"/>
      <c r="N25" s="7">
        <f t="shared" si="7"/>
        <v>0.62504106196777587</v>
      </c>
      <c r="O25" s="11"/>
      <c r="P25" s="6">
        <v>27564.58</v>
      </c>
      <c r="Q25" s="2"/>
      <c r="R25" s="7">
        <f t="shared" si="8"/>
        <v>0</v>
      </c>
      <c r="S25" s="2"/>
      <c r="T25" s="6">
        <v>23744.6</v>
      </c>
      <c r="U25" s="2"/>
      <c r="V25" s="7">
        <f t="shared" si="9"/>
        <v>0</v>
      </c>
      <c r="W25" s="2"/>
      <c r="X25" s="6">
        <f t="shared" si="10"/>
        <v>3819.9800000000032</v>
      </c>
      <c r="Y25" s="2"/>
      <c r="Z25" s="7">
        <f t="shared" si="11"/>
        <v>0.16087784169874428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1606.1</v>
      </c>
      <c r="E27" s="2"/>
      <c r="F27" s="7">
        <f t="shared" si="4"/>
        <v>0</v>
      </c>
      <c r="G27" s="2"/>
      <c r="H27" s="6">
        <v>1061.9230769230801</v>
      </c>
      <c r="I27" s="2"/>
      <c r="J27" s="7">
        <f t="shared" si="5"/>
        <v>0</v>
      </c>
      <c r="K27" s="2"/>
      <c r="L27" s="6">
        <f t="shared" si="6"/>
        <v>544.17692307691982</v>
      </c>
      <c r="M27" s="2"/>
      <c r="N27" s="7">
        <f t="shared" si="7"/>
        <v>0.51244476638898495</v>
      </c>
      <c r="O27" s="11"/>
      <c r="P27" s="6">
        <v>20537.32</v>
      </c>
      <c r="Q27" s="2"/>
      <c r="R27" s="7">
        <f t="shared" si="8"/>
        <v>0</v>
      </c>
      <c r="S27" s="2"/>
      <c r="T27" s="6">
        <v>13805</v>
      </c>
      <c r="U27" s="2"/>
      <c r="V27" s="7">
        <f t="shared" si="9"/>
        <v>0</v>
      </c>
      <c r="W27" s="2"/>
      <c r="X27" s="6">
        <f t="shared" si="10"/>
        <v>6732.32</v>
      </c>
      <c r="Y27" s="2"/>
      <c r="Z27" s="7">
        <f t="shared" si="11"/>
        <v>0.48767258239768196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979.42</v>
      </c>
      <c r="E28" s="2"/>
      <c r="F28" s="7">
        <f t="shared" si="4"/>
        <v>0</v>
      </c>
      <c r="G28" s="2"/>
      <c r="H28" s="6">
        <v>1061.9230769230801</v>
      </c>
      <c r="I28" s="2"/>
      <c r="J28" s="7">
        <f t="shared" si="5"/>
        <v>0</v>
      </c>
      <c r="K28" s="2"/>
      <c r="L28" s="6">
        <f t="shared" si="6"/>
        <v>-82.50307692308013</v>
      </c>
      <c r="M28" s="2"/>
      <c r="N28" s="7">
        <f t="shared" si="7"/>
        <v>-7.7692140528796708E-2</v>
      </c>
      <c r="O28" s="11"/>
      <c r="P28" s="6">
        <v>12732.46</v>
      </c>
      <c r="Q28" s="2"/>
      <c r="R28" s="7">
        <f t="shared" si="8"/>
        <v>0</v>
      </c>
      <c r="S28" s="2"/>
      <c r="T28" s="6">
        <v>13805</v>
      </c>
      <c r="U28" s="2"/>
      <c r="V28" s="7">
        <f t="shared" si="9"/>
        <v>0</v>
      </c>
      <c r="W28" s="2"/>
      <c r="X28" s="6">
        <f t="shared" si="10"/>
        <v>-1072.5400000000009</v>
      </c>
      <c r="Y28" s="2"/>
      <c r="Z28" s="7">
        <f t="shared" si="11"/>
        <v>-7.7692140528793974E-2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366.86</v>
      </c>
      <c r="E29" s="2"/>
      <c r="F29" s="7">
        <f t="shared" si="4"/>
        <v>0</v>
      </c>
      <c r="G29" s="2"/>
      <c r="H29" s="6">
        <v>700</v>
      </c>
      <c r="I29" s="2"/>
      <c r="J29" s="7">
        <f t="shared" si="5"/>
        <v>0</v>
      </c>
      <c r="K29" s="2"/>
      <c r="L29" s="6">
        <f t="shared" si="6"/>
        <v>-333.14</v>
      </c>
      <c r="M29" s="2"/>
      <c r="N29" s="7">
        <f t="shared" si="7"/>
        <v>-0.47591428571428568</v>
      </c>
      <c r="O29" s="11"/>
      <c r="P29" s="6">
        <v>3108.98</v>
      </c>
      <c r="Q29" s="2"/>
      <c r="R29" s="7">
        <f t="shared" si="8"/>
        <v>0</v>
      </c>
      <c r="S29" s="2"/>
      <c r="T29" s="6">
        <v>7320</v>
      </c>
      <c r="U29" s="2"/>
      <c r="V29" s="7">
        <f t="shared" si="9"/>
        <v>0</v>
      </c>
      <c r="W29" s="2"/>
      <c r="X29" s="6">
        <f t="shared" si="10"/>
        <v>-4211.0200000000004</v>
      </c>
      <c r="Y29" s="2"/>
      <c r="Z29" s="7">
        <f t="shared" si="11"/>
        <v>-0.57527595628415307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19926.53</v>
      </c>
      <c r="E30" s="1"/>
      <c r="F30" s="5">
        <f t="shared" ref="F30:F40" si="12">IF(D$12=0,0,D30/D$12)</f>
        <v>0</v>
      </c>
      <c r="G30" s="1"/>
      <c r="H30" s="1">
        <f>SUM(OSRRefH22_1x_0)</f>
        <v>20237.815384615431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-311.28538461543212</v>
      </c>
      <c r="M30" s="1"/>
      <c r="N30" s="5">
        <f t="shared" ref="N30:N40" si="15">IF(H30=0,0,L30/H30)</f>
        <v>-1.5381372875457096E-2</v>
      </c>
      <c r="O30" s="13"/>
      <c r="P30" s="1">
        <f>SUM(OSRRefP22_1x_0)</f>
        <v>254105.55000000002</v>
      </c>
      <c r="Q30" s="1"/>
      <c r="R30" s="5">
        <f t="shared" ref="R30:R40" si="16">IF(P$12=0,0,P30/P$12)</f>
        <v>0</v>
      </c>
      <c r="S30" s="1"/>
      <c r="T30" s="1">
        <f>SUM(OSRRefT22_1x_0)</f>
        <v>261250.8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-7145.2499999999709</v>
      </c>
      <c r="Y30" s="1"/>
      <c r="Z30" s="5">
        <f t="shared" ref="Z30:Z40" si="19">IF(T30=0,0,X30/T30)</f>
        <v>-2.7350155482777357E-2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5420.7692307692296</v>
      </c>
      <c r="I31" s="2"/>
      <c r="J31" s="7">
        <f t="shared" si="13"/>
        <v>0</v>
      </c>
      <c r="K31" s="2"/>
      <c r="L31" s="6">
        <f t="shared" si="14"/>
        <v>-5420.7692307692296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70470</v>
      </c>
      <c r="U31" s="2"/>
      <c r="V31" s="7">
        <f t="shared" si="17"/>
        <v>0</v>
      </c>
      <c r="W31" s="2"/>
      <c r="X31" s="6">
        <f t="shared" si="18"/>
        <v>-70470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19926.53</v>
      </c>
      <c r="E32" s="2"/>
      <c r="F32" s="7">
        <f t="shared" si="12"/>
        <v>0</v>
      </c>
      <c r="G32" s="2"/>
      <c r="H32" s="6">
        <v>13693.8461538462</v>
      </c>
      <c r="I32" s="2"/>
      <c r="J32" s="7">
        <f t="shared" si="13"/>
        <v>0</v>
      </c>
      <c r="K32" s="2"/>
      <c r="L32" s="6">
        <f t="shared" si="14"/>
        <v>6232.6838461537991</v>
      </c>
      <c r="M32" s="2"/>
      <c r="N32" s="7">
        <f t="shared" si="15"/>
        <v>0.45514487136276327</v>
      </c>
      <c r="O32" s="11"/>
      <c r="P32" s="6">
        <v>253723.79</v>
      </c>
      <c r="Q32" s="2"/>
      <c r="R32" s="7">
        <f t="shared" si="16"/>
        <v>0</v>
      </c>
      <c r="S32" s="2"/>
      <c r="T32" s="6">
        <v>178020</v>
      </c>
      <c r="U32" s="2"/>
      <c r="V32" s="7">
        <f t="shared" si="17"/>
        <v>0</v>
      </c>
      <c r="W32" s="2"/>
      <c r="X32" s="6">
        <f t="shared" si="18"/>
        <v>75703.790000000008</v>
      </c>
      <c r="Y32" s="2"/>
      <c r="Z32" s="7">
        <f t="shared" si="19"/>
        <v>0.42525440961689703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>
        <v>265.48</v>
      </c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265.48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>
        <v>116.28</v>
      </c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116.28</v>
      </c>
      <c r="Y37" s="2"/>
      <c r="Z37" s="7">
        <f t="shared" si="19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1123.2</v>
      </c>
      <c r="I38" s="2"/>
      <c r="J38" s="7">
        <f t="shared" si="13"/>
        <v>0</v>
      </c>
      <c r="K38" s="2"/>
      <c r="L38" s="6">
        <f t="shared" si="14"/>
        <v>-1123.2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12760.8</v>
      </c>
      <c r="U38" s="2"/>
      <c r="V38" s="7">
        <f t="shared" si="17"/>
        <v>0</v>
      </c>
      <c r="W38" s="2"/>
      <c r="X38" s="6">
        <f t="shared" si="18"/>
        <v>-12760.8</v>
      </c>
      <c r="Y38" s="2"/>
      <c r="Z38" s="7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5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SUM(OSRRefD22_2x_0)</f>
        <v>1558.82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-0.18000000000006366</v>
      </c>
      <c r="M41" s="1"/>
      <c r="N41" s="5">
        <f t="shared" ref="N41:N47" si="23">IF(H41=0,0,L41/H41)</f>
        <v>-1.154586273252493E-4</v>
      </c>
      <c r="O41" s="13"/>
      <c r="P41" s="1">
        <f>SUM(OSRRefP22_2x_0)</f>
        <v>18706.5</v>
      </c>
      <c r="Q41" s="1"/>
      <c r="R41" s="5">
        <f t="shared" ref="R41:R47" si="24">IF(P$12=0,0,P41/P$12)</f>
        <v>0</v>
      </c>
      <c r="S41" s="1"/>
      <c r="T41" s="1">
        <f>SUM(OSRRefT22_2x_0)</f>
        <v>18708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-1.5</v>
      </c>
      <c r="Y41" s="1"/>
      <c r="Z41" s="5">
        <f t="shared" ref="Z41:Z47" si="27">IF(T41=0,0,X41/T41)</f>
        <v>-8.0179602309172541E-5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1558.82</v>
      </c>
      <c r="E42" s="2"/>
      <c r="F42" s="7">
        <f t="shared" si="20"/>
        <v>0</v>
      </c>
      <c r="G42" s="2"/>
      <c r="H42" s="6">
        <v>1559</v>
      </c>
      <c r="I42" s="2"/>
      <c r="J42" s="7">
        <f t="shared" si="21"/>
        <v>0</v>
      </c>
      <c r="K42" s="2"/>
      <c r="L42" s="6">
        <f t="shared" si="22"/>
        <v>-0.18000000000006366</v>
      </c>
      <c r="M42" s="2"/>
      <c r="N42" s="7">
        <f t="shared" si="23"/>
        <v>-1.154586273252493E-4</v>
      </c>
      <c r="O42" s="11"/>
      <c r="P42" s="6">
        <v>18706.5</v>
      </c>
      <c r="Q42" s="2"/>
      <c r="R42" s="7">
        <f t="shared" si="24"/>
        <v>0</v>
      </c>
      <c r="S42" s="2"/>
      <c r="T42" s="6">
        <v>18708</v>
      </c>
      <c r="U42" s="2"/>
      <c r="V42" s="7">
        <f t="shared" si="25"/>
        <v>0</v>
      </c>
      <c r="W42" s="2"/>
      <c r="X42" s="6">
        <f t="shared" si="26"/>
        <v>-1.5</v>
      </c>
      <c r="Y42" s="2"/>
      <c r="Z42" s="7">
        <f t="shared" si="27"/>
        <v>-8.0179602309172541E-5</v>
      </c>
    </row>
    <row r="43" spans="1:26" s="27" customFormat="1" outlineLevel="1" collapsed="1" x14ac:dyDescent="0.25">
      <c r="A43" s="25"/>
      <c r="B43" s="13" t="str">
        <f>CONCATENATE("     ","Equipment Rental                                  ")</f>
        <v xml:space="preserve">     Equipment Rental                                  </v>
      </c>
      <c r="C43" s="13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3"/>
      <c r="P43" s="1">
        <f>SUM(OSRRefP22_3x_0)</f>
        <v>1095.1199999999999</v>
      </c>
      <c r="Q43" s="1"/>
      <c r="R43" s="5">
        <f t="shared" si="24"/>
        <v>0</v>
      </c>
      <c r="S43" s="1"/>
      <c r="T43" s="1">
        <f>SUM(OSRRefT22_3x_0)</f>
        <v>1092</v>
      </c>
      <c r="U43" s="1"/>
      <c r="V43" s="5">
        <f t="shared" si="25"/>
        <v>0</v>
      </c>
      <c r="W43" s="1"/>
      <c r="X43" s="1">
        <f t="shared" si="26"/>
        <v>3.1199999999998909</v>
      </c>
      <c r="Y43" s="1"/>
      <c r="Z43" s="5">
        <f t="shared" si="27"/>
        <v>2.8571428571427574E-3</v>
      </c>
    </row>
    <row r="44" spans="1:26" s="24" customFormat="1" hidden="1" outlineLevel="2" x14ac:dyDescent="0.25">
      <c r="A44" s="26"/>
      <c r="B44" s="11" t="str">
        <f>CONCATENATE("          ", "6351", " - ", "EQUIPMENT RENTAL")</f>
        <v xml:space="preserve">          6351 - EQUIPMENT RENTAL</v>
      </c>
      <c r="C44" s="11"/>
      <c r="D44" s="6">
        <v>91.26</v>
      </c>
      <c r="E44" s="2"/>
      <c r="F44" s="7">
        <f t="shared" si="20"/>
        <v>0</v>
      </c>
      <c r="G44" s="2"/>
      <c r="H44" s="6">
        <v>91</v>
      </c>
      <c r="I44" s="2"/>
      <c r="J44" s="7">
        <f t="shared" si="21"/>
        <v>0</v>
      </c>
      <c r="K44" s="2"/>
      <c r="L44" s="6">
        <f t="shared" si="22"/>
        <v>0.26000000000000512</v>
      </c>
      <c r="M44" s="2"/>
      <c r="N44" s="7">
        <f t="shared" si="23"/>
        <v>2.8571428571429135E-3</v>
      </c>
      <c r="O44" s="11"/>
      <c r="P44" s="6">
        <v>1095.1199999999999</v>
      </c>
      <c r="Q44" s="2"/>
      <c r="R44" s="7">
        <f t="shared" si="24"/>
        <v>0</v>
      </c>
      <c r="S44" s="2"/>
      <c r="T44" s="6">
        <v>1092</v>
      </c>
      <c r="U44" s="2"/>
      <c r="V44" s="7">
        <f t="shared" si="25"/>
        <v>0</v>
      </c>
      <c r="W44" s="2"/>
      <c r="X44" s="6">
        <f t="shared" si="26"/>
        <v>3.1199999999998909</v>
      </c>
      <c r="Y44" s="2"/>
      <c r="Z44" s="7">
        <f t="shared" si="27"/>
        <v>2.8571428571427574E-3</v>
      </c>
    </row>
    <row r="45" spans="1:26" s="27" customFormat="1" outlineLevel="1" collapsed="1" x14ac:dyDescent="0.25">
      <c r="A45" s="25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82.62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-17.379999999999995</v>
      </c>
      <c r="M45" s="1"/>
      <c r="N45" s="5">
        <f t="shared" si="23"/>
        <v>-0.17379999999999995</v>
      </c>
      <c r="O45" s="13"/>
      <c r="P45" s="1">
        <f>SUM(OSRRefP22_4x_0)</f>
        <v>1066.93</v>
      </c>
      <c r="Q45" s="1"/>
      <c r="R45" s="5">
        <f t="shared" si="24"/>
        <v>0</v>
      </c>
      <c r="S45" s="1"/>
      <c r="T45" s="1">
        <f>SUM(OSRRefT22_4x_0)</f>
        <v>1200</v>
      </c>
      <c r="U45" s="1"/>
      <c r="V45" s="5">
        <f t="shared" si="25"/>
        <v>0</v>
      </c>
      <c r="W45" s="1"/>
      <c r="X45" s="1">
        <f t="shared" si="26"/>
        <v>-133.06999999999994</v>
      </c>
      <c r="Y45" s="1"/>
      <c r="Z45" s="5">
        <f t="shared" si="27"/>
        <v>-0.11089166666666661</v>
      </c>
    </row>
    <row r="46" spans="1:26" s="24" customFormat="1" hidden="1" outlineLevel="2" x14ac:dyDescent="0.25">
      <c r="A46" s="26"/>
      <c r="B46" s="11" t="str">
        <f>CONCATENATE("          ", "6305", " - ", "FREIGHT OUT")</f>
        <v xml:space="preserve">          6305 - FREIGHT OUT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5.41</v>
      </c>
      <c r="Q46" s="2"/>
      <c r="R46" s="7">
        <f t="shared" si="24"/>
        <v>0</v>
      </c>
      <c r="S46" s="2"/>
      <c r="T46" s="6"/>
      <c r="U46" s="2"/>
      <c r="V46" s="7">
        <f t="shared" si="25"/>
        <v>0</v>
      </c>
      <c r="W46" s="2"/>
      <c r="X46" s="6">
        <f t="shared" si="26"/>
        <v>5.41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6">
        <v>82.62</v>
      </c>
      <c r="E47" s="2"/>
      <c r="F47" s="7">
        <f t="shared" si="20"/>
        <v>0</v>
      </c>
      <c r="G47" s="2"/>
      <c r="H47" s="6">
        <v>100</v>
      </c>
      <c r="I47" s="2"/>
      <c r="J47" s="7">
        <f t="shared" si="21"/>
        <v>0</v>
      </c>
      <c r="K47" s="2"/>
      <c r="L47" s="6">
        <f t="shared" si="22"/>
        <v>-17.379999999999995</v>
      </c>
      <c r="M47" s="2"/>
      <c r="N47" s="7">
        <f t="shared" si="23"/>
        <v>-0.17379999999999995</v>
      </c>
      <c r="O47" s="11"/>
      <c r="P47" s="6">
        <v>1061.52</v>
      </c>
      <c r="Q47" s="2"/>
      <c r="R47" s="7">
        <f t="shared" si="24"/>
        <v>0</v>
      </c>
      <c r="S47" s="2"/>
      <c r="T47" s="6">
        <v>1200</v>
      </c>
      <c r="U47" s="2"/>
      <c r="V47" s="7">
        <f t="shared" si="25"/>
        <v>0</v>
      </c>
      <c r="W47" s="2"/>
      <c r="X47" s="6">
        <f t="shared" si="26"/>
        <v>-138.48000000000002</v>
      </c>
      <c r="Y47" s="2"/>
      <c r="Z47" s="7">
        <f t="shared" si="27"/>
        <v>-0.11540000000000002</v>
      </c>
    </row>
    <row r="48" spans="1:26" s="27" customFormat="1" outlineLevel="1" collapsed="1" x14ac:dyDescent="0.25">
      <c r="A48" s="25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SUM(OSRRefD22_5x_0)</f>
        <v>283.75</v>
      </c>
      <c r="E48" s="1"/>
      <c r="F48" s="5">
        <f t="shared" ref="F48:F55" si="28">IF(D$12=0,0,D48/D$12)</f>
        <v>0</v>
      </c>
      <c r="G48" s="1"/>
      <c r="H48" s="1">
        <f>SUM(OSRRefH22_5x_0)</f>
        <v>145</v>
      </c>
      <c r="I48" s="1"/>
      <c r="J48" s="5">
        <f t="shared" ref="J48:J55" si="29">IF(H$12=0,0,H48/H$12)</f>
        <v>0</v>
      </c>
      <c r="K48" s="1"/>
      <c r="L48" s="1">
        <f t="shared" ref="L48:L55" si="30">+D48-H48</f>
        <v>138.75</v>
      </c>
      <c r="M48" s="1"/>
      <c r="N48" s="5">
        <f t="shared" ref="N48:N55" si="31">IF(H48=0,0,L48/H48)</f>
        <v>0.9568965517241379</v>
      </c>
      <c r="O48" s="13"/>
      <c r="P48" s="1">
        <f>SUM(OSRRefP22_5x_0)</f>
        <v>1737.62</v>
      </c>
      <c r="Q48" s="1"/>
      <c r="R48" s="5">
        <f t="shared" ref="R48:R55" si="32">IF(P$12=0,0,P48/P$12)</f>
        <v>0</v>
      </c>
      <c r="S48" s="1"/>
      <c r="T48" s="1">
        <f>SUM(OSRRefT22_5x_0)</f>
        <v>1740</v>
      </c>
      <c r="U48" s="1"/>
      <c r="V48" s="5">
        <f t="shared" ref="V48:V55" si="33">IF(T$12=0,0,T48/T$12)</f>
        <v>0</v>
      </c>
      <c r="W48" s="1"/>
      <c r="X48" s="1">
        <f t="shared" ref="X48:X55" si="34">+P48-T48</f>
        <v>-2.3800000000001091</v>
      </c>
      <c r="Y48" s="1"/>
      <c r="Z48" s="5">
        <f t="shared" ref="Z48:Z55" si="35">IF(T48=0,0,X48/T48)</f>
        <v>-1.3678160919540856E-3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6">
        <v>283.75</v>
      </c>
      <c r="E49" s="2"/>
      <c r="F49" s="7">
        <f t="shared" si="28"/>
        <v>0</v>
      </c>
      <c r="G49" s="2"/>
      <c r="H49" s="6">
        <v>145</v>
      </c>
      <c r="I49" s="2"/>
      <c r="J49" s="7">
        <f t="shared" si="29"/>
        <v>0</v>
      </c>
      <c r="K49" s="2"/>
      <c r="L49" s="6">
        <f t="shared" si="30"/>
        <v>138.75</v>
      </c>
      <c r="M49" s="2"/>
      <c r="N49" s="7">
        <f t="shared" si="31"/>
        <v>0.9568965517241379</v>
      </c>
      <c r="O49" s="11"/>
      <c r="P49" s="6">
        <v>1737.62</v>
      </c>
      <c r="Q49" s="2"/>
      <c r="R49" s="7">
        <f t="shared" si="32"/>
        <v>0</v>
      </c>
      <c r="S49" s="2"/>
      <c r="T49" s="6">
        <v>1740</v>
      </c>
      <c r="U49" s="2"/>
      <c r="V49" s="7">
        <f t="shared" si="33"/>
        <v>0</v>
      </c>
      <c r="W49" s="2"/>
      <c r="X49" s="6">
        <f t="shared" si="34"/>
        <v>-2.3800000000001091</v>
      </c>
      <c r="Y49" s="2"/>
      <c r="Z49" s="7">
        <f t="shared" si="35"/>
        <v>-1.3678160919540856E-3</v>
      </c>
    </row>
    <row r="50" spans="1:26" s="27" customFormat="1" outlineLevel="1" collapsed="1" x14ac:dyDescent="0.25">
      <c r="A50" s="25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3000</v>
      </c>
      <c r="U50" s="1"/>
      <c r="V50" s="5">
        <f t="shared" si="33"/>
        <v>0</v>
      </c>
      <c r="W50" s="1"/>
      <c r="X50" s="1">
        <f t="shared" si="34"/>
        <v>-3000</v>
      </c>
      <c r="Y50" s="1"/>
      <c r="Z50" s="5">
        <f t="shared" si="35"/>
        <v>-1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28"/>
        <v>0</v>
      </c>
      <c r="G51" s="2"/>
      <c r="H51" s="6">
        <v>250</v>
      </c>
      <c r="I51" s="2"/>
      <c r="J51" s="7">
        <f t="shared" si="29"/>
        <v>0</v>
      </c>
      <c r="K51" s="2"/>
      <c r="L51" s="6">
        <f t="shared" si="30"/>
        <v>-250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3000</v>
      </c>
      <c r="U51" s="2"/>
      <c r="V51" s="7">
        <f t="shared" si="33"/>
        <v>0</v>
      </c>
      <c r="W51" s="2"/>
      <c r="X51" s="6">
        <f t="shared" si="34"/>
        <v>-3000</v>
      </c>
      <c r="Y51" s="2"/>
      <c r="Z51" s="7">
        <f t="shared" si="35"/>
        <v>-1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316.14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256.14</v>
      </c>
      <c r="M52" s="1"/>
      <c r="N52" s="5">
        <f t="shared" si="31"/>
        <v>4.2690000000000001</v>
      </c>
      <c r="O52" s="13"/>
      <c r="P52" s="1">
        <f>SUM(OSRRefP22_7x_0)</f>
        <v>38029.07</v>
      </c>
      <c r="Q52" s="1"/>
      <c r="R52" s="5">
        <f t="shared" si="32"/>
        <v>0</v>
      </c>
      <c r="S52" s="1"/>
      <c r="T52" s="1">
        <f>SUM(OSRRefT22_7x_0)</f>
        <v>31570</v>
      </c>
      <c r="U52" s="1"/>
      <c r="V52" s="5">
        <f t="shared" si="33"/>
        <v>0</v>
      </c>
      <c r="W52" s="1"/>
      <c r="X52" s="1">
        <f t="shared" si="34"/>
        <v>6459.07</v>
      </c>
      <c r="Y52" s="1"/>
      <c r="Z52" s="5">
        <f t="shared" si="35"/>
        <v>0.20459518530250237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307.45</v>
      </c>
      <c r="E53" s="2"/>
      <c r="F53" s="7">
        <f t="shared" si="28"/>
        <v>0</v>
      </c>
      <c r="G53" s="2"/>
      <c r="H53" s="6">
        <v>60</v>
      </c>
      <c r="I53" s="2"/>
      <c r="J53" s="7">
        <f t="shared" si="29"/>
        <v>0</v>
      </c>
      <c r="K53" s="2"/>
      <c r="L53" s="6">
        <f t="shared" si="30"/>
        <v>247.45</v>
      </c>
      <c r="M53" s="2"/>
      <c r="N53" s="7">
        <f t="shared" si="31"/>
        <v>4.1241666666666665</v>
      </c>
      <c r="O53" s="11"/>
      <c r="P53" s="6">
        <v>32660.82</v>
      </c>
      <c r="Q53" s="2"/>
      <c r="R53" s="7">
        <f t="shared" si="32"/>
        <v>0</v>
      </c>
      <c r="S53" s="2"/>
      <c r="T53" s="6">
        <v>27120</v>
      </c>
      <c r="U53" s="2"/>
      <c r="V53" s="7">
        <f t="shared" si="33"/>
        <v>0</v>
      </c>
      <c r="W53" s="2"/>
      <c r="X53" s="6">
        <f t="shared" si="34"/>
        <v>5540.82</v>
      </c>
      <c r="Y53" s="2"/>
      <c r="Z53" s="7">
        <f t="shared" si="35"/>
        <v>0.2043075221238938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>
        <v>8.69</v>
      </c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8.69</v>
      </c>
      <c r="M54" s="2"/>
      <c r="N54" s="7">
        <f t="shared" si="31"/>
        <v>0</v>
      </c>
      <c r="O54" s="11"/>
      <c r="P54" s="6">
        <v>5191.1099999999997</v>
      </c>
      <c r="Q54" s="2"/>
      <c r="R54" s="7">
        <f t="shared" si="32"/>
        <v>0</v>
      </c>
      <c r="S54" s="2"/>
      <c r="T54" s="6">
        <v>4450</v>
      </c>
      <c r="U54" s="2"/>
      <c r="V54" s="7">
        <f t="shared" si="33"/>
        <v>0</v>
      </c>
      <c r="W54" s="2"/>
      <c r="X54" s="6">
        <f t="shared" si="34"/>
        <v>741.10999999999967</v>
      </c>
      <c r="Y54" s="2"/>
      <c r="Z54" s="7">
        <f t="shared" si="35"/>
        <v>0.16654157303370778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177.14</v>
      </c>
      <c r="Q55" s="2"/>
      <c r="R55" s="7">
        <f t="shared" si="32"/>
        <v>0</v>
      </c>
      <c r="S55" s="2"/>
      <c r="T55" s="6"/>
      <c r="U55" s="2"/>
      <c r="V55" s="7">
        <f t="shared" si="33"/>
        <v>0</v>
      </c>
      <c r="W55" s="2"/>
      <c r="X55" s="6">
        <f t="shared" si="34"/>
        <v>177.14</v>
      </c>
      <c r="Y55" s="2"/>
      <c r="Z55" s="7">
        <f t="shared" si="35"/>
        <v>0</v>
      </c>
    </row>
    <row r="56" spans="1:26" s="27" customFormat="1" outlineLevel="1" collapsed="1" x14ac:dyDescent="0.25">
      <c r="A56" s="25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SUM(OSRRefD22_8x_0)</f>
        <v>1242.68</v>
      </c>
      <c r="E56" s="1"/>
      <c r="F56" s="5">
        <f t="shared" ref="F56:F61" si="36">IF(D$12=0,0,D56/D$12)</f>
        <v>0</v>
      </c>
      <c r="G56" s="1"/>
      <c r="H56" s="1">
        <f>SUM(OSRRefH22_8x_0)</f>
        <v>500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742.68000000000006</v>
      </c>
      <c r="M56" s="1"/>
      <c r="N56" s="5">
        <f t="shared" ref="N56:N61" si="39">IF(H56=0,0,L56/H56)</f>
        <v>1.4853600000000002</v>
      </c>
      <c r="O56" s="13"/>
      <c r="P56" s="1">
        <f>SUM(OSRRefP22_8x_0)</f>
        <v>7444.36</v>
      </c>
      <c r="Q56" s="1"/>
      <c r="R56" s="5">
        <f t="shared" ref="R56:R61" si="40">IF(P$12=0,0,P56/P$12)</f>
        <v>0</v>
      </c>
      <c r="S56" s="1"/>
      <c r="T56" s="1">
        <f>SUM(OSRRefT22_8x_0)</f>
        <v>6000</v>
      </c>
      <c r="U56" s="1"/>
      <c r="V56" s="5">
        <f t="shared" ref="V56:V61" si="41">IF(T$12=0,0,T56/T$12)</f>
        <v>0</v>
      </c>
      <c r="W56" s="1"/>
      <c r="X56" s="1">
        <f t="shared" ref="X56:X61" si="42">+P56-T56</f>
        <v>1444.3599999999997</v>
      </c>
      <c r="Y56" s="1"/>
      <c r="Z56" s="5">
        <f t="shared" ref="Z56:Z61" si="43">IF(T56=0,0,X56/T56)</f>
        <v>0.24072666666666662</v>
      </c>
    </row>
    <row r="57" spans="1:26" s="24" customFormat="1" hidden="1" outlineLevel="2" x14ac:dyDescent="0.25">
      <c r="A57" s="26"/>
      <c r="B57" s="11" t="str">
        <f>CONCATENATE("          ", "6281", " - ", "STORAGE FEE")</f>
        <v xml:space="preserve">          6281 - STORAGE FEE</v>
      </c>
      <c r="C57" s="11"/>
      <c r="D57" s="6">
        <v>1242.68</v>
      </c>
      <c r="E57" s="2"/>
      <c r="F57" s="7">
        <f t="shared" si="36"/>
        <v>0</v>
      </c>
      <c r="G57" s="2"/>
      <c r="H57" s="6">
        <v>500</v>
      </c>
      <c r="I57" s="2"/>
      <c r="J57" s="7">
        <f t="shared" si="37"/>
        <v>0</v>
      </c>
      <c r="K57" s="2"/>
      <c r="L57" s="6">
        <f t="shared" si="38"/>
        <v>742.68000000000006</v>
      </c>
      <c r="M57" s="2"/>
      <c r="N57" s="7">
        <f t="shared" si="39"/>
        <v>1.4853600000000002</v>
      </c>
      <c r="O57" s="11"/>
      <c r="P57" s="6">
        <v>7444.36</v>
      </c>
      <c r="Q57" s="2"/>
      <c r="R57" s="7">
        <f t="shared" si="40"/>
        <v>0</v>
      </c>
      <c r="S57" s="2"/>
      <c r="T57" s="6">
        <v>6000</v>
      </c>
      <c r="U57" s="2"/>
      <c r="V57" s="7">
        <f t="shared" si="41"/>
        <v>0</v>
      </c>
      <c r="W57" s="2"/>
      <c r="X57" s="6">
        <f t="shared" si="42"/>
        <v>1444.3599999999997</v>
      </c>
      <c r="Y57" s="2"/>
      <c r="Z57" s="7">
        <f t="shared" si="43"/>
        <v>0.24072666666666662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15.41</v>
      </c>
      <c r="E58" s="1"/>
      <c r="F58" s="5">
        <f t="shared" si="36"/>
        <v>0</v>
      </c>
      <c r="G58" s="1"/>
      <c r="H58" s="1">
        <f>SUM(OSRRefH22_9x_0)</f>
        <v>200</v>
      </c>
      <c r="I58" s="1"/>
      <c r="J58" s="5">
        <f t="shared" si="37"/>
        <v>0</v>
      </c>
      <c r="K58" s="1"/>
      <c r="L58" s="1">
        <f t="shared" si="38"/>
        <v>-184.59</v>
      </c>
      <c r="M58" s="1"/>
      <c r="N58" s="5">
        <f t="shared" si="39"/>
        <v>-0.92295000000000005</v>
      </c>
      <c r="O58" s="13"/>
      <c r="P58" s="1">
        <f>SUM(OSRRefP22_9x_0)</f>
        <v>2099.1</v>
      </c>
      <c r="Q58" s="1"/>
      <c r="R58" s="5">
        <f t="shared" si="40"/>
        <v>0</v>
      </c>
      <c r="S58" s="1"/>
      <c r="T58" s="1">
        <f>SUM(OSRRefT22_9x_0)</f>
        <v>11984</v>
      </c>
      <c r="U58" s="1"/>
      <c r="V58" s="5">
        <f t="shared" si="41"/>
        <v>0</v>
      </c>
      <c r="W58" s="1"/>
      <c r="X58" s="1">
        <f t="shared" si="42"/>
        <v>-9884.9</v>
      </c>
      <c r="Y58" s="1"/>
      <c r="Z58" s="5">
        <f t="shared" si="43"/>
        <v>-0.82484145527369823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/>
      <c r="Q59" s="2"/>
      <c r="R59" s="7">
        <f t="shared" si="40"/>
        <v>0</v>
      </c>
      <c r="S59" s="2"/>
      <c r="T59" s="6">
        <v>9584</v>
      </c>
      <c r="U59" s="2"/>
      <c r="V59" s="7">
        <f t="shared" si="41"/>
        <v>0</v>
      </c>
      <c r="W59" s="2"/>
      <c r="X59" s="6">
        <f t="shared" si="42"/>
        <v>-9584</v>
      </c>
      <c r="Y59" s="2"/>
      <c r="Z59" s="7">
        <f t="shared" si="43"/>
        <v>-1</v>
      </c>
    </row>
    <row r="60" spans="1:26" s="24" customFormat="1" hidden="1" outlineLevel="2" x14ac:dyDescent="0.25">
      <c r="A60" s="26"/>
      <c r="B60" s="11" t="str">
        <f>CONCATENATE("          ", "6235", " - ", "COVID-19 EXPENSES")</f>
        <v xml:space="preserve">          6235 - COVID-19 EXPENSES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426.66</v>
      </c>
      <c r="Q60" s="2"/>
      <c r="R60" s="7">
        <f t="shared" si="40"/>
        <v>0</v>
      </c>
      <c r="S60" s="2"/>
      <c r="T60" s="6"/>
      <c r="U60" s="2"/>
      <c r="V60" s="7">
        <f t="shared" si="41"/>
        <v>0</v>
      </c>
      <c r="W60" s="2"/>
      <c r="X60" s="6">
        <f t="shared" si="42"/>
        <v>426.66</v>
      </c>
      <c r="Y60" s="2"/>
      <c r="Z60" s="7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15.41</v>
      </c>
      <c r="E61" s="2"/>
      <c r="F61" s="7">
        <f t="shared" si="36"/>
        <v>0</v>
      </c>
      <c r="G61" s="2"/>
      <c r="H61" s="6">
        <v>200</v>
      </c>
      <c r="I61" s="2"/>
      <c r="J61" s="7">
        <f t="shared" si="37"/>
        <v>0</v>
      </c>
      <c r="K61" s="2"/>
      <c r="L61" s="6">
        <f t="shared" si="38"/>
        <v>-184.59</v>
      </c>
      <c r="M61" s="2"/>
      <c r="N61" s="7">
        <f t="shared" si="39"/>
        <v>-0.92295000000000005</v>
      </c>
      <c r="O61" s="11"/>
      <c r="P61" s="6">
        <v>1672.44</v>
      </c>
      <c r="Q61" s="2"/>
      <c r="R61" s="7">
        <f t="shared" si="40"/>
        <v>0</v>
      </c>
      <c r="S61" s="2"/>
      <c r="T61" s="6">
        <v>2400</v>
      </c>
      <c r="U61" s="2"/>
      <c r="V61" s="7">
        <f t="shared" si="41"/>
        <v>0</v>
      </c>
      <c r="W61" s="2"/>
      <c r="X61" s="6">
        <f t="shared" si="42"/>
        <v>-727.56</v>
      </c>
      <c r="Y61" s="2"/>
      <c r="Z61" s="7">
        <f t="shared" si="43"/>
        <v>-0.30314999999999998</v>
      </c>
    </row>
    <row r="62" spans="1:26" s="27" customFormat="1" outlineLevel="1" collapsed="1" x14ac:dyDescent="0.25">
      <c r="A62" s="25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495.6</v>
      </c>
      <c r="E62" s="1"/>
      <c r="F62" s="5">
        <f t="shared" ref="F62:F67" si="44">IF(D$12=0,0,D62/D$12)</f>
        <v>0</v>
      </c>
      <c r="G62" s="1"/>
      <c r="H62" s="1">
        <f>SUM(OSRRefH22_10x_0)</f>
        <v>375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120.60000000000002</v>
      </c>
      <c r="M62" s="1"/>
      <c r="N62" s="5">
        <f t="shared" ref="N62:N67" si="47">IF(H62=0,0,L62/H62)</f>
        <v>0.32160000000000005</v>
      </c>
      <c r="O62" s="13"/>
      <c r="P62" s="1">
        <f>SUM(OSRRefP22_10x_0)</f>
        <v>6068.93</v>
      </c>
      <c r="Q62" s="1"/>
      <c r="R62" s="5">
        <f t="shared" ref="R62:R67" si="48">IF(P$12=0,0,P62/P$12)</f>
        <v>0</v>
      </c>
      <c r="S62" s="1"/>
      <c r="T62" s="1">
        <f>SUM(OSRRefT22_10x_0)</f>
        <v>4500</v>
      </c>
      <c r="U62" s="1"/>
      <c r="V62" s="5">
        <f t="shared" ref="V62:V67" si="49">IF(T$12=0,0,T62/T$12)</f>
        <v>0</v>
      </c>
      <c r="W62" s="1"/>
      <c r="X62" s="1">
        <f t="shared" ref="X62:X67" si="50">+P62-T62</f>
        <v>1568.9300000000003</v>
      </c>
      <c r="Y62" s="1"/>
      <c r="Z62" s="5">
        <f t="shared" ref="Z62:Z67" si="51">IF(T62=0,0,X62/T62)</f>
        <v>0.34865111111111119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495.6</v>
      </c>
      <c r="E63" s="2"/>
      <c r="F63" s="7">
        <f t="shared" si="44"/>
        <v>0</v>
      </c>
      <c r="G63" s="2"/>
      <c r="H63" s="6">
        <v>375</v>
      </c>
      <c r="I63" s="2"/>
      <c r="J63" s="7">
        <f t="shared" si="45"/>
        <v>0</v>
      </c>
      <c r="K63" s="2"/>
      <c r="L63" s="6">
        <f t="shared" si="46"/>
        <v>120.60000000000002</v>
      </c>
      <c r="M63" s="2"/>
      <c r="N63" s="7">
        <f t="shared" si="47"/>
        <v>0.32160000000000005</v>
      </c>
      <c r="O63" s="11"/>
      <c r="P63" s="6">
        <v>6068.93</v>
      </c>
      <c r="Q63" s="2"/>
      <c r="R63" s="7">
        <f t="shared" si="48"/>
        <v>0</v>
      </c>
      <c r="S63" s="2"/>
      <c r="T63" s="6">
        <v>4500</v>
      </c>
      <c r="U63" s="2"/>
      <c r="V63" s="7">
        <f t="shared" si="49"/>
        <v>0</v>
      </c>
      <c r="W63" s="2"/>
      <c r="X63" s="6">
        <f t="shared" si="50"/>
        <v>1568.9300000000003</v>
      </c>
      <c r="Y63" s="2"/>
      <c r="Z63" s="7">
        <f t="shared" si="51"/>
        <v>0.34865111111111119</v>
      </c>
    </row>
    <row r="64" spans="1:26" s="27" customFormat="1" outlineLevel="1" collapsed="1" x14ac:dyDescent="0.25">
      <c r="A64" s="25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si="44"/>
        <v>0</v>
      </c>
      <c r="G64" s="1"/>
      <c r="H64" s="1">
        <f>SUM(OSRRefH22_11x_0)</f>
        <v>250</v>
      </c>
      <c r="I64" s="1"/>
      <c r="J64" s="5">
        <f t="shared" si="45"/>
        <v>0</v>
      </c>
      <c r="K64" s="1"/>
      <c r="L64" s="1">
        <f t="shared" si="46"/>
        <v>-250</v>
      </c>
      <c r="M64" s="1"/>
      <c r="N64" s="5">
        <f t="shared" si="47"/>
        <v>-1</v>
      </c>
      <c r="O64" s="13"/>
      <c r="P64" s="1">
        <f>SUM(OSRRefP22_11x_0)</f>
        <v>548</v>
      </c>
      <c r="Q64" s="1"/>
      <c r="R64" s="5">
        <f t="shared" si="48"/>
        <v>0</v>
      </c>
      <c r="S64" s="1"/>
      <c r="T64" s="1">
        <f>SUM(OSRRefT22_11x_0)</f>
        <v>2750</v>
      </c>
      <c r="U64" s="1"/>
      <c r="V64" s="5">
        <f t="shared" si="49"/>
        <v>0</v>
      </c>
      <c r="W64" s="1"/>
      <c r="X64" s="1">
        <f t="shared" si="50"/>
        <v>-2202</v>
      </c>
      <c r="Y64" s="1"/>
      <c r="Z64" s="5">
        <f t="shared" si="51"/>
        <v>-0.80072727272727273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4"/>
        <v>0</v>
      </c>
      <c r="G65" s="2"/>
      <c r="H65" s="6">
        <v>250</v>
      </c>
      <c r="I65" s="2"/>
      <c r="J65" s="7">
        <f t="shared" si="45"/>
        <v>0</v>
      </c>
      <c r="K65" s="2"/>
      <c r="L65" s="6">
        <f t="shared" si="46"/>
        <v>-250</v>
      </c>
      <c r="M65" s="2"/>
      <c r="N65" s="7">
        <f t="shared" si="47"/>
        <v>-1</v>
      </c>
      <c r="O65" s="11"/>
      <c r="P65" s="6">
        <v>548</v>
      </c>
      <c r="Q65" s="2"/>
      <c r="R65" s="7">
        <f t="shared" si="48"/>
        <v>0</v>
      </c>
      <c r="S65" s="2"/>
      <c r="T65" s="6">
        <v>2750</v>
      </c>
      <c r="U65" s="2"/>
      <c r="V65" s="7">
        <f t="shared" si="49"/>
        <v>0</v>
      </c>
      <c r="W65" s="2"/>
      <c r="X65" s="6">
        <f t="shared" si="50"/>
        <v>-2202</v>
      </c>
      <c r="Y65" s="2"/>
      <c r="Z65" s="7">
        <f t="shared" si="51"/>
        <v>-0.80072727272727273</v>
      </c>
    </row>
    <row r="66" spans="1:26" s="27" customFormat="1" outlineLevel="1" collapsed="1" x14ac:dyDescent="0.25">
      <c r="A66" s="25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4"/>
        <v>0</v>
      </c>
      <c r="G66" s="1"/>
      <c r="H66" s="1">
        <f>SUM(OSRRefH22_12x_0)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SUM(OSRRefP22_12x_0)</f>
        <v>88.72</v>
      </c>
      <c r="Q66" s="1"/>
      <c r="R66" s="5">
        <f t="shared" si="48"/>
        <v>0</v>
      </c>
      <c r="S66" s="1"/>
      <c r="T66" s="1">
        <f>SUM(OSRRefT22_12x_0)</f>
        <v>0</v>
      </c>
      <c r="U66" s="1"/>
      <c r="V66" s="5">
        <f t="shared" si="49"/>
        <v>0</v>
      </c>
      <c r="W66" s="1"/>
      <c r="X66" s="1">
        <f t="shared" si="50"/>
        <v>88.72</v>
      </c>
      <c r="Y66" s="1"/>
      <c r="Z66" s="5">
        <f t="shared" si="51"/>
        <v>0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88.72</v>
      </c>
      <c r="Q67" s="2"/>
      <c r="R67" s="7">
        <f t="shared" si="48"/>
        <v>0</v>
      </c>
      <c r="S67" s="2"/>
      <c r="T67" s="6"/>
      <c r="U67" s="2"/>
      <c r="V67" s="7">
        <f t="shared" si="49"/>
        <v>0</v>
      </c>
      <c r="W67" s="2"/>
      <c r="X67" s="6">
        <f t="shared" si="50"/>
        <v>88.72</v>
      </c>
      <c r="Y67" s="2"/>
      <c r="Z67" s="7">
        <f t="shared" si="51"/>
        <v>0</v>
      </c>
    </row>
    <row r="68" spans="1:26" s="61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293</v>
      </c>
      <c r="C69" s="10"/>
      <c r="D69" s="4">
        <f>SUM(OSRRefD25x_0)</f>
        <v>0</v>
      </c>
      <c r="E69" s="4"/>
      <c r="F69" s="12">
        <f t="shared" ref="F69:F72" si="52">IF(D$12=0,0,D69/D$12)</f>
        <v>0</v>
      </c>
      <c r="G69" s="4"/>
      <c r="H69" s="4">
        <f>SUM(OSRRefH25x_0)</f>
        <v>0</v>
      </c>
      <c r="I69" s="4"/>
      <c r="J69" s="12">
        <f t="shared" ref="J69:J72" si="53">IF(H$12=0,0,H69/H$12)</f>
        <v>0</v>
      </c>
      <c r="K69" s="4"/>
      <c r="L69" s="4">
        <f t="shared" ref="L69:L72" si="54">+D69-H69</f>
        <v>0</v>
      </c>
      <c r="M69" s="4"/>
      <c r="N69" s="12">
        <f t="shared" ref="N69:N72" si="55">IF(H69=0,0,L69/H69)</f>
        <v>0</v>
      </c>
      <c r="O69" s="10"/>
      <c r="P69" s="4">
        <f>SUM(OSRRefP25x_0)</f>
        <v>0</v>
      </c>
      <c r="Q69" s="4"/>
      <c r="R69" s="12">
        <f t="shared" ref="R69:R72" si="56">IF(P$12=0,0,P69/P$12)</f>
        <v>0</v>
      </c>
      <c r="S69" s="4"/>
      <c r="T69" s="4">
        <f>SUM(OSRRefT25x_0)</f>
        <v>0</v>
      </c>
      <c r="U69" s="4"/>
      <c r="V69" s="12">
        <f t="shared" ref="V69:V72" si="57">IF(T$12=0,0,T69/T$12)</f>
        <v>0</v>
      </c>
      <c r="W69" s="4"/>
      <c r="X69" s="4">
        <f t="shared" ref="X69:X72" si="58">+P69-T69</f>
        <v>0</v>
      </c>
      <c r="Y69" s="4"/>
      <c r="Z69" s="12">
        <f t="shared" ref="Z69:Z72" si="59">IF(T69=0,0,X69/T69)</f>
        <v>0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 t="shared" ref="D70:D72" si="60">0</f>
        <v>0</v>
      </c>
      <c r="E70" s="2"/>
      <c r="F70" s="19">
        <f t="shared" si="52"/>
        <v>0</v>
      </c>
      <c r="G70" s="2"/>
      <c r="H70" s="2"/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 t="shared" ref="P70:P72" si="61">0</f>
        <v>0</v>
      </c>
      <c r="Q70" s="2"/>
      <c r="R70" s="19">
        <f t="shared" si="56"/>
        <v>0</v>
      </c>
      <c r="S70" s="2"/>
      <c r="T70" s="2">
        <v>0</v>
      </c>
      <c r="U70" s="2"/>
      <c r="V70" s="19">
        <f t="shared" si="57"/>
        <v>0</v>
      </c>
      <c r="W70" s="2"/>
      <c r="X70" s="2">
        <f t="shared" si="58"/>
        <v>0</v>
      </c>
      <c r="Y70" s="2"/>
      <c r="Z70" s="19">
        <f t="shared" si="59"/>
        <v>0</v>
      </c>
    </row>
    <row r="71" spans="1:26" s="24" customFormat="1" hidden="1" outlineLevel="1" x14ac:dyDescent="0.25">
      <c r="A71" s="44"/>
      <c r="B71" s="11" t="str">
        <f>CONCATENATE("          ", "9151", " - ", "MISC. INCOME")</f>
        <v xml:space="preserve">          9151 - MISC. INCOME</v>
      </c>
      <c r="C71" s="11"/>
      <c r="D71" s="2">
        <f t="shared" si="60"/>
        <v>0</v>
      </c>
      <c r="E71" s="2"/>
      <c r="F71" s="19">
        <f t="shared" si="52"/>
        <v>0</v>
      </c>
      <c r="G71" s="2"/>
      <c r="H71" s="2"/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 t="shared" si="61"/>
        <v>0</v>
      </c>
      <c r="Q71" s="2"/>
      <c r="R71" s="19">
        <f t="shared" si="56"/>
        <v>0</v>
      </c>
      <c r="S71" s="2"/>
      <c r="T71" s="2">
        <v>0</v>
      </c>
      <c r="U71" s="2"/>
      <c r="V71" s="19">
        <f t="shared" si="57"/>
        <v>0</v>
      </c>
      <c r="W71" s="2"/>
      <c r="X71" s="2">
        <f t="shared" si="58"/>
        <v>0</v>
      </c>
      <c r="Y71" s="2"/>
      <c r="Z71" s="19">
        <f t="shared" si="59"/>
        <v>0</v>
      </c>
    </row>
    <row r="72" spans="1:26" s="24" customFormat="1" hidden="1" outlineLevel="1" x14ac:dyDescent="0.25">
      <c r="A72" s="44"/>
      <c r="B72" s="11" t="str">
        <f>CONCATENATE("          ", "9160", " - ", "MISC. INCOME")</f>
        <v xml:space="preserve">          9160 - MISC. INCOME</v>
      </c>
      <c r="C72" s="11"/>
      <c r="D72" s="2">
        <f t="shared" si="60"/>
        <v>0</v>
      </c>
      <c r="E72" s="2"/>
      <c r="F72" s="19">
        <f t="shared" si="52"/>
        <v>0</v>
      </c>
      <c r="G72" s="2"/>
      <c r="H72" s="2"/>
      <c r="I72" s="2"/>
      <c r="J72" s="19">
        <f t="shared" si="53"/>
        <v>0</v>
      </c>
      <c r="K72" s="2"/>
      <c r="L72" s="2">
        <f t="shared" si="54"/>
        <v>0</v>
      </c>
      <c r="M72" s="2"/>
      <c r="N72" s="19">
        <f t="shared" si="55"/>
        <v>0</v>
      </c>
      <c r="O72" s="11"/>
      <c r="P72" s="2">
        <f t="shared" si="61"/>
        <v>0</v>
      </c>
      <c r="Q72" s="2"/>
      <c r="R72" s="19">
        <f t="shared" si="56"/>
        <v>0</v>
      </c>
      <c r="S72" s="2"/>
      <c r="T72" s="2">
        <v>0</v>
      </c>
      <c r="U72" s="2"/>
      <c r="V72" s="19">
        <f t="shared" si="57"/>
        <v>0</v>
      </c>
      <c r="W72" s="2"/>
      <c r="X72" s="2">
        <f t="shared" si="58"/>
        <v>0</v>
      </c>
      <c r="Y72" s="2"/>
      <c r="Z72" s="19">
        <f t="shared" si="59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0">
        <f>+D17-D19+D69</f>
        <v>-37925.810000000005</v>
      </c>
      <c r="E74" s="14"/>
      <c r="F74" s="22">
        <f>IF(D$12=0,0,D74/D$12)</f>
        <v>0</v>
      </c>
      <c r="G74" s="14"/>
      <c r="H74" s="20">
        <f>+H17-H19+H69</f>
        <v>-35590.482495384662</v>
      </c>
      <c r="I74" s="14"/>
      <c r="J74" s="22">
        <f>IF(H$12=0,0,H74/H$12)</f>
        <v>0</v>
      </c>
      <c r="K74" s="16"/>
      <c r="L74" s="20">
        <f>+D74-H74</f>
        <v>-2335.3275046153431</v>
      </c>
      <c r="M74" s="16"/>
      <c r="N74" s="22">
        <f>IF(H74=0,0,L74/H74)</f>
        <v>6.5616629527801035E-2</v>
      </c>
      <c r="O74" s="29"/>
      <c r="P74" s="20">
        <f>+P17-P19+P69</f>
        <v>-491918.74999999994</v>
      </c>
      <c r="Q74" s="14"/>
      <c r="R74" s="22">
        <f>IF(P$12=0,0,P74/P$12)</f>
        <v>0</v>
      </c>
      <c r="S74" s="14"/>
      <c r="T74" s="20">
        <f>+T17-T19+T69</f>
        <v>-490283.61171999999</v>
      </c>
      <c r="U74" s="14"/>
      <c r="V74" s="22">
        <f>IF(T$12=0,0,T74/T$12)</f>
        <v>0</v>
      </c>
      <c r="W74" s="16"/>
      <c r="X74" s="20">
        <f>+P74-T74</f>
        <v>-1635.1382799999556</v>
      </c>
      <c r="Y74" s="16"/>
      <c r="Z74" s="22">
        <f>IF(T74=0,0,X74/T74)</f>
        <v>3.3350865517686929E-3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4">
        <f>+D74-D76</f>
        <v>-37925.810000000005</v>
      </c>
      <c r="E78" s="14"/>
      <c r="F78" s="35">
        <f>IF(D$12=0,0,D78/D$12)</f>
        <v>0</v>
      </c>
      <c r="G78" s="14"/>
      <c r="H78" s="34">
        <f>+H74-H76</f>
        <v>-35590.482495384662</v>
      </c>
      <c r="I78" s="14"/>
      <c r="J78" s="35">
        <f>IF(H$12=0,0,H78/H$12)</f>
        <v>0</v>
      </c>
      <c r="K78" s="16"/>
      <c r="L78" s="34">
        <f>D78-H78</f>
        <v>-2335.3275046153431</v>
      </c>
      <c r="M78" s="16"/>
      <c r="N78" s="35">
        <f>IF(H78=0,0,L78/H78)</f>
        <v>6.5616629527801035E-2</v>
      </c>
      <c r="O78" s="29"/>
      <c r="P78" s="34">
        <f>+P74-P76</f>
        <v>-491918.74999999994</v>
      </c>
      <c r="Q78" s="14"/>
      <c r="R78" s="35">
        <f>IF(P$12=0,0,P78/P$12)</f>
        <v>0</v>
      </c>
      <c r="S78" s="14"/>
      <c r="T78" s="34">
        <f>+T74-T76</f>
        <v>-490283.61171999999</v>
      </c>
      <c r="U78" s="14"/>
      <c r="V78" s="35">
        <f>IF(T$12=0,0,T78/T$12)</f>
        <v>0</v>
      </c>
      <c r="W78" s="16"/>
      <c r="X78" s="34">
        <f>P78-T78</f>
        <v>-1635.1382799999556</v>
      </c>
      <c r="Y78" s="16"/>
      <c r="Z78" s="35">
        <f>IF(T78=0,0,X78/T78)</f>
        <v>3.3350865517686929E-3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3">
        <f>SUM(D78:D80)</f>
        <v>-37925.810000000005</v>
      </c>
      <c r="E81" s="14"/>
      <c r="F81" s="31">
        <f>IF(D$12=0,0,D81/D$12)</f>
        <v>0</v>
      </c>
      <c r="G81" s="14"/>
      <c r="H81" s="33">
        <f>SUM(H78:H80)</f>
        <v>-35590.482495384662</v>
      </c>
      <c r="I81" s="14"/>
      <c r="J81" s="31">
        <f>IF(H$12=0,0,H81/H$12)</f>
        <v>0</v>
      </c>
      <c r="K81" s="16"/>
      <c r="L81" s="33">
        <f>+D81-H81</f>
        <v>-2335.3275046153431</v>
      </c>
      <c r="M81" s="16"/>
      <c r="N81" s="31">
        <f>IF(H81=0,0,L81/H81)</f>
        <v>6.5616629527801035E-2</v>
      </c>
      <c r="O81" s="29"/>
      <c r="P81" s="33">
        <f>SUM(P78:P80)</f>
        <v>-491918.74999999994</v>
      </c>
      <c r="Q81" s="14"/>
      <c r="R81" s="31">
        <f>IF(P$12=0,0,P81/P$12)</f>
        <v>0</v>
      </c>
      <c r="S81" s="14"/>
      <c r="T81" s="33">
        <f>SUM(T78:T80)</f>
        <v>-490283.61171999999</v>
      </c>
      <c r="U81" s="14"/>
      <c r="V81" s="31">
        <f>IF(T$12=0,0,T81/T$12)</f>
        <v>0</v>
      </c>
      <c r="W81" s="16"/>
      <c r="X81" s="33">
        <f>+P81-T81</f>
        <v>-1635.1382799999556</v>
      </c>
      <c r="Y81" s="16"/>
      <c r="Z81" s="31">
        <f>IF(T81=0,0,X81/T81)</f>
        <v>3.3350865517686929E-3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6">
        <v>44454.686112384261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3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570303.8600000001</v>
      </c>
      <c r="E18" s="21"/>
      <c r="F18" s="30">
        <f t="shared" ref="F18:F29" si="0">IF(D$12=0,0,D18/D$12)</f>
        <v>0</v>
      </c>
      <c r="G18" s="21"/>
      <c r="H18" s="21">
        <f>SUM(OSRRefH22x_0)</f>
        <v>49916.525784615398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520387.33421538468</v>
      </c>
      <c r="M18" s="4"/>
      <c r="N18" s="30">
        <f t="shared" ref="N18:N29" si="3">IF(H18=0,0,L18/H18)</f>
        <v>10.425151310826433</v>
      </c>
      <c r="O18" s="10"/>
      <c r="P18" s="21">
        <f>SUM(OSRRefP22x_0)</f>
        <v>1064935.8900000001</v>
      </c>
      <c r="Q18" s="21"/>
      <c r="R18" s="30">
        <f t="shared" ref="R18:R29" si="4">IF(P$12=0,0,P18/P$12)</f>
        <v>0</v>
      </c>
      <c r="S18" s="21"/>
      <c r="T18" s="21">
        <f>SUM(OSRRefT22x_0)</f>
        <v>645163.83520000009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419772.05480000004</v>
      </c>
      <c r="Y18" s="4"/>
      <c r="Z18" s="30">
        <f t="shared" ref="Z18:Z29" si="7">IF(T18=0,0,X18/T18)</f>
        <v>0.65064411843523617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522547.65000000008</v>
      </c>
      <c r="E19" s="1"/>
      <c r="F19" s="5">
        <f t="shared" si="0"/>
        <v>0</v>
      </c>
      <c r="G19" s="1"/>
      <c r="H19" s="1">
        <f>SUM(OSRRefH22_0x_0)</f>
        <v>10515.895015384625</v>
      </c>
      <c r="I19" s="1"/>
      <c r="J19" s="5">
        <f t="shared" si="1"/>
        <v>0</v>
      </c>
      <c r="K19" s="1"/>
      <c r="L19" s="1">
        <f t="shared" si="2"/>
        <v>512031.75498461543</v>
      </c>
      <c r="M19" s="1"/>
      <c r="N19" s="5">
        <f t="shared" si="3"/>
        <v>48.691219742639049</v>
      </c>
      <c r="O19" s="13"/>
      <c r="P19" s="1">
        <f>SUM(OSRRefP22_0x_0)</f>
        <v>663627.30000000016</v>
      </c>
      <c r="Q19" s="1"/>
      <c r="R19" s="5">
        <f t="shared" si="4"/>
        <v>0</v>
      </c>
      <c r="S19" s="1"/>
      <c r="T19" s="1">
        <f>SUM(OSRRefT22_0x_0)</f>
        <v>134201.63520000002</v>
      </c>
      <c r="U19" s="1"/>
      <c r="V19" s="5">
        <f t="shared" si="5"/>
        <v>0</v>
      </c>
      <c r="W19" s="1"/>
      <c r="X19" s="1">
        <f t="shared" si="6"/>
        <v>529425.66480000014</v>
      </c>
      <c r="Y19" s="1"/>
      <c r="Z19" s="5">
        <f t="shared" si="7"/>
        <v>3.9450015941385495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2092.3200000000002</v>
      </c>
      <c r="E20" s="2"/>
      <c r="F20" s="7">
        <f t="shared" si="0"/>
        <v>0</v>
      </c>
      <c r="G20" s="2"/>
      <c r="H20" s="6">
        <v>1518.5906769230801</v>
      </c>
      <c r="I20" s="2"/>
      <c r="J20" s="7">
        <f t="shared" si="1"/>
        <v>0</v>
      </c>
      <c r="K20" s="2"/>
      <c r="L20" s="6">
        <f t="shared" si="2"/>
        <v>573.72932307692008</v>
      </c>
      <c r="M20" s="2"/>
      <c r="N20" s="7">
        <f t="shared" si="3"/>
        <v>0.37780379650386903</v>
      </c>
      <c r="O20" s="11"/>
      <c r="P20" s="6">
        <v>25547.94</v>
      </c>
      <c r="Q20" s="2"/>
      <c r="R20" s="7">
        <f t="shared" si="4"/>
        <v>0</v>
      </c>
      <c r="S20" s="2"/>
      <c r="T20" s="6">
        <v>19741.678800000002</v>
      </c>
      <c r="U20" s="2"/>
      <c r="V20" s="7">
        <f t="shared" si="5"/>
        <v>0</v>
      </c>
      <c r="W20" s="2"/>
      <c r="X20" s="6">
        <f t="shared" si="6"/>
        <v>5806.2611999999972</v>
      </c>
      <c r="Y20" s="2"/>
      <c r="Z20" s="7">
        <f t="shared" si="7"/>
        <v>0.29411182599121188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90.13</v>
      </c>
      <c r="E21" s="2"/>
      <c r="F21" s="7">
        <f t="shared" si="0"/>
        <v>0</v>
      </c>
      <c r="G21" s="2"/>
      <c r="H21" s="6">
        <v>91.129753846153903</v>
      </c>
      <c r="I21" s="2"/>
      <c r="J21" s="7">
        <f t="shared" si="1"/>
        <v>0</v>
      </c>
      <c r="K21" s="2"/>
      <c r="L21" s="6">
        <f t="shared" si="2"/>
        <v>-0.99975384615390794</v>
      </c>
      <c r="M21" s="2"/>
      <c r="N21" s="7">
        <f t="shared" si="3"/>
        <v>-1.0970663301052055E-2</v>
      </c>
      <c r="O21" s="11"/>
      <c r="P21" s="6">
        <v>1108.8800000000001</v>
      </c>
      <c r="Q21" s="2"/>
      <c r="R21" s="7">
        <f t="shared" si="4"/>
        <v>0</v>
      </c>
      <c r="S21" s="2"/>
      <c r="T21" s="6">
        <v>1184.6867999999999</v>
      </c>
      <c r="U21" s="2"/>
      <c r="V21" s="7">
        <f t="shared" si="5"/>
        <v>0</v>
      </c>
      <c r="W21" s="2"/>
      <c r="X21" s="6">
        <f t="shared" si="6"/>
        <v>-75.806799999999839</v>
      </c>
      <c r="Y21" s="2"/>
      <c r="Z21" s="7">
        <f t="shared" si="7"/>
        <v>-6.3988895630473677E-2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6060.19</v>
      </c>
      <c r="E22" s="2"/>
      <c r="F22" s="7">
        <f t="shared" si="0"/>
        <v>0</v>
      </c>
      <c r="G22" s="2"/>
      <c r="H22" s="6">
        <v>5635.3846153846198</v>
      </c>
      <c r="I22" s="2"/>
      <c r="J22" s="7">
        <f t="shared" si="1"/>
        <v>0</v>
      </c>
      <c r="K22" s="2"/>
      <c r="L22" s="6">
        <f t="shared" si="2"/>
        <v>424.80538461537981</v>
      </c>
      <c r="M22" s="2"/>
      <c r="N22" s="7">
        <f t="shared" si="3"/>
        <v>7.5381790881789965E-2</v>
      </c>
      <c r="O22" s="11"/>
      <c r="P22" s="6">
        <v>72751.66</v>
      </c>
      <c r="Q22" s="2"/>
      <c r="R22" s="7">
        <f t="shared" si="4"/>
        <v>0</v>
      </c>
      <c r="S22" s="2"/>
      <c r="T22" s="6">
        <v>71280</v>
      </c>
      <c r="U22" s="2"/>
      <c r="V22" s="7">
        <f t="shared" si="5"/>
        <v>0</v>
      </c>
      <c r="W22" s="2"/>
      <c r="X22" s="6">
        <f t="shared" si="6"/>
        <v>1471.6600000000035</v>
      </c>
      <c r="Y22" s="2"/>
      <c r="Z22" s="7">
        <f t="shared" si="7"/>
        <v>2.0646184062850778E-2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499931.01</v>
      </c>
      <c r="E23" s="2"/>
      <c r="F23" s="7">
        <f t="shared" si="0"/>
        <v>0</v>
      </c>
      <c r="G23" s="2"/>
      <c r="H23" s="6">
        <v>71.799199999999999</v>
      </c>
      <c r="I23" s="2"/>
      <c r="J23" s="7">
        <f t="shared" si="1"/>
        <v>0</v>
      </c>
      <c r="K23" s="2"/>
      <c r="L23" s="6">
        <f t="shared" si="2"/>
        <v>499859.2108</v>
      </c>
      <c r="M23" s="2"/>
      <c r="N23" s="7">
        <f t="shared" si="3"/>
        <v>6961.9050184403168</v>
      </c>
      <c r="O23" s="11"/>
      <c r="P23" s="6">
        <v>500733.66</v>
      </c>
      <c r="Q23" s="2"/>
      <c r="R23" s="7">
        <f t="shared" si="4"/>
        <v>0</v>
      </c>
      <c r="S23" s="2"/>
      <c r="T23" s="6">
        <v>933.38959999999997</v>
      </c>
      <c r="U23" s="2"/>
      <c r="V23" s="7">
        <f t="shared" si="5"/>
        <v>0</v>
      </c>
      <c r="W23" s="2"/>
      <c r="X23" s="6">
        <f t="shared" si="6"/>
        <v>499800.27039999998</v>
      </c>
      <c r="Y23" s="2"/>
      <c r="Z23" s="7">
        <f t="shared" si="7"/>
        <v>535.46800864290753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1800.95</v>
      </c>
      <c r="E24" s="2"/>
      <c r="F24" s="7">
        <f t="shared" si="0"/>
        <v>0</v>
      </c>
      <c r="G24" s="2"/>
      <c r="H24" s="6">
        <v>853.38461538461502</v>
      </c>
      <c r="I24" s="2"/>
      <c r="J24" s="7">
        <f t="shared" si="1"/>
        <v>0</v>
      </c>
      <c r="K24" s="2"/>
      <c r="L24" s="6">
        <f t="shared" si="2"/>
        <v>947.56538461538503</v>
      </c>
      <c r="M24" s="2"/>
      <c r="N24" s="7">
        <f t="shared" si="3"/>
        <v>1.1103614566432316</v>
      </c>
      <c r="O24" s="11"/>
      <c r="P24" s="6">
        <v>16175.75</v>
      </c>
      <c r="Q24" s="2"/>
      <c r="R24" s="7">
        <f t="shared" si="4"/>
        <v>0</v>
      </c>
      <c r="S24" s="2"/>
      <c r="T24" s="6">
        <v>11094</v>
      </c>
      <c r="U24" s="2"/>
      <c r="V24" s="7">
        <f t="shared" si="5"/>
        <v>0</v>
      </c>
      <c r="W24" s="2"/>
      <c r="X24" s="6">
        <f t="shared" si="6"/>
        <v>5081.75</v>
      </c>
      <c r="Y24" s="2"/>
      <c r="Z24" s="7">
        <f t="shared" si="7"/>
        <v>0.45806291689201373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>
        <v>2636</v>
      </c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2636</v>
      </c>
      <c r="M25" s="2"/>
      <c r="N25" s="7">
        <f t="shared" si="3"/>
        <v>0</v>
      </c>
      <c r="O25" s="11"/>
      <c r="P25" s="6">
        <v>7482</v>
      </c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7482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585.27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585.27</v>
      </c>
      <c r="M26" s="2"/>
      <c r="N26" s="7">
        <f t="shared" si="3"/>
        <v>0</v>
      </c>
      <c r="O26" s="11"/>
      <c r="P26" s="6">
        <v>7251.28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7251.28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5745.09</v>
      </c>
      <c r="E27" s="2"/>
      <c r="F27" s="7">
        <f t="shared" si="0"/>
        <v>0</v>
      </c>
      <c r="G27" s="2"/>
      <c r="H27" s="6">
        <v>992.15384615384596</v>
      </c>
      <c r="I27" s="2"/>
      <c r="J27" s="7">
        <f t="shared" si="1"/>
        <v>0</v>
      </c>
      <c r="K27" s="2"/>
      <c r="L27" s="6">
        <f t="shared" si="2"/>
        <v>4752.9361538461544</v>
      </c>
      <c r="M27" s="2"/>
      <c r="N27" s="7">
        <f t="shared" si="3"/>
        <v>4.790523336951467</v>
      </c>
      <c r="O27" s="11"/>
      <c r="P27" s="6">
        <v>17732.169999999998</v>
      </c>
      <c r="Q27" s="2"/>
      <c r="R27" s="7">
        <f t="shared" si="4"/>
        <v>0</v>
      </c>
      <c r="S27" s="2"/>
      <c r="T27" s="6">
        <v>12898</v>
      </c>
      <c r="U27" s="2"/>
      <c r="V27" s="7">
        <f t="shared" si="5"/>
        <v>0</v>
      </c>
      <c r="W27" s="2"/>
      <c r="X27" s="6">
        <f t="shared" si="6"/>
        <v>4834.1699999999983</v>
      </c>
      <c r="Y27" s="2"/>
      <c r="Z27" s="7">
        <f t="shared" si="7"/>
        <v>0.37479996898743978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3548.12</v>
      </c>
      <c r="E28" s="2"/>
      <c r="F28" s="7">
        <f t="shared" si="0"/>
        <v>0</v>
      </c>
      <c r="G28" s="2"/>
      <c r="H28" s="6">
        <v>828.45230769230795</v>
      </c>
      <c r="I28" s="2"/>
      <c r="J28" s="7">
        <f t="shared" si="1"/>
        <v>0</v>
      </c>
      <c r="K28" s="2"/>
      <c r="L28" s="6">
        <f t="shared" si="2"/>
        <v>2719.6676923076921</v>
      </c>
      <c r="M28" s="2"/>
      <c r="N28" s="7">
        <f t="shared" si="3"/>
        <v>3.2828295208488845</v>
      </c>
      <c r="O28" s="11"/>
      <c r="P28" s="6">
        <v>14445.56</v>
      </c>
      <c r="Q28" s="2"/>
      <c r="R28" s="7">
        <f t="shared" si="4"/>
        <v>0</v>
      </c>
      <c r="S28" s="2"/>
      <c r="T28" s="6">
        <v>10769.88</v>
      </c>
      <c r="U28" s="2"/>
      <c r="V28" s="7">
        <f t="shared" si="5"/>
        <v>0</v>
      </c>
      <c r="W28" s="2"/>
      <c r="X28" s="6">
        <f t="shared" si="6"/>
        <v>3675.6800000000003</v>
      </c>
      <c r="Y28" s="2"/>
      <c r="Z28" s="7">
        <f t="shared" si="7"/>
        <v>0.34129256779091321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58.57</v>
      </c>
      <c r="E29" s="2"/>
      <c r="F29" s="7">
        <f t="shared" si="0"/>
        <v>0</v>
      </c>
      <c r="G29" s="2"/>
      <c r="H29" s="6">
        <v>525</v>
      </c>
      <c r="I29" s="2"/>
      <c r="J29" s="7">
        <f t="shared" si="1"/>
        <v>0</v>
      </c>
      <c r="K29" s="2"/>
      <c r="L29" s="6">
        <f t="shared" si="2"/>
        <v>-466.43</v>
      </c>
      <c r="M29" s="2"/>
      <c r="N29" s="7">
        <f t="shared" si="3"/>
        <v>-0.88843809523809525</v>
      </c>
      <c r="O29" s="11"/>
      <c r="P29" s="6">
        <v>398.4</v>
      </c>
      <c r="Q29" s="2"/>
      <c r="R29" s="7">
        <f t="shared" si="4"/>
        <v>0</v>
      </c>
      <c r="S29" s="2"/>
      <c r="T29" s="6">
        <v>6300</v>
      </c>
      <c r="U29" s="2"/>
      <c r="V29" s="7">
        <f t="shared" si="5"/>
        <v>0</v>
      </c>
      <c r="W29" s="2"/>
      <c r="X29" s="6">
        <f t="shared" si="6"/>
        <v>-5901.6</v>
      </c>
      <c r="Y29" s="2"/>
      <c r="Z29" s="7">
        <f t="shared" si="7"/>
        <v>-0.9367619047619048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25253.25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-774.38076923076733</v>
      </c>
      <c r="M30" s="1"/>
      <c r="N30" s="5">
        <f t="shared" ref="N30:N40" si="11">IF(H30=0,0,L30/H30)</f>
        <v>-2.9752257364363009E-2</v>
      </c>
      <c r="O30" s="13"/>
      <c r="P30" s="1">
        <f>SUM(OSRRefP22_1x_0)</f>
        <v>307972.71999999997</v>
      </c>
      <c r="Q30" s="1"/>
      <c r="R30" s="5">
        <f t="shared" ref="R30:R40" si="12">IF(P$12=0,0,P30/P$12)</f>
        <v>0</v>
      </c>
      <c r="S30" s="1"/>
      <c r="T30" s="1">
        <f>SUM(OSRRefT22_1x_0)</f>
        <v>338359.2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-30386.48000000004</v>
      </c>
      <c r="Y30" s="1"/>
      <c r="Z30" s="5">
        <f t="shared" ref="Z30:Z40" si="15">IF(T30=0,0,X30/T30)</f>
        <v>-8.9805390247996913E-2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9672.0499999999993</v>
      </c>
      <c r="E31" s="2"/>
      <c r="F31" s="7">
        <f t="shared" si="8"/>
        <v>0</v>
      </c>
      <c r="G31" s="2"/>
      <c r="H31" s="6">
        <v>9129.2307692307695</v>
      </c>
      <c r="I31" s="2"/>
      <c r="J31" s="7">
        <f t="shared" si="9"/>
        <v>0</v>
      </c>
      <c r="K31" s="2"/>
      <c r="L31" s="6">
        <f t="shared" si="10"/>
        <v>542.81923076922976</v>
      </c>
      <c r="M31" s="2"/>
      <c r="N31" s="7">
        <f t="shared" si="11"/>
        <v>5.9459470845972251E-2</v>
      </c>
      <c r="O31" s="11"/>
      <c r="P31" s="6">
        <v>118243.81</v>
      </c>
      <c r="Q31" s="2"/>
      <c r="R31" s="7">
        <f t="shared" si="12"/>
        <v>0</v>
      </c>
      <c r="S31" s="2"/>
      <c r="T31" s="6">
        <v>118680</v>
      </c>
      <c r="U31" s="2"/>
      <c r="V31" s="7">
        <f t="shared" si="13"/>
        <v>0</v>
      </c>
      <c r="W31" s="2"/>
      <c r="X31" s="6">
        <f t="shared" si="14"/>
        <v>-436.19000000000233</v>
      </c>
      <c r="Y31" s="2"/>
      <c r="Z31" s="7">
        <f t="shared" si="15"/>
        <v>-3.6753454668015024E-3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13596.7</v>
      </c>
      <c r="E34" s="2"/>
      <c r="F34" s="7">
        <f t="shared" si="8"/>
        <v>0</v>
      </c>
      <c r="G34" s="2"/>
      <c r="H34" s="6">
        <v>9126.4</v>
      </c>
      <c r="I34" s="2"/>
      <c r="J34" s="7">
        <f t="shared" si="9"/>
        <v>0</v>
      </c>
      <c r="K34" s="2"/>
      <c r="L34" s="6">
        <f t="shared" si="10"/>
        <v>4470.3000000000011</v>
      </c>
      <c r="M34" s="2"/>
      <c r="N34" s="7">
        <f t="shared" si="11"/>
        <v>0.48982073983169722</v>
      </c>
      <c r="O34" s="11"/>
      <c r="P34" s="6">
        <v>129805.88</v>
      </c>
      <c r="Q34" s="2"/>
      <c r="R34" s="7">
        <f t="shared" si="12"/>
        <v>0</v>
      </c>
      <c r="S34" s="2"/>
      <c r="T34" s="6">
        <v>118643.2</v>
      </c>
      <c r="U34" s="2"/>
      <c r="V34" s="7">
        <f t="shared" si="13"/>
        <v>0</v>
      </c>
      <c r="W34" s="2"/>
      <c r="X34" s="6">
        <f t="shared" si="14"/>
        <v>11162.680000000008</v>
      </c>
      <c r="Y34" s="2"/>
      <c r="Z34" s="7">
        <f t="shared" si="15"/>
        <v>9.4086133887150786E-2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1984.5</v>
      </c>
      <c r="E35" s="2"/>
      <c r="F35" s="7">
        <f t="shared" si="8"/>
        <v>0</v>
      </c>
      <c r="G35" s="2"/>
      <c r="H35" s="6">
        <v>7772</v>
      </c>
      <c r="I35" s="2"/>
      <c r="J35" s="7">
        <f t="shared" si="9"/>
        <v>0</v>
      </c>
      <c r="K35" s="2"/>
      <c r="L35" s="6">
        <f t="shared" si="10"/>
        <v>-5787.5</v>
      </c>
      <c r="M35" s="2"/>
      <c r="N35" s="7">
        <f t="shared" si="11"/>
        <v>-0.74466031909418429</v>
      </c>
      <c r="O35" s="11"/>
      <c r="P35" s="6">
        <v>59923.03</v>
      </c>
      <c r="Q35" s="2"/>
      <c r="R35" s="7">
        <f t="shared" si="12"/>
        <v>0</v>
      </c>
      <c r="S35" s="2"/>
      <c r="T35" s="6">
        <v>101036</v>
      </c>
      <c r="U35" s="2"/>
      <c r="V35" s="7">
        <f t="shared" si="13"/>
        <v>0</v>
      </c>
      <c r="W35" s="2"/>
      <c r="X35" s="6">
        <f t="shared" si="14"/>
        <v>-41112.97</v>
      </c>
      <c r="Y35" s="2"/>
      <c r="Z35" s="7">
        <f t="shared" si="15"/>
        <v>-0.4069140702323924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3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3000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-3000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250</v>
      </c>
      <c r="I42" s="2"/>
      <c r="J42" s="7">
        <f t="shared" si="17"/>
        <v>0</v>
      </c>
      <c r="K42" s="2"/>
      <c r="L42" s="6">
        <f t="shared" si="18"/>
        <v>-250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3000</v>
      </c>
      <c r="U42" s="2"/>
      <c r="V42" s="7">
        <f t="shared" si="21"/>
        <v>0</v>
      </c>
      <c r="W42" s="2"/>
      <c r="X42" s="6">
        <f t="shared" si="22"/>
        <v>-3000</v>
      </c>
      <c r="Y42" s="2"/>
      <c r="Z42" s="7">
        <f t="shared" si="23"/>
        <v>-1</v>
      </c>
    </row>
    <row r="43" spans="1:26" s="27" customFormat="1" outlineLevel="1" collapsed="1" x14ac:dyDescent="0.25">
      <c r="A43" s="25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11550</v>
      </c>
      <c r="U43" s="1"/>
      <c r="V43" s="5">
        <f t="shared" si="21"/>
        <v>0</v>
      </c>
      <c r="W43" s="1"/>
      <c r="X43" s="1">
        <f t="shared" si="22"/>
        <v>-11468.44</v>
      </c>
      <c r="Y43" s="1"/>
      <c r="Z43" s="5">
        <f t="shared" si="23"/>
        <v>-0.99293852813852823</v>
      </c>
    </row>
    <row r="44" spans="1:26" s="24" customFormat="1" hidden="1" outlineLevel="2" x14ac:dyDescent="0.25">
      <c r="A44" s="26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0</v>
      </c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81.56</v>
      </c>
      <c r="Q44" s="2"/>
      <c r="R44" s="7">
        <f t="shared" si="20"/>
        <v>0</v>
      </c>
      <c r="S44" s="2"/>
      <c r="T44" s="6">
        <v>11550</v>
      </c>
      <c r="U44" s="2"/>
      <c r="V44" s="7">
        <f t="shared" si="21"/>
        <v>0</v>
      </c>
      <c r="W44" s="2"/>
      <c r="X44" s="6">
        <f t="shared" si="22"/>
        <v>-11468.44</v>
      </c>
      <c r="Y44" s="2"/>
      <c r="Z44" s="7">
        <f t="shared" si="23"/>
        <v>-0.99293852813852823</v>
      </c>
    </row>
    <row r="45" spans="1:26" s="27" customFormat="1" outlineLevel="1" collapsed="1" x14ac:dyDescent="0.25">
      <c r="A45" s="25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88</v>
      </c>
      <c r="I45" s="1"/>
      <c r="J45" s="5">
        <f t="shared" si="17"/>
        <v>0</v>
      </c>
      <c r="K45" s="1"/>
      <c r="L45" s="1">
        <f t="shared" si="18"/>
        <v>-88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908</v>
      </c>
      <c r="U45" s="1"/>
      <c r="V45" s="5">
        <f t="shared" si="21"/>
        <v>0</v>
      </c>
      <c r="W45" s="1"/>
      <c r="X45" s="1">
        <f t="shared" si="22"/>
        <v>-908</v>
      </c>
      <c r="Y45" s="1"/>
      <c r="Z45" s="5">
        <f t="shared" si="23"/>
        <v>-1</v>
      </c>
    </row>
    <row r="46" spans="1:26" s="24" customFormat="1" hidden="1" outlineLevel="2" x14ac:dyDescent="0.25">
      <c r="A46" s="26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88</v>
      </c>
      <c r="I46" s="2"/>
      <c r="J46" s="7">
        <f t="shared" si="17"/>
        <v>0</v>
      </c>
      <c r="K46" s="2"/>
      <c r="L46" s="6">
        <f t="shared" si="18"/>
        <v>-88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908</v>
      </c>
      <c r="U46" s="2"/>
      <c r="V46" s="7">
        <f t="shared" si="21"/>
        <v>0</v>
      </c>
      <c r="W46" s="2"/>
      <c r="X46" s="6">
        <f t="shared" si="22"/>
        <v>-908</v>
      </c>
      <c r="Y46" s="2"/>
      <c r="Z46" s="7">
        <f t="shared" si="23"/>
        <v>-1</v>
      </c>
    </row>
    <row r="47" spans="1:26" s="27" customFormat="1" outlineLevel="1" collapsed="1" x14ac:dyDescent="0.25">
      <c r="A47" s="25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3.06</v>
      </c>
      <c r="E47" s="1"/>
      <c r="F47" s="5">
        <f t="shared" si="16"/>
        <v>0</v>
      </c>
      <c r="G47" s="1"/>
      <c r="H47" s="1">
        <f>SUM(OSRRefH22_5x_0)</f>
        <v>87</v>
      </c>
      <c r="I47" s="1"/>
      <c r="J47" s="5">
        <f t="shared" si="17"/>
        <v>0</v>
      </c>
      <c r="K47" s="1"/>
      <c r="L47" s="1">
        <f t="shared" si="18"/>
        <v>-83.94</v>
      </c>
      <c r="M47" s="1"/>
      <c r="N47" s="5">
        <f t="shared" si="19"/>
        <v>-0.96482758620689657</v>
      </c>
      <c r="O47" s="13"/>
      <c r="P47" s="1">
        <f>SUM(OSRRefP22_5x_0)</f>
        <v>122.07</v>
      </c>
      <c r="Q47" s="1"/>
      <c r="R47" s="5">
        <f t="shared" si="20"/>
        <v>0</v>
      </c>
      <c r="S47" s="1"/>
      <c r="T47" s="1">
        <f>SUM(OSRRefT22_5x_0)</f>
        <v>1000</v>
      </c>
      <c r="U47" s="1"/>
      <c r="V47" s="5">
        <f t="shared" si="21"/>
        <v>0</v>
      </c>
      <c r="W47" s="1"/>
      <c r="X47" s="1">
        <f t="shared" si="22"/>
        <v>-877.93000000000006</v>
      </c>
      <c r="Y47" s="1"/>
      <c r="Z47" s="5">
        <f t="shared" si="23"/>
        <v>-0.8779300000000001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6">
        <v>3.06</v>
      </c>
      <c r="E48" s="2"/>
      <c r="F48" s="7">
        <f t="shared" si="16"/>
        <v>0</v>
      </c>
      <c r="G48" s="2"/>
      <c r="H48" s="6">
        <v>87</v>
      </c>
      <c r="I48" s="2"/>
      <c r="J48" s="7">
        <f t="shared" si="17"/>
        <v>0</v>
      </c>
      <c r="K48" s="2"/>
      <c r="L48" s="6">
        <f t="shared" si="18"/>
        <v>-83.94</v>
      </c>
      <c r="M48" s="2"/>
      <c r="N48" s="7">
        <f t="shared" si="19"/>
        <v>-0.96482758620689657</v>
      </c>
      <c r="O48" s="11"/>
      <c r="P48" s="6">
        <v>122.07</v>
      </c>
      <c r="Q48" s="2"/>
      <c r="R48" s="7">
        <f t="shared" si="20"/>
        <v>0</v>
      </c>
      <c r="S48" s="2"/>
      <c r="T48" s="6">
        <v>1000</v>
      </c>
      <c r="U48" s="2"/>
      <c r="V48" s="7">
        <f t="shared" si="21"/>
        <v>0</v>
      </c>
      <c r="W48" s="2"/>
      <c r="X48" s="6">
        <f t="shared" si="22"/>
        <v>-877.93000000000006</v>
      </c>
      <c r="Y48" s="2"/>
      <c r="Z48" s="7">
        <f t="shared" si="23"/>
        <v>-0.8779300000000001</v>
      </c>
    </row>
    <row r="49" spans="1:26" s="27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197.75</v>
      </c>
      <c r="E49" s="1"/>
      <c r="F49" s="5">
        <f t="shared" si="16"/>
        <v>0</v>
      </c>
      <c r="G49" s="1"/>
      <c r="H49" s="1">
        <f>SUM(OSRRefH22_6x_0)</f>
        <v>337</v>
      </c>
      <c r="I49" s="1"/>
      <c r="J49" s="5">
        <f t="shared" si="17"/>
        <v>0</v>
      </c>
      <c r="K49" s="1"/>
      <c r="L49" s="1">
        <f t="shared" si="18"/>
        <v>-139.25</v>
      </c>
      <c r="M49" s="1"/>
      <c r="N49" s="5">
        <f t="shared" si="19"/>
        <v>-0.41320474777448069</v>
      </c>
      <c r="O49" s="13"/>
      <c r="P49" s="1">
        <f>SUM(OSRRefP22_6x_0)</f>
        <v>815.89</v>
      </c>
      <c r="Q49" s="1"/>
      <c r="R49" s="5">
        <f t="shared" si="20"/>
        <v>0</v>
      </c>
      <c r="S49" s="1"/>
      <c r="T49" s="1">
        <f>SUM(OSRRefT22_6x_0)</f>
        <v>4000</v>
      </c>
      <c r="U49" s="1"/>
      <c r="V49" s="5">
        <f t="shared" si="21"/>
        <v>0</v>
      </c>
      <c r="W49" s="1"/>
      <c r="X49" s="1">
        <f t="shared" si="22"/>
        <v>-3184.11</v>
      </c>
      <c r="Y49" s="1"/>
      <c r="Z49" s="5">
        <f t="shared" si="23"/>
        <v>-0.7960275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>
        <v>197.75</v>
      </c>
      <c r="E50" s="2"/>
      <c r="F50" s="7">
        <f t="shared" si="16"/>
        <v>0</v>
      </c>
      <c r="G50" s="2"/>
      <c r="H50" s="6">
        <v>337</v>
      </c>
      <c r="I50" s="2"/>
      <c r="J50" s="7">
        <f t="shared" si="17"/>
        <v>0</v>
      </c>
      <c r="K50" s="2"/>
      <c r="L50" s="6">
        <f t="shared" si="18"/>
        <v>-139.25</v>
      </c>
      <c r="M50" s="2"/>
      <c r="N50" s="7">
        <f t="shared" si="19"/>
        <v>-0.41320474777448069</v>
      </c>
      <c r="O50" s="11"/>
      <c r="P50" s="6">
        <v>815.89</v>
      </c>
      <c r="Q50" s="2"/>
      <c r="R50" s="7">
        <f t="shared" si="20"/>
        <v>0</v>
      </c>
      <c r="S50" s="2"/>
      <c r="T50" s="6">
        <v>4000</v>
      </c>
      <c r="U50" s="2"/>
      <c r="V50" s="7">
        <f t="shared" si="21"/>
        <v>0</v>
      </c>
      <c r="W50" s="2"/>
      <c r="X50" s="6">
        <f t="shared" si="22"/>
        <v>-3184.11</v>
      </c>
      <c r="Y50" s="2"/>
      <c r="Z50" s="7">
        <f t="shared" si="23"/>
        <v>-0.7960275</v>
      </c>
    </row>
    <row r="51" spans="1:26" s="27" customFormat="1" outlineLevel="1" collapsed="1" x14ac:dyDescent="0.25">
      <c r="A51" s="25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140.56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67.56</v>
      </c>
      <c r="M51" s="1"/>
      <c r="N51" s="5">
        <f t="shared" si="19"/>
        <v>0.92547945205479454</v>
      </c>
      <c r="O51" s="13"/>
      <c r="P51" s="1">
        <f>SUM(OSRRefP22_7x_0)</f>
        <v>860.73</v>
      </c>
      <c r="Q51" s="1"/>
      <c r="R51" s="5">
        <f t="shared" si="20"/>
        <v>0</v>
      </c>
      <c r="S51" s="1"/>
      <c r="T51" s="1">
        <f>SUM(OSRRefT22_7x_0)</f>
        <v>1656</v>
      </c>
      <c r="U51" s="1"/>
      <c r="V51" s="5">
        <f t="shared" si="21"/>
        <v>0</v>
      </c>
      <c r="W51" s="1"/>
      <c r="X51" s="1">
        <f t="shared" si="22"/>
        <v>-795.27</v>
      </c>
      <c r="Y51" s="1"/>
      <c r="Z51" s="5">
        <f t="shared" si="23"/>
        <v>-0.48023550724637681</v>
      </c>
    </row>
    <row r="52" spans="1:26" s="24" customFormat="1" hidden="1" outlineLevel="2" x14ac:dyDescent="0.25">
      <c r="A52" s="26"/>
      <c r="B52" s="11" t="str">
        <f>CONCATENATE("          ", "6312", " - ", "FIRE &amp; THEFT INSURANCE")</f>
        <v xml:space="preserve">          6312 - FIRE &amp; THEFT INSURANCE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780</v>
      </c>
      <c r="U52" s="2"/>
      <c r="V52" s="7">
        <f t="shared" si="21"/>
        <v>0</v>
      </c>
      <c r="W52" s="2"/>
      <c r="X52" s="6">
        <f t="shared" si="22"/>
        <v>-780</v>
      </c>
      <c r="Y52" s="2"/>
      <c r="Z52" s="7">
        <f t="shared" si="23"/>
        <v>-1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6">
        <v>140.56</v>
      </c>
      <c r="E53" s="2"/>
      <c r="F53" s="7">
        <f t="shared" si="16"/>
        <v>0</v>
      </c>
      <c r="G53" s="2"/>
      <c r="H53" s="6">
        <v>73</v>
      </c>
      <c r="I53" s="2"/>
      <c r="J53" s="7">
        <f t="shared" si="17"/>
        <v>0</v>
      </c>
      <c r="K53" s="2"/>
      <c r="L53" s="6">
        <f t="shared" si="18"/>
        <v>67.56</v>
      </c>
      <c r="M53" s="2"/>
      <c r="N53" s="7">
        <f t="shared" si="19"/>
        <v>0.92547945205479454</v>
      </c>
      <c r="O53" s="11"/>
      <c r="P53" s="6">
        <v>860.73</v>
      </c>
      <c r="Q53" s="2"/>
      <c r="R53" s="7">
        <f t="shared" si="20"/>
        <v>0</v>
      </c>
      <c r="S53" s="2"/>
      <c r="T53" s="6">
        <v>876</v>
      </c>
      <c r="U53" s="2"/>
      <c r="V53" s="7">
        <f t="shared" si="21"/>
        <v>0</v>
      </c>
      <c r="W53" s="2"/>
      <c r="X53" s="6">
        <f t="shared" si="22"/>
        <v>-15.269999999999982</v>
      </c>
      <c r="Y53" s="2"/>
      <c r="Z53" s="7">
        <f t="shared" si="23"/>
        <v>-1.7431506849315048E-2</v>
      </c>
    </row>
    <row r="54" spans="1:26" s="27" customFormat="1" outlineLevel="1" collapsed="1" x14ac:dyDescent="0.25">
      <c r="A54" s="25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SUM(OSRRefD22_8x_0)</f>
        <v>643.47</v>
      </c>
      <c r="E54" s="1"/>
      <c r="F54" s="5">
        <f t="shared" ref="F54:F57" si="24">IF(D$12=0,0,D54/D$12)</f>
        <v>0</v>
      </c>
      <c r="G54" s="1"/>
      <c r="H54" s="1">
        <f>SUM(OSRRefH22_8x_0)</f>
        <v>2087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-1443.53</v>
      </c>
      <c r="M54" s="1"/>
      <c r="N54" s="5">
        <f t="shared" ref="N54:N57" si="27">IF(H54=0,0,L54/H54)</f>
        <v>-0.69167704839482513</v>
      </c>
      <c r="O54" s="13"/>
      <c r="P54" s="1">
        <f>SUM(OSRRefP22_8x_0)</f>
        <v>11118.35</v>
      </c>
      <c r="Q54" s="1"/>
      <c r="R54" s="5">
        <f t="shared" ref="R54:R57" si="28">IF(P$12=0,0,P54/P$12)</f>
        <v>0</v>
      </c>
      <c r="S54" s="1"/>
      <c r="T54" s="1">
        <f>SUM(OSRRefT22_8x_0)</f>
        <v>25000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-13881.65</v>
      </c>
      <c r="Y54" s="1"/>
      <c r="Z54" s="5">
        <f t="shared" ref="Z54:Z57" si="31">IF(T54=0,0,X54/T54)</f>
        <v>-0.55526600000000004</v>
      </c>
    </row>
    <row r="55" spans="1:26" s="24" customFormat="1" hidden="1" outlineLevel="2" x14ac:dyDescent="0.25">
      <c r="A55" s="26"/>
      <c r="B55" s="11" t="str">
        <f>CONCATENATE("          ", "6332", " - ", "CONSULTANT FEES")</f>
        <v xml:space="preserve">          6332 - CONSULTANT FEES</v>
      </c>
      <c r="C55" s="11"/>
      <c r="D55" s="6"/>
      <c r="E55" s="2"/>
      <c r="F55" s="7">
        <f t="shared" si="24"/>
        <v>0</v>
      </c>
      <c r="G55" s="2"/>
      <c r="H55" s="6">
        <v>0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/>
      <c r="Q55" s="2"/>
      <c r="R55" s="7">
        <f t="shared" si="28"/>
        <v>0</v>
      </c>
      <c r="S55" s="2"/>
      <c r="T55" s="6">
        <v>0</v>
      </c>
      <c r="U55" s="2"/>
      <c r="V55" s="7">
        <f t="shared" si="29"/>
        <v>0</v>
      </c>
      <c r="W55" s="2"/>
      <c r="X55" s="6">
        <f t="shared" si="30"/>
        <v>0</v>
      </c>
      <c r="Y55" s="2"/>
      <c r="Z55" s="7">
        <f t="shared" si="31"/>
        <v>0</v>
      </c>
    </row>
    <row r="56" spans="1:26" s="24" customFormat="1" hidden="1" outlineLevel="2" x14ac:dyDescent="0.25">
      <c r="A56" s="26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24"/>
        <v>0</v>
      </c>
      <c r="G56" s="2"/>
      <c r="H56" s="6">
        <v>837</v>
      </c>
      <c r="I56" s="2"/>
      <c r="J56" s="7">
        <f t="shared" si="25"/>
        <v>0</v>
      </c>
      <c r="K56" s="2"/>
      <c r="L56" s="6">
        <f t="shared" si="26"/>
        <v>-837</v>
      </c>
      <c r="M56" s="2"/>
      <c r="N56" s="7">
        <f t="shared" si="27"/>
        <v>-1</v>
      </c>
      <c r="O56" s="11"/>
      <c r="P56" s="6">
        <v>2450</v>
      </c>
      <c r="Q56" s="2"/>
      <c r="R56" s="7">
        <f t="shared" si="28"/>
        <v>0</v>
      </c>
      <c r="S56" s="2"/>
      <c r="T56" s="6">
        <v>10000</v>
      </c>
      <c r="U56" s="2"/>
      <c r="V56" s="7">
        <f t="shared" si="29"/>
        <v>0</v>
      </c>
      <c r="W56" s="2"/>
      <c r="X56" s="6">
        <f t="shared" si="30"/>
        <v>-7550</v>
      </c>
      <c r="Y56" s="2"/>
      <c r="Z56" s="7">
        <f t="shared" si="31"/>
        <v>-0.755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6">
        <v>643.47</v>
      </c>
      <c r="E57" s="2"/>
      <c r="F57" s="7">
        <f t="shared" si="24"/>
        <v>0</v>
      </c>
      <c r="G57" s="2"/>
      <c r="H57" s="6">
        <v>1250</v>
      </c>
      <c r="I57" s="2"/>
      <c r="J57" s="7">
        <f t="shared" si="25"/>
        <v>0</v>
      </c>
      <c r="K57" s="2"/>
      <c r="L57" s="6">
        <f t="shared" si="26"/>
        <v>-606.53</v>
      </c>
      <c r="M57" s="2"/>
      <c r="N57" s="7">
        <f t="shared" si="27"/>
        <v>-0.48522399999999999</v>
      </c>
      <c r="O57" s="11"/>
      <c r="P57" s="6">
        <v>8668.35</v>
      </c>
      <c r="Q57" s="2"/>
      <c r="R57" s="7">
        <f t="shared" si="28"/>
        <v>0</v>
      </c>
      <c r="S57" s="2"/>
      <c r="T57" s="6">
        <v>15000</v>
      </c>
      <c r="U57" s="2"/>
      <c r="V57" s="7">
        <f t="shared" si="29"/>
        <v>0</v>
      </c>
      <c r="W57" s="2"/>
      <c r="X57" s="6">
        <f t="shared" si="30"/>
        <v>-6331.65</v>
      </c>
      <c r="Y57" s="2"/>
      <c r="Z57" s="7">
        <f t="shared" si="31"/>
        <v>-0.42210999999999999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4294.53</v>
      </c>
      <c r="E58" s="1"/>
      <c r="F58" s="5">
        <f t="shared" ref="F58:F60" si="32">IF(D$12=0,0,D58/D$12)</f>
        <v>0</v>
      </c>
      <c r="G58" s="1"/>
      <c r="H58" s="1">
        <f>SUM(OSRRefH22_9x_0)</f>
        <v>7087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-2792.4700000000003</v>
      </c>
      <c r="M58" s="1"/>
      <c r="N58" s="5">
        <f t="shared" ref="N58:N60" si="35">IF(H58=0,0,L58/H58)</f>
        <v>-0.39402709185833218</v>
      </c>
      <c r="O58" s="13"/>
      <c r="P58" s="1">
        <f>SUM(OSRRefP22_9x_0)</f>
        <v>55205.07</v>
      </c>
      <c r="Q58" s="1"/>
      <c r="R58" s="5">
        <f t="shared" ref="R58:R60" si="36">IF(P$12=0,0,P58/P$12)</f>
        <v>0</v>
      </c>
      <c r="S58" s="1"/>
      <c r="T58" s="1">
        <f>SUM(OSRRefT22_9x_0)</f>
        <v>85000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-29794.93</v>
      </c>
      <c r="Y58" s="1"/>
      <c r="Z58" s="5">
        <f t="shared" ref="Z58:Z60" si="39">IF(T58=0,0,X58/T58)</f>
        <v>-0.35052858823529415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4294.53</v>
      </c>
      <c r="E59" s="2"/>
      <c r="F59" s="7">
        <f t="shared" si="32"/>
        <v>0</v>
      </c>
      <c r="G59" s="2"/>
      <c r="H59" s="6">
        <v>7087</v>
      </c>
      <c r="I59" s="2"/>
      <c r="J59" s="7">
        <f t="shared" si="33"/>
        <v>0</v>
      </c>
      <c r="K59" s="2"/>
      <c r="L59" s="6">
        <f t="shared" si="34"/>
        <v>-2792.4700000000003</v>
      </c>
      <c r="M59" s="2"/>
      <c r="N59" s="7">
        <f t="shared" si="35"/>
        <v>-0.39402709185833218</v>
      </c>
      <c r="O59" s="11"/>
      <c r="P59" s="6">
        <v>55065.919999999998</v>
      </c>
      <c r="Q59" s="2"/>
      <c r="R59" s="7">
        <f t="shared" si="36"/>
        <v>0</v>
      </c>
      <c r="S59" s="2"/>
      <c r="T59" s="6">
        <v>85000</v>
      </c>
      <c r="U59" s="2"/>
      <c r="V59" s="7">
        <f t="shared" si="37"/>
        <v>0</v>
      </c>
      <c r="W59" s="2"/>
      <c r="X59" s="6">
        <f t="shared" si="38"/>
        <v>-29934.080000000002</v>
      </c>
      <c r="Y59" s="2"/>
      <c r="Z59" s="7">
        <f t="shared" si="39"/>
        <v>-0.35216564705882353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139.15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139.15</v>
      </c>
      <c r="Y60" s="2"/>
      <c r="Z60" s="7">
        <f t="shared" si="39"/>
        <v>0</v>
      </c>
    </row>
    <row r="61" spans="1:26" s="27" customFormat="1" outlineLevel="1" collapsed="1" x14ac:dyDescent="0.25">
      <c r="A61" s="25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SUM(OSRRefD22_10x_0)</f>
        <v>0</v>
      </c>
      <c r="E61" s="1"/>
      <c r="F61" s="5">
        <f t="shared" ref="F61:F67" si="40">IF(D$12=0,0,D61/D$12)</f>
        <v>0</v>
      </c>
      <c r="G61" s="1"/>
      <c r="H61" s="1">
        <f>SUM(OSRRefH22_10x_0)</f>
        <v>52</v>
      </c>
      <c r="I61" s="1"/>
      <c r="J61" s="5">
        <f t="shared" ref="J61:J67" si="41">IF(H$12=0,0,H61/H$12)</f>
        <v>0</v>
      </c>
      <c r="K61" s="1"/>
      <c r="L61" s="1">
        <f t="shared" ref="L61:L67" si="42">+D61-H61</f>
        <v>-52</v>
      </c>
      <c r="M61" s="1"/>
      <c r="N61" s="5">
        <f t="shared" ref="N61:N67" si="43">IF(H61=0,0,L61/H61)</f>
        <v>-1</v>
      </c>
      <c r="O61" s="13"/>
      <c r="P61" s="1">
        <f>SUM(OSRRefP22_10x_0)</f>
        <v>1329.99</v>
      </c>
      <c r="Q61" s="1"/>
      <c r="R61" s="5">
        <f t="shared" ref="R61:R67" si="44">IF(P$12=0,0,P61/P$12)</f>
        <v>0</v>
      </c>
      <c r="S61" s="1"/>
      <c r="T61" s="1">
        <f>SUM(OSRRefT22_10x_0)</f>
        <v>657</v>
      </c>
      <c r="U61" s="1"/>
      <c r="V61" s="5">
        <f t="shared" ref="V61:V67" si="45">IF(T$12=0,0,T61/T$12)</f>
        <v>0</v>
      </c>
      <c r="W61" s="1"/>
      <c r="X61" s="1">
        <f t="shared" ref="X61:X67" si="46">+P61-T61</f>
        <v>672.99</v>
      </c>
      <c r="Y61" s="1"/>
      <c r="Z61" s="5">
        <f t="shared" ref="Z61:Z67" si="47">IF(T61=0,0,X61/T61)</f>
        <v>1.0243378995433789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40"/>
        <v>0</v>
      </c>
      <c r="G62" s="2"/>
      <c r="H62" s="6">
        <v>52</v>
      </c>
      <c r="I62" s="2"/>
      <c r="J62" s="7">
        <f t="shared" si="41"/>
        <v>0</v>
      </c>
      <c r="K62" s="2"/>
      <c r="L62" s="6">
        <f t="shared" si="42"/>
        <v>-52</v>
      </c>
      <c r="M62" s="2"/>
      <c r="N62" s="7">
        <f t="shared" si="43"/>
        <v>-1</v>
      </c>
      <c r="O62" s="11"/>
      <c r="P62" s="6">
        <v>1329.99</v>
      </c>
      <c r="Q62" s="2"/>
      <c r="R62" s="7">
        <f t="shared" si="44"/>
        <v>0</v>
      </c>
      <c r="S62" s="2"/>
      <c r="T62" s="6">
        <v>657</v>
      </c>
      <c r="U62" s="2"/>
      <c r="V62" s="7">
        <f t="shared" si="45"/>
        <v>0</v>
      </c>
      <c r="W62" s="2"/>
      <c r="X62" s="6">
        <f t="shared" si="46"/>
        <v>672.99</v>
      </c>
      <c r="Y62" s="2"/>
      <c r="Z62" s="7">
        <f t="shared" si="47"/>
        <v>1.0243378995433789</v>
      </c>
    </row>
    <row r="63" spans="1:26" s="27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SUM(OSRRefD22_11x_0)</f>
        <v>16799.439999999999</v>
      </c>
      <c r="E63" s="1"/>
      <c r="F63" s="5">
        <f t="shared" si="40"/>
        <v>0</v>
      </c>
      <c r="G63" s="1"/>
      <c r="H63" s="1">
        <f>SUM(OSRRefH22_11x_0)</f>
        <v>2076</v>
      </c>
      <c r="I63" s="1"/>
      <c r="J63" s="5">
        <f t="shared" si="41"/>
        <v>0</v>
      </c>
      <c r="K63" s="1"/>
      <c r="L63" s="1">
        <f t="shared" si="42"/>
        <v>14723.439999999999</v>
      </c>
      <c r="M63" s="1"/>
      <c r="N63" s="5">
        <f t="shared" si="43"/>
        <v>7.0922157996146433</v>
      </c>
      <c r="O63" s="13"/>
      <c r="P63" s="1">
        <f>SUM(OSRRefP22_11x_0)</f>
        <v>19336.810000000001</v>
      </c>
      <c r="Q63" s="1"/>
      <c r="R63" s="5">
        <f t="shared" si="44"/>
        <v>0</v>
      </c>
      <c r="S63" s="1"/>
      <c r="T63" s="1">
        <f>SUM(OSRRefT22_11x_0)</f>
        <v>25000</v>
      </c>
      <c r="U63" s="1"/>
      <c r="V63" s="5">
        <f t="shared" si="45"/>
        <v>0</v>
      </c>
      <c r="W63" s="1"/>
      <c r="X63" s="1">
        <f t="shared" si="46"/>
        <v>-5663.1899999999987</v>
      </c>
      <c r="Y63" s="1"/>
      <c r="Z63" s="5">
        <f t="shared" si="47"/>
        <v>-0.22652759999999994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0"/>
        <v>0</v>
      </c>
      <c r="G64" s="2"/>
      <c r="H64" s="6">
        <v>413</v>
      </c>
      <c r="I64" s="2"/>
      <c r="J64" s="7">
        <f t="shared" si="41"/>
        <v>0</v>
      </c>
      <c r="K64" s="2"/>
      <c r="L64" s="6">
        <f t="shared" si="42"/>
        <v>-413</v>
      </c>
      <c r="M64" s="2"/>
      <c r="N64" s="7">
        <f t="shared" si="43"/>
        <v>-1</v>
      </c>
      <c r="O64" s="11"/>
      <c r="P64" s="6">
        <v>210.58</v>
      </c>
      <c r="Q64" s="2"/>
      <c r="R64" s="7">
        <f t="shared" si="44"/>
        <v>0</v>
      </c>
      <c r="S64" s="2"/>
      <c r="T64" s="6">
        <v>5000</v>
      </c>
      <c r="U64" s="2"/>
      <c r="V64" s="7">
        <f t="shared" si="45"/>
        <v>0</v>
      </c>
      <c r="W64" s="2"/>
      <c r="X64" s="6">
        <f t="shared" si="46"/>
        <v>-4789.42</v>
      </c>
      <c r="Y64" s="2"/>
      <c r="Z64" s="7">
        <f t="shared" si="47"/>
        <v>-0.95788400000000007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>
        <v>257.44</v>
      </c>
      <c r="E65" s="2"/>
      <c r="F65" s="7">
        <f t="shared" si="40"/>
        <v>0</v>
      </c>
      <c r="G65" s="2"/>
      <c r="H65" s="6">
        <v>1250</v>
      </c>
      <c r="I65" s="2"/>
      <c r="J65" s="7">
        <f t="shared" si="41"/>
        <v>0</v>
      </c>
      <c r="K65" s="2"/>
      <c r="L65" s="6">
        <f t="shared" si="42"/>
        <v>-992.56</v>
      </c>
      <c r="M65" s="2"/>
      <c r="N65" s="7">
        <f t="shared" si="43"/>
        <v>-0.79404799999999998</v>
      </c>
      <c r="O65" s="11"/>
      <c r="P65" s="6">
        <v>2361.52</v>
      </c>
      <c r="Q65" s="2"/>
      <c r="R65" s="7">
        <f t="shared" si="44"/>
        <v>0</v>
      </c>
      <c r="S65" s="2"/>
      <c r="T65" s="6">
        <v>15000</v>
      </c>
      <c r="U65" s="2"/>
      <c r="V65" s="7">
        <f t="shared" si="45"/>
        <v>0</v>
      </c>
      <c r="W65" s="2"/>
      <c r="X65" s="6">
        <f t="shared" si="46"/>
        <v>-12638.48</v>
      </c>
      <c r="Y65" s="2"/>
      <c r="Z65" s="7">
        <f t="shared" si="47"/>
        <v>-0.84256533333333328</v>
      </c>
    </row>
    <row r="66" spans="1:26" s="24" customFormat="1" hidden="1" outlineLevel="2" x14ac:dyDescent="0.25">
      <c r="A66" s="26"/>
      <c r="B66" s="11" t="str">
        <f>CONCATENATE("          ", "6244", " - ", "SAFETY SUPPLY EXPENSE")</f>
        <v xml:space="preserve">          6244 - SAFETY SUPPLY EXPENSE</v>
      </c>
      <c r="C66" s="11"/>
      <c r="D66" s="6">
        <v>125</v>
      </c>
      <c r="E66" s="2"/>
      <c r="F66" s="7">
        <f t="shared" si="40"/>
        <v>0</v>
      </c>
      <c r="G66" s="2"/>
      <c r="H66" s="6">
        <v>413</v>
      </c>
      <c r="I66" s="2"/>
      <c r="J66" s="7">
        <f t="shared" si="41"/>
        <v>0</v>
      </c>
      <c r="K66" s="2"/>
      <c r="L66" s="6">
        <f t="shared" si="42"/>
        <v>-288</v>
      </c>
      <c r="M66" s="2"/>
      <c r="N66" s="7">
        <f t="shared" si="43"/>
        <v>-0.69733656174334135</v>
      </c>
      <c r="O66" s="11"/>
      <c r="P66" s="6">
        <v>347.71</v>
      </c>
      <c r="Q66" s="2"/>
      <c r="R66" s="7">
        <f t="shared" si="44"/>
        <v>0</v>
      </c>
      <c r="S66" s="2"/>
      <c r="T66" s="6">
        <v>5000</v>
      </c>
      <c r="U66" s="2"/>
      <c r="V66" s="7">
        <f t="shared" si="45"/>
        <v>0</v>
      </c>
      <c r="W66" s="2"/>
      <c r="X66" s="6">
        <f t="shared" si="46"/>
        <v>-4652.29</v>
      </c>
      <c r="Y66" s="2"/>
      <c r="Z66" s="7">
        <f t="shared" si="47"/>
        <v>-0.93045800000000001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>
        <v>16417</v>
      </c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16417</v>
      </c>
      <c r="M67" s="2"/>
      <c r="N67" s="7">
        <f t="shared" si="43"/>
        <v>0</v>
      </c>
      <c r="O67" s="11"/>
      <c r="P67" s="6">
        <v>16417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16417</v>
      </c>
      <c r="Y67" s="2"/>
      <c r="Z67" s="7">
        <f t="shared" si="47"/>
        <v>0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SUM(OSRRefD22_12x_0)</f>
        <v>424.15</v>
      </c>
      <c r="E68" s="1"/>
      <c r="F68" s="5">
        <f t="shared" ref="F68:F73" si="48">IF(D$12=0,0,D68/D$12)</f>
        <v>0</v>
      </c>
      <c r="G68" s="1"/>
      <c r="H68" s="1">
        <f>SUM(OSRRefH22_12x_0)</f>
        <v>290</v>
      </c>
      <c r="I68" s="1"/>
      <c r="J68" s="5">
        <f t="shared" ref="J68:J73" si="49">IF(H$12=0,0,H68/H$12)</f>
        <v>0</v>
      </c>
      <c r="K68" s="1"/>
      <c r="L68" s="1">
        <f t="shared" ref="L68:L73" si="50">+D68-H68</f>
        <v>134.14999999999998</v>
      </c>
      <c r="M68" s="1"/>
      <c r="N68" s="5">
        <f t="shared" ref="N68:N73" si="51">IF(H68=0,0,L68/H68)</f>
        <v>0.46258620689655167</v>
      </c>
      <c r="O68" s="13"/>
      <c r="P68" s="1">
        <f>SUM(OSRRefP22_12x_0)</f>
        <v>3842.4</v>
      </c>
      <c r="Q68" s="1"/>
      <c r="R68" s="5">
        <f t="shared" ref="R68:R73" si="52">IF(P$12=0,0,P68/P$12)</f>
        <v>0</v>
      </c>
      <c r="S68" s="1"/>
      <c r="T68" s="1">
        <f>SUM(OSRRefT22_12x_0)</f>
        <v>3480</v>
      </c>
      <c r="U68" s="1"/>
      <c r="V68" s="5">
        <f t="shared" ref="V68:V73" si="53">IF(T$12=0,0,T68/T$12)</f>
        <v>0</v>
      </c>
      <c r="W68" s="1"/>
      <c r="X68" s="1">
        <f t="shared" ref="X68:X73" si="54">+P68-T68</f>
        <v>362.40000000000009</v>
      </c>
      <c r="Y68" s="1"/>
      <c r="Z68" s="5">
        <f t="shared" ref="Z68:Z73" si="55">IF(T68=0,0,X68/T68)</f>
        <v>0.10413793103448278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424.15</v>
      </c>
      <c r="E69" s="2"/>
      <c r="F69" s="7">
        <f t="shared" si="48"/>
        <v>0</v>
      </c>
      <c r="G69" s="2"/>
      <c r="H69" s="6">
        <v>290</v>
      </c>
      <c r="I69" s="2"/>
      <c r="J69" s="7">
        <f t="shared" si="49"/>
        <v>0</v>
      </c>
      <c r="K69" s="2"/>
      <c r="L69" s="6">
        <f t="shared" si="50"/>
        <v>134.14999999999998</v>
      </c>
      <c r="M69" s="2"/>
      <c r="N69" s="7">
        <f t="shared" si="51"/>
        <v>0.46258620689655167</v>
      </c>
      <c r="O69" s="11"/>
      <c r="P69" s="6">
        <v>3842.4</v>
      </c>
      <c r="Q69" s="2"/>
      <c r="R69" s="7">
        <f t="shared" si="52"/>
        <v>0</v>
      </c>
      <c r="S69" s="2"/>
      <c r="T69" s="6">
        <v>3480</v>
      </c>
      <c r="U69" s="2"/>
      <c r="V69" s="7">
        <f t="shared" si="53"/>
        <v>0</v>
      </c>
      <c r="W69" s="2"/>
      <c r="X69" s="6">
        <f t="shared" si="54"/>
        <v>362.40000000000009</v>
      </c>
      <c r="Y69" s="2"/>
      <c r="Z69" s="7">
        <f t="shared" si="55"/>
        <v>0.10413793103448278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SUM(OSRRefD22_13x_0)</f>
        <v>0</v>
      </c>
      <c r="E70" s="1"/>
      <c r="F70" s="5">
        <f t="shared" si="48"/>
        <v>0</v>
      </c>
      <c r="G70" s="1"/>
      <c r="H70" s="1">
        <f>SUM(OSRRefH22_13x_0)</f>
        <v>946</v>
      </c>
      <c r="I70" s="1"/>
      <c r="J70" s="5">
        <f t="shared" si="49"/>
        <v>0</v>
      </c>
      <c r="K70" s="1"/>
      <c r="L70" s="1">
        <f t="shared" si="50"/>
        <v>-946</v>
      </c>
      <c r="M70" s="1"/>
      <c r="N70" s="5">
        <f t="shared" si="51"/>
        <v>-1</v>
      </c>
      <c r="O70" s="13"/>
      <c r="P70" s="1">
        <f>SUM(OSRRefP22_13x_0)</f>
        <v>-97</v>
      </c>
      <c r="Q70" s="1"/>
      <c r="R70" s="5">
        <f t="shared" si="52"/>
        <v>0</v>
      </c>
      <c r="S70" s="1"/>
      <c r="T70" s="1">
        <f>SUM(OSRRefT22_13x_0)</f>
        <v>11352</v>
      </c>
      <c r="U70" s="1"/>
      <c r="V70" s="5">
        <f t="shared" si="53"/>
        <v>0</v>
      </c>
      <c r="W70" s="1"/>
      <c r="X70" s="1">
        <f t="shared" si="54"/>
        <v>-11449</v>
      </c>
      <c r="Y70" s="1"/>
      <c r="Z70" s="5">
        <f t="shared" si="55"/>
        <v>-1.0085447498238196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48"/>
        <v>0</v>
      </c>
      <c r="G71" s="2"/>
      <c r="H71" s="6">
        <v>946</v>
      </c>
      <c r="I71" s="2"/>
      <c r="J71" s="7">
        <f t="shared" si="49"/>
        <v>0</v>
      </c>
      <c r="K71" s="2"/>
      <c r="L71" s="6">
        <f t="shared" si="50"/>
        <v>-946</v>
      </c>
      <c r="M71" s="2"/>
      <c r="N71" s="7">
        <f t="shared" si="51"/>
        <v>-1</v>
      </c>
      <c r="O71" s="11"/>
      <c r="P71" s="6">
        <v>-97</v>
      </c>
      <c r="Q71" s="2"/>
      <c r="R71" s="7">
        <f t="shared" si="52"/>
        <v>0</v>
      </c>
      <c r="S71" s="2"/>
      <c r="T71" s="6">
        <v>11352</v>
      </c>
      <c r="U71" s="2"/>
      <c r="V71" s="7">
        <f t="shared" si="53"/>
        <v>0</v>
      </c>
      <c r="W71" s="2"/>
      <c r="X71" s="6">
        <f t="shared" si="54"/>
        <v>-11449</v>
      </c>
      <c r="Y71" s="2"/>
      <c r="Z71" s="7">
        <f t="shared" si="55"/>
        <v>-1.0085447498238196</v>
      </c>
    </row>
    <row r="72" spans="1:26" s="27" customFormat="1" outlineLevel="1" collapsed="1" x14ac:dyDescent="0.25">
      <c r="A72" s="25"/>
      <c r="B72" s="13" t="str">
        <f>CONCATENATE("     ","Travel                                            ")</f>
        <v xml:space="preserve">     Travel                                            </v>
      </c>
      <c r="C72" s="13"/>
      <c r="D72" s="1">
        <f>SUM(OSRRefD22_14x_0)</f>
        <v>0</v>
      </c>
      <c r="E72" s="1"/>
      <c r="F72" s="5">
        <f t="shared" si="48"/>
        <v>0</v>
      </c>
      <c r="G72" s="1"/>
      <c r="H72" s="1">
        <f>SUM(OSRRefH22_14x_0)</f>
        <v>0</v>
      </c>
      <c r="I72" s="1"/>
      <c r="J72" s="5">
        <f t="shared" si="49"/>
        <v>0</v>
      </c>
      <c r="K72" s="1"/>
      <c r="L72" s="1">
        <f t="shared" si="50"/>
        <v>0</v>
      </c>
      <c r="M72" s="1"/>
      <c r="N72" s="5">
        <f t="shared" si="51"/>
        <v>0</v>
      </c>
      <c r="O72" s="13"/>
      <c r="P72" s="1">
        <f>SUM(OSRRefP22_14x_0)</f>
        <v>720</v>
      </c>
      <c r="Q72" s="1"/>
      <c r="R72" s="5">
        <f t="shared" si="52"/>
        <v>0</v>
      </c>
      <c r="S72" s="1"/>
      <c r="T72" s="1">
        <f>SUM(OSRRefT22_14x_0)</f>
        <v>0</v>
      </c>
      <c r="U72" s="1"/>
      <c r="V72" s="5">
        <f t="shared" si="53"/>
        <v>0</v>
      </c>
      <c r="W72" s="1"/>
      <c r="X72" s="1">
        <f t="shared" si="54"/>
        <v>720</v>
      </c>
      <c r="Y72" s="1"/>
      <c r="Z72" s="5">
        <f t="shared" si="55"/>
        <v>0</v>
      </c>
    </row>
    <row r="73" spans="1:26" s="24" customFormat="1" hidden="1" outlineLevel="2" x14ac:dyDescent="0.25">
      <c r="A73" s="26"/>
      <c r="B73" s="11" t="str">
        <f>CONCATENATE("          ", "6292", " - ", "TRAVEL/CONFERENCE")</f>
        <v xml:space="preserve">          6292 - TRAVEL/CONFERENCE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720</v>
      </c>
      <c r="Q73" s="2"/>
      <c r="R73" s="7">
        <f t="shared" si="52"/>
        <v>0</v>
      </c>
      <c r="S73" s="2"/>
      <c r="T73" s="6"/>
      <c r="U73" s="2"/>
      <c r="V73" s="7">
        <f t="shared" si="53"/>
        <v>0</v>
      </c>
      <c r="W73" s="2"/>
      <c r="X73" s="6">
        <f t="shared" si="54"/>
        <v>720</v>
      </c>
      <c r="Y73" s="2"/>
      <c r="Z73" s="7">
        <f t="shared" si="55"/>
        <v>0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293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277</v>
      </c>
      <c r="C77" s="28"/>
      <c r="D77" s="20">
        <f>+D16-D18+D75</f>
        <v>-570303.8600000001</v>
      </c>
      <c r="E77" s="14"/>
      <c r="F77" s="22">
        <f>IF(D$12=0,0,D77/D$12)</f>
        <v>0</v>
      </c>
      <c r="G77" s="14"/>
      <c r="H77" s="20">
        <f>+H16-H18+H75</f>
        <v>-49916.525784615398</v>
      </c>
      <c r="I77" s="14"/>
      <c r="J77" s="22">
        <f>IF(H$12=0,0,H77/H$12)</f>
        <v>0</v>
      </c>
      <c r="K77" s="16"/>
      <c r="L77" s="20">
        <f>+D77-H77</f>
        <v>-520387.33421538468</v>
      </c>
      <c r="M77" s="16"/>
      <c r="N77" s="22">
        <f>IF(H77=0,0,L77/H77)</f>
        <v>10.425151310826433</v>
      </c>
      <c r="O77" s="29"/>
      <c r="P77" s="20">
        <f>+P16-P18+P75</f>
        <v>-1064935.8900000001</v>
      </c>
      <c r="Q77" s="14"/>
      <c r="R77" s="22">
        <f>IF(P$12=0,0,P77/P$12)</f>
        <v>0</v>
      </c>
      <c r="S77" s="14"/>
      <c r="T77" s="20">
        <f>+T16-T18+T75</f>
        <v>-645163.83520000009</v>
      </c>
      <c r="U77" s="14"/>
      <c r="V77" s="22">
        <f>IF(T$12=0,0,T77/T$12)</f>
        <v>0</v>
      </c>
      <c r="W77" s="16"/>
      <c r="X77" s="20">
        <f>+P77-T77</f>
        <v>-419772.05480000004</v>
      </c>
      <c r="Y77" s="16"/>
      <c r="Z77" s="22">
        <f>IF(T77=0,0,X77/T77)</f>
        <v>0.65064411843523617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128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126</v>
      </c>
      <c r="C81" s="28"/>
      <c r="D81" s="34">
        <f>+D77-D79</f>
        <v>-570303.8600000001</v>
      </c>
      <c r="E81" s="14"/>
      <c r="F81" s="35">
        <f>IF(D$12=0,0,D81/D$12)</f>
        <v>0</v>
      </c>
      <c r="G81" s="14"/>
      <c r="H81" s="34">
        <f>+H77-H79</f>
        <v>-49916.525784615398</v>
      </c>
      <c r="I81" s="14"/>
      <c r="J81" s="35">
        <f>IF(H$12=0,0,H81/H$12)</f>
        <v>0</v>
      </c>
      <c r="K81" s="16"/>
      <c r="L81" s="34">
        <f>D81-H81</f>
        <v>-520387.33421538468</v>
      </c>
      <c r="M81" s="16"/>
      <c r="N81" s="35">
        <f>IF(H81=0,0,L81/H81)</f>
        <v>10.425151310826433</v>
      </c>
      <c r="O81" s="29"/>
      <c r="P81" s="34">
        <f>+P77-P79</f>
        <v>-1064935.8900000001</v>
      </c>
      <c r="Q81" s="14"/>
      <c r="R81" s="35">
        <f>IF(P$12=0,0,P81/P$12)</f>
        <v>0</v>
      </c>
      <c r="S81" s="14"/>
      <c r="T81" s="34">
        <f>+T77-T79</f>
        <v>-645163.83520000009</v>
      </c>
      <c r="U81" s="14"/>
      <c r="V81" s="35">
        <f>IF(T$12=0,0,T81/T$12)</f>
        <v>0</v>
      </c>
      <c r="W81" s="16"/>
      <c r="X81" s="34">
        <f>P81-T81</f>
        <v>-419772.05480000004</v>
      </c>
      <c r="Y81" s="16"/>
      <c r="Z81" s="35">
        <f>IF(T81=0,0,X81/T81)</f>
        <v>0.65064411843523617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294</v>
      </c>
      <c r="C84" s="28"/>
      <c r="D84" s="33">
        <f>SUM(D81:D83)</f>
        <v>-570303.8600000001</v>
      </c>
      <c r="E84" s="14"/>
      <c r="F84" s="31">
        <f>IF(D$12=0,0,D84/D$12)</f>
        <v>0</v>
      </c>
      <c r="G84" s="14"/>
      <c r="H84" s="33">
        <f>SUM(H81:H83)</f>
        <v>-49916.525784615398</v>
      </c>
      <c r="I84" s="14"/>
      <c r="J84" s="31">
        <f>IF(H$12=0,0,H84/H$12)</f>
        <v>0</v>
      </c>
      <c r="K84" s="16"/>
      <c r="L84" s="33">
        <f>+D84-H84</f>
        <v>-520387.33421538468</v>
      </c>
      <c r="M84" s="16"/>
      <c r="N84" s="31">
        <f>IF(H84=0,0,L84/H84)</f>
        <v>10.425151310826433</v>
      </c>
      <c r="O84" s="29"/>
      <c r="P84" s="33">
        <f>SUM(P81:P83)</f>
        <v>-1064935.8900000001</v>
      </c>
      <c r="Q84" s="14"/>
      <c r="R84" s="31">
        <f>IF(P$12=0,0,P84/P$12)</f>
        <v>0</v>
      </c>
      <c r="S84" s="14"/>
      <c r="T84" s="33">
        <f>SUM(T81:T83)</f>
        <v>-645163.83520000009</v>
      </c>
      <c r="U84" s="14"/>
      <c r="V84" s="31">
        <f>IF(T$12=0,0,T84/T$12)</f>
        <v>0</v>
      </c>
      <c r="W84" s="16"/>
      <c r="X84" s="33">
        <f>+P84-T84</f>
        <v>-419772.05480000004</v>
      </c>
      <c r="Y84" s="16"/>
      <c r="Z84" s="31">
        <f>IF(T84=0,0,X84/T84)</f>
        <v>0.65064411843523617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6">
        <v>44454.686112384261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5" t="s">
        <v>56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3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49467.11</v>
      </c>
      <c r="E18" s="21"/>
      <c r="F18" s="30">
        <f t="shared" ref="F18:F29" si="0">IF(D$12=0,0,D18/D$12)</f>
        <v>0</v>
      </c>
      <c r="G18" s="21"/>
      <c r="H18" s="21">
        <f>SUM(OSRRefH22x_0)</f>
        <v>53421.722846153818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-3954.6128461538174</v>
      </c>
      <c r="M18" s="4"/>
      <c r="N18" s="30">
        <f t="shared" ref="N18:N29" si="3">IF(H18=0,0,L18/H18)</f>
        <v>-7.4026306817967708E-2</v>
      </c>
      <c r="O18" s="10"/>
      <c r="P18" s="21">
        <f>SUM(OSRRefP22x_0)</f>
        <v>605649.99</v>
      </c>
      <c r="Q18" s="21"/>
      <c r="R18" s="30">
        <f t="shared" ref="R18:R29" si="4">IF(P$12=0,0,P18/P$12)</f>
        <v>0</v>
      </c>
      <c r="S18" s="21"/>
      <c r="T18" s="21">
        <f>SUM(OSRRefT22x_0)</f>
        <v>636971.66230769223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-31321.672307692235</v>
      </c>
      <c r="Y18" s="4"/>
      <c r="Z18" s="30">
        <f t="shared" ref="Z18:Z29" si="7">IF(T18=0,0,X18/T18)</f>
        <v>-4.917278767820938E-2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11483.22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501.57407692308516</v>
      </c>
      <c r="M19" s="1"/>
      <c r="N19" s="5">
        <f t="shared" si="3"/>
        <v>4.5673852575147555E-2</v>
      </c>
      <c r="O19" s="13"/>
      <c r="P19" s="1">
        <f>SUM(OSRRefP22_0x_0)</f>
        <v>143417.23000000001</v>
      </c>
      <c r="Q19" s="1"/>
      <c r="R19" s="5">
        <f t="shared" si="4"/>
        <v>0</v>
      </c>
      <c r="S19" s="1"/>
      <c r="T19" s="1">
        <f>SUM(OSRRefT22_0x_0)</f>
        <v>140795.66230769228</v>
      </c>
      <c r="U19" s="1"/>
      <c r="V19" s="5">
        <f t="shared" si="5"/>
        <v>0</v>
      </c>
      <c r="W19" s="1"/>
      <c r="X19" s="1">
        <f t="shared" si="6"/>
        <v>2621.5676923077262</v>
      </c>
      <c r="Y19" s="1"/>
      <c r="Z19" s="5">
        <f t="shared" si="7"/>
        <v>1.8619662348535994E-2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1417.14</v>
      </c>
      <c r="E20" s="2"/>
      <c r="F20" s="7">
        <f t="shared" si="0"/>
        <v>0</v>
      </c>
      <c r="G20" s="2"/>
      <c r="H20" s="6">
        <v>1606.5413076923101</v>
      </c>
      <c r="I20" s="2"/>
      <c r="J20" s="7">
        <f t="shared" si="1"/>
        <v>0</v>
      </c>
      <c r="K20" s="2"/>
      <c r="L20" s="6">
        <f t="shared" si="2"/>
        <v>-189.40130769230996</v>
      </c>
      <c r="M20" s="2"/>
      <c r="N20" s="7">
        <f t="shared" si="3"/>
        <v>-0.11789382992235187</v>
      </c>
      <c r="O20" s="11"/>
      <c r="P20" s="6">
        <v>20510.59</v>
      </c>
      <c r="Q20" s="2"/>
      <c r="R20" s="7">
        <f t="shared" si="4"/>
        <v>0</v>
      </c>
      <c r="S20" s="2"/>
      <c r="T20" s="6">
        <v>21351.87</v>
      </c>
      <c r="U20" s="2"/>
      <c r="V20" s="7">
        <f t="shared" si="5"/>
        <v>0</v>
      </c>
      <c r="W20" s="2"/>
      <c r="X20" s="6">
        <f t="shared" si="6"/>
        <v>-841.27999999999884</v>
      </c>
      <c r="Y20" s="2"/>
      <c r="Z20" s="7">
        <f t="shared" si="7"/>
        <v>-3.9400764429532352E-2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61.13</v>
      </c>
      <c r="E21" s="2"/>
      <c r="F21" s="7">
        <f t="shared" si="0"/>
        <v>0</v>
      </c>
      <c r="G21" s="2"/>
      <c r="H21" s="6">
        <v>69.274615384615402</v>
      </c>
      <c r="I21" s="2"/>
      <c r="J21" s="7">
        <f t="shared" si="1"/>
        <v>0</v>
      </c>
      <c r="K21" s="2"/>
      <c r="L21" s="6">
        <f t="shared" si="2"/>
        <v>-8.144615384615399</v>
      </c>
      <c r="M21" s="2"/>
      <c r="N21" s="7">
        <f t="shared" si="3"/>
        <v>-0.11756998345492317</v>
      </c>
      <c r="O21" s="11"/>
      <c r="P21" s="6">
        <v>937.18</v>
      </c>
      <c r="Q21" s="2"/>
      <c r="R21" s="7">
        <f t="shared" si="4"/>
        <v>0</v>
      </c>
      <c r="S21" s="2"/>
      <c r="T21" s="6">
        <v>920.7</v>
      </c>
      <c r="U21" s="2"/>
      <c r="V21" s="7">
        <f t="shared" si="5"/>
        <v>0</v>
      </c>
      <c r="W21" s="2"/>
      <c r="X21" s="6">
        <f t="shared" si="6"/>
        <v>16.479999999999905</v>
      </c>
      <c r="Y21" s="2"/>
      <c r="Z21" s="7">
        <f t="shared" si="7"/>
        <v>1.7899424351037151E-2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4844.5200000000004</v>
      </c>
      <c r="E22" s="2"/>
      <c r="F22" s="7">
        <f t="shared" si="0"/>
        <v>0</v>
      </c>
      <c r="G22" s="2"/>
      <c r="H22" s="6">
        <v>4730.4807692307704</v>
      </c>
      <c r="I22" s="2"/>
      <c r="J22" s="7">
        <f t="shared" si="1"/>
        <v>0</v>
      </c>
      <c r="K22" s="2"/>
      <c r="L22" s="6">
        <f t="shared" si="2"/>
        <v>114.03923076923002</v>
      </c>
      <c r="M22" s="2"/>
      <c r="N22" s="7">
        <f t="shared" si="3"/>
        <v>2.4107323617293574E-2</v>
      </c>
      <c r="O22" s="11"/>
      <c r="P22" s="6">
        <v>62447.5</v>
      </c>
      <c r="Q22" s="2"/>
      <c r="R22" s="7">
        <f t="shared" si="4"/>
        <v>0</v>
      </c>
      <c r="S22" s="2"/>
      <c r="T22" s="6">
        <v>59817.692307692298</v>
      </c>
      <c r="U22" s="2"/>
      <c r="V22" s="7">
        <f t="shared" si="5"/>
        <v>0</v>
      </c>
      <c r="W22" s="2"/>
      <c r="X22" s="6">
        <f t="shared" si="6"/>
        <v>2629.8076923077024</v>
      </c>
      <c r="Y22" s="2"/>
      <c r="Z22" s="7">
        <f t="shared" si="7"/>
        <v>4.3963710247804398E-2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48.16</v>
      </c>
      <c r="E23" s="2"/>
      <c r="F23" s="7">
        <f t="shared" si="0"/>
        <v>0</v>
      </c>
      <c r="G23" s="2"/>
      <c r="H23" s="6">
        <v>54.58</v>
      </c>
      <c r="I23" s="2"/>
      <c r="J23" s="7">
        <f t="shared" si="1"/>
        <v>0</v>
      </c>
      <c r="K23" s="2"/>
      <c r="L23" s="6">
        <f t="shared" si="2"/>
        <v>-6.4200000000000017</v>
      </c>
      <c r="M23" s="2"/>
      <c r="N23" s="7">
        <f t="shared" si="3"/>
        <v>-0.11762550384756325</v>
      </c>
      <c r="O23" s="11"/>
      <c r="P23" s="6">
        <v>699.2</v>
      </c>
      <c r="Q23" s="2"/>
      <c r="R23" s="7">
        <f t="shared" si="4"/>
        <v>0</v>
      </c>
      <c r="S23" s="2"/>
      <c r="T23" s="6">
        <v>725.4</v>
      </c>
      <c r="U23" s="2"/>
      <c r="V23" s="7">
        <f t="shared" si="5"/>
        <v>0</v>
      </c>
      <c r="W23" s="2"/>
      <c r="X23" s="6">
        <f t="shared" si="6"/>
        <v>-26.199999999999932</v>
      </c>
      <c r="Y23" s="2"/>
      <c r="Z23" s="7">
        <f t="shared" si="7"/>
        <v>-3.6118003859939248E-2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2791.81</v>
      </c>
      <c r="E24" s="2"/>
      <c r="F24" s="7">
        <f t="shared" si="0"/>
        <v>0</v>
      </c>
      <c r="G24" s="2"/>
      <c r="H24" s="6">
        <v>1521.5384615384601</v>
      </c>
      <c r="I24" s="2"/>
      <c r="J24" s="7">
        <f t="shared" si="1"/>
        <v>0</v>
      </c>
      <c r="K24" s="2"/>
      <c r="L24" s="6">
        <f t="shared" si="2"/>
        <v>1270.2715384615399</v>
      </c>
      <c r="M24" s="2"/>
      <c r="N24" s="7">
        <f t="shared" si="3"/>
        <v>0.83485995955510794</v>
      </c>
      <c r="O24" s="11"/>
      <c r="P24" s="6">
        <v>26581.55</v>
      </c>
      <c r="Q24" s="2"/>
      <c r="R24" s="7">
        <f t="shared" si="4"/>
        <v>0</v>
      </c>
      <c r="S24" s="2"/>
      <c r="T24" s="6">
        <v>19780</v>
      </c>
      <c r="U24" s="2"/>
      <c r="V24" s="7">
        <f t="shared" si="5"/>
        <v>0</v>
      </c>
      <c r="W24" s="2"/>
      <c r="X24" s="6">
        <f t="shared" si="6"/>
        <v>6801.5499999999993</v>
      </c>
      <c r="Y24" s="2"/>
      <c r="Z24" s="7">
        <f t="shared" si="7"/>
        <v>0.34385995955510612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300</v>
      </c>
      <c r="I25" s="2"/>
      <c r="J25" s="7">
        <f t="shared" si="1"/>
        <v>0</v>
      </c>
      <c r="K25" s="2"/>
      <c r="L25" s="6">
        <f t="shared" si="2"/>
        <v>-300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3600</v>
      </c>
      <c r="U25" s="2"/>
      <c r="V25" s="7">
        <f t="shared" si="5"/>
        <v>0</v>
      </c>
      <c r="W25" s="2"/>
      <c r="X25" s="6">
        <f t="shared" si="6"/>
        <v>-3600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912.28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912.28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1316.83</v>
      </c>
      <c r="E27" s="2"/>
      <c r="F27" s="7">
        <f t="shared" si="0"/>
        <v>0</v>
      </c>
      <c r="G27" s="2"/>
      <c r="H27" s="6">
        <v>1049.61538461538</v>
      </c>
      <c r="I27" s="2"/>
      <c r="J27" s="7">
        <f t="shared" si="1"/>
        <v>0</v>
      </c>
      <c r="K27" s="2"/>
      <c r="L27" s="6">
        <f t="shared" si="2"/>
        <v>267.21461538461995</v>
      </c>
      <c r="M27" s="2"/>
      <c r="N27" s="7">
        <f t="shared" si="3"/>
        <v>0.25458336386955477</v>
      </c>
      <c r="O27" s="11"/>
      <c r="P27" s="6">
        <v>17751.77</v>
      </c>
      <c r="Q27" s="2"/>
      <c r="R27" s="7">
        <f t="shared" si="4"/>
        <v>0</v>
      </c>
      <c r="S27" s="2"/>
      <c r="T27" s="6">
        <v>13700</v>
      </c>
      <c r="U27" s="2"/>
      <c r="V27" s="7">
        <f t="shared" si="5"/>
        <v>0</v>
      </c>
      <c r="W27" s="2"/>
      <c r="X27" s="6">
        <f t="shared" si="6"/>
        <v>4051.7700000000004</v>
      </c>
      <c r="Y27" s="2"/>
      <c r="Z27" s="7">
        <f t="shared" si="7"/>
        <v>0.29574963503649637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844.06</v>
      </c>
      <c r="E28" s="2"/>
      <c r="F28" s="7">
        <f t="shared" si="0"/>
        <v>0</v>
      </c>
      <c r="G28" s="2"/>
      <c r="H28" s="6">
        <v>1049.61538461538</v>
      </c>
      <c r="I28" s="2"/>
      <c r="J28" s="7">
        <f t="shared" si="1"/>
        <v>0</v>
      </c>
      <c r="K28" s="2"/>
      <c r="L28" s="6">
        <f t="shared" si="2"/>
        <v>-205.55538461538004</v>
      </c>
      <c r="M28" s="2"/>
      <c r="N28" s="7">
        <f t="shared" si="3"/>
        <v>-0.1958387687797693</v>
      </c>
      <c r="O28" s="11"/>
      <c r="P28" s="6">
        <v>11747.68</v>
      </c>
      <c r="Q28" s="2"/>
      <c r="R28" s="7">
        <f t="shared" si="4"/>
        <v>0</v>
      </c>
      <c r="S28" s="2"/>
      <c r="T28" s="6">
        <v>13700</v>
      </c>
      <c r="U28" s="2"/>
      <c r="V28" s="7">
        <f t="shared" si="5"/>
        <v>0</v>
      </c>
      <c r="W28" s="2"/>
      <c r="X28" s="6">
        <f t="shared" si="6"/>
        <v>-1952.3199999999997</v>
      </c>
      <c r="Y28" s="2"/>
      <c r="Z28" s="7">
        <f t="shared" si="7"/>
        <v>-0.14250510948905107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159.57</v>
      </c>
      <c r="E29" s="2"/>
      <c r="F29" s="7">
        <f t="shared" si="0"/>
        <v>0</v>
      </c>
      <c r="G29" s="2"/>
      <c r="H29" s="6">
        <v>600</v>
      </c>
      <c r="I29" s="2"/>
      <c r="J29" s="7">
        <f t="shared" si="1"/>
        <v>0</v>
      </c>
      <c r="K29" s="2"/>
      <c r="L29" s="6">
        <f t="shared" si="2"/>
        <v>-440.43</v>
      </c>
      <c r="M29" s="2"/>
      <c r="N29" s="7">
        <f t="shared" si="3"/>
        <v>-0.73404999999999998</v>
      </c>
      <c r="O29" s="11"/>
      <c r="P29" s="6">
        <v>1829.48</v>
      </c>
      <c r="Q29" s="2"/>
      <c r="R29" s="7">
        <f t="shared" si="4"/>
        <v>0</v>
      </c>
      <c r="S29" s="2"/>
      <c r="T29" s="6">
        <v>7200</v>
      </c>
      <c r="U29" s="2"/>
      <c r="V29" s="7">
        <f t="shared" si="5"/>
        <v>0</v>
      </c>
      <c r="W29" s="2"/>
      <c r="X29" s="6">
        <f t="shared" si="6"/>
        <v>-5370.52</v>
      </c>
      <c r="Y29" s="2"/>
      <c r="Z29" s="7">
        <f t="shared" si="7"/>
        <v>-0.7459055555555556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16790.5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-2102.5769230769001</v>
      </c>
      <c r="M30" s="1"/>
      <c r="N30" s="5">
        <f t="shared" ref="N30:N40" si="11">IF(H30=0,0,L30/H30)</f>
        <v>-0.11128822116363232</v>
      </c>
      <c r="O30" s="13"/>
      <c r="P30" s="1">
        <f>SUM(OSRRefP22_1x_0)</f>
        <v>235761.19999999998</v>
      </c>
      <c r="Q30" s="1"/>
      <c r="R30" s="5">
        <f t="shared" ref="R30:R40" si="12">IF(P$12=0,0,P30/P$12)</f>
        <v>0</v>
      </c>
      <c r="S30" s="1"/>
      <c r="T30" s="1">
        <f>SUM(OSRRefT22_1x_0)</f>
        <v>251600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-15838.800000000017</v>
      </c>
      <c r="Y30" s="1"/>
      <c r="Z30" s="5">
        <f t="shared" ref="Z30:Z40" si="15">IF(T30=0,0,X30/T30)</f>
        <v>-6.2952305246422965E-2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16790.5</v>
      </c>
      <c r="E32" s="2"/>
      <c r="F32" s="7">
        <f t="shared" si="8"/>
        <v>0</v>
      </c>
      <c r="G32" s="2"/>
      <c r="H32" s="6">
        <v>15923.0769230769</v>
      </c>
      <c r="I32" s="2"/>
      <c r="J32" s="7">
        <f t="shared" si="9"/>
        <v>0</v>
      </c>
      <c r="K32" s="2"/>
      <c r="L32" s="6">
        <f t="shared" si="10"/>
        <v>867.42307692309987</v>
      </c>
      <c r="M32" s="2"/>
      <c r="N32" s="7">
        <f t="shared" si="11"/>
        <v>5.4475845410629539E-2</v>
      </c>
      <c r="O32" s="11"/>
      <c r="P32" s="6">
        <v>221547.96</v>
      </c>
      <c r="Q32" s="2"/>
      <c r="R32" s="7">
        <f t="shared" si="12"/>
        <v>0</v>
      </c>
      <c r="S32" s="2"/>
      <c r="T32" s="6">
        <v>207000</v>
      </c>
      <c r="U32" s="2"/>
      <c r="V32" s="7">
        <f t="shared" si="13"/>
        <v>0</v>
      </c>
      <c r="W32" s="2"/>
      <c r="X32" s="6">
        <f t="shared" si="14"/>
        <v>14547.959999999992</v>
      </c>
      <c r="Y32" s="2"/>
      <c r="Z32" s="7">
        <f t="shared" si="15"/>
        <v>7.0279999999999967E-2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8"/>
        <v>0</v>
      </c>
      <c r="G34" s="2"/>
      <c r="H34" s="6">
        <v>2970</v>
      </c>
      <c r="I34" s="2"/>
      <c r="J34" s="7">
        <f t="shared" si="9"/>
        <v>0</v>
      </c>
      <c r="K34" s="2"/>
      <c r="L34" s="6">
        <f t="shared" si="10"/>
        <v>-2970</v>
      </c>
      <c r="M34" s="2"/>
      <c r="N34" s="7">
        <f t="shared" si="11"/>
        <v>-1</v>
      </c>
      <c r="O34" s="11"/>
      <c r="P34" s="6">
        <v>14213.24</v>
      </c>
      <c r="Q34" s="2"/>
      <c r="R34" s="7">
        <f t="shared" si="12"/>
        <v>0</v>
      </c>
      <c r="S34" s="2"/>
      <c r="T34" s="6">
        <v>44600</v>
      </c>
      <c r="U34" s="2"/>
      <c r="V34" s="7">
        <f t="shared" si="13"/>
        <v>0</v>
      </c>
      <c r="W34" s="2"/>
      <c r="X34" s="6">
        <f t="shared" si="14"/>
        <v>-30386.760000000002</v>
      </c>
      <c r="Y34" s="2"/>
      <c r="Z34" s="7">
        <f t="shared" si="15"/>
        <v>-0.6813174887892377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3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100</v>
      </c>
      <c r="U42" s="2"/>
      <c r="V42" s="7">
        <f t="shared" si="21"/>
        <v>0</v>
      </c>
      <c r="W42" s="2"/>
      <c r="X42" s="6">
        <f t="shared" si="22"/>
        <v>-100</v>
      </c>
      <c r="Y42" s="2"/>
      <c r="Z42" s="7">
        <f t="shared" si="23"/>
        <v>-1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5098.3</v>
      </c>
      <c r="E43" s="1"/>
      <c r="F43" s="5">
        <f t="shared" si="16"/>
        <v>0</v>
      </c>
      <c r="G43" s="1"/>
      <c r="H43" s="1">
        <f>SUM(OSRRefH22_3x_0)</f>
        <v>4556</v>
      </c>
      <c r="I43" s="1"/>
      <c r="J43" s="5">
        <f t="shared" si="17"/>
        <v>0</v>
      </c>
      <c r="K43" s="1"/>
      <c r="L43" s="1">
        <f t="shared" si="18"/>
        <v>542.30000000000018</v>
      </c>
      <c r="M43" s="1"/>
      <c r="N43" s="5">
        <f t="shared" si="19"/>
        <v>0.11902985074626869</v>
      </c>
      <c r="O43" s="13"/>
      <c r="P43" s="1">
        <f>SUM(OSRRefP22_3x_0)</f>
        <v>61499.91</v>
      </c>
      <c r="Q43" s="1"/>
      <c r="R43" s="5">
        <f t="shared" si="20"/>
        <v>0</v>
      </c>
      <c r="S43" s="1"/>
      <c r="T43" s="1">
        <f>SUM(OSRRefT22_3x_0)</f>
        <v>55695</v>
      </c>
      <c r="U43" s="1"/>
      <c r="V43" s="5">
        <f t="shared" si="21"/>
        <v>0</v>
      </c>
      <c r="W43" s="1"/>
      <c r="X43" s="1">
        <f t="shared" si="22"/>
        <v>5804.9100000000035</v>
      </c>
      <c r="Y43" s="1"/>
      <c r="Z43" s="5">
        <f t="shared" si="23"/>
        <v>0.10422677080527881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5098.3</v>
      </c>
      <c r="E44" s="2"/>
      <c r="F44" s="7">
        <f t="shared" si="16"/>
        <v>0</v>
      </c>
      <c r="G44" s="2"/>
      <c r="H44" s="6">
        <v>4556</v>
      </c>
      <c r="I44" s="2"/>
      <c r="J44" s="7">
        <f t="shared" si="17"/>
        <v>0</v>
      </c>
      <c r="K44" s="2"/>
      <c r="L44" s="6">
        <f t="shared" si="18"/>
        <v>542.30000000000018</v>
      </c>
      <c r="M44" s="2"/>
      <c r="N44" s="7">
        <f t="shared" si="19"/>
        <v>0.11902985074626869</v>
      </c>
      <c r="O44" s="11"/>
      <c r="P44" s="6">
        <v>61499.91</v>
      </c>
      <c r="Q44" s="2"/>
      <c r="R44" s="7">
        <f t="shared" si="20"/>
        <v>0</v>
      </c>
      <c r="S44" s="2"/>
      <c r="T44" s="6">
        <v>55595</v>
      </c>
      <c r="U44" s="2"/>
      <c r="V44" s="7">
        <f t="shared" si="21"/>
        <v>0</v>
      </c>
      <c r="W44" s="2"/>
      <c r="X44" s="6">
        <f t="shared" si="22"/>
        <v>5904.9100000000035</v>
      </c>
      <c r="Y44" s="2"/>
      <c r="Z44" s="7">
        <f t="shared" si="23"/>
        <v>0.10621296879215764</v>
      </c>
    </row>
    <row r="45" spans="1:26" s="24" customFormat="1" hidden="1" outlineLevel="2" x14ac:dyDescent="0.25">
      <c r="A45" s="26"/>
      <c r="B45" s="11" t="str">
        <f>CONCATENATE("          ", "6324", " - ", "FURNITURE + FIXT DEPRECIATION")</f>
        <v xml:space="preserve">          6324 - FURNITURE + FIXT DEPRECIATION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100</v>
      </c>
      <c r="U45" s="2"/>
      <c r="V45" s="7">
        <f t="shared" si="21"/>
        <v>0</v>
      </c>
      <c r="W45" s="2"/>
      <c r="X45" s="6">
        <f t="shared" si="22"/>
        <v>-100</v>
      </c>
      <c r="Y45" s="2"/>
      <c r="Z45" s="7">
        <f t="shared" si="23"/>
        <v>-1</v>
      </c>
    </row>
    <row r="46" spans="1:26" s="27" customFormat="1" outlineLevel="1" collapsed="1" x14ac:dyDescent="0.25">
      <c r="A46" s="25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3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>
        <v>5.7</v>
      </c>
      <c r="Q47" s="2"/>
      <c r="R47" s="7">
        <f t="shared" si="28"/>
        <v>0</v>
      </c>
      <c r="S47" s="2"/>
      <c r="T47" s="6"/>
      <c r="U47" s="2"/>
      <c r="V47" s="7">
        <f t="shared" si="29"/>
        <v>0</v>
      </c>
      <c r="W47" s="2"/>
      <c r="X47" s="6">
        <f t="shared" si="30"/>
        <v>5.7</v>
      </c>
      <c r="Y47" s="2"/>
      <c r="Z47" s="7">
        <f t="shared" si="31"/>
        <v>0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500</v>
      </c>
      <c r="U49" s="2"/>
      <c r="V49" s="7">
        <f t="shared" si="29"/>
        <v>0</v>
      </c>
      <c r="W49" s="2"/>
      <c r="X49" s="6">
        <f t="shared" si="30"/>
        <v>-500</v>
      </c>
      <c r="Y49" s="2"/>
      <c r="Z49" s="7">
        <f t="shared" si="31"/>
        <v>-1</v>
      </c>
    </row>
    <row r="50" spans="1:26" s="27" customFormat="1" outlineLevel="1" collapsed="1" x14ac:dyDescent="0.25">
      <c r="A50" s="25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SUM(OSRRefD22_6x_0)</f>
        <v>120.95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59.95</v>
      </c>
      <c r="M50" s="1"/>
      <c r="N50" s="5">
        <f t="shared" si="27"/>
        <v>0.98278688524590163</v>
      </c>
      <c r="O50" s="13"/>
      <c r="P50" s="1">
        <f>SUM(OSRRefP22_6x_0)</f>
        <v>740.69</v>
      </c>
      <c r="Q50" s="1"/>
      <c r="R50" s="5">
        <f t="shared" si="28"/>
        <v>0</v>
      </c>
      <c r="S50" s="1"/>
      <c r="T50" s="1">
        <f>SUM(OSRRefT22_6x_0)</f>
        <v>1271</v>
      </c>
      <c r="U50" s="1"/>
      <c r="V50" s="5">
        <f t="shared" si="29"/>
        <v>0</v>
      </c>
      <c r="W50" s="1"/>
      <c r="X50" s="1">
        <f t="shared" si="30"/>
        <v>-530.30999999999995</v>
      </c>
      <c r="Y50" s="1"/>
      <c r="Z50" s="5">
        <f t="shared" si="31"/>
        <v>-0.41723839496459475</v>
      </c>
    </row>
    <row r="51" spans="1:26" s="24" customFormat="1" hidden="1" outlineLevel="2" x14ac:dyDescent="0.25">
      <c r="A51" s="26"/>
      <c r="B51" s="11" t="str">
        <f>CONCATENATE("          ", "6314", " - ", "LIABILITY INSURANCE")</f>
        <v xml:space="preserve">          6314 - LIABILITY INSURANCE</v>
      </c>
      <c r="C51" s="11"/>
      <c r="D51" s="6">
        <v>120.95</v>
      </c>
      <c r="E51" s="2"/>
      <c r="F51" s="7">
        <f t="shared" si="24"/>
        <v>0</v>
      </c>
      <c r="G51" s="2"/>
      <c r="H51" s="6">
        <v>61</v>
      </c>
      <c r="I51" s="2"/>
      <c r="J51" s="7">
        <f t="shared" si="25"/>
        <v>0</v>
      </c>
      <c r="K51" s="2"/>
      <c r="L51" s="6">
        <f t="shared" si="26"/>
        <v>59.95</v>
      </c>
      <c r="M51" s="2"/>
      <c r="N51" s="7">
        <f t="shared" si="27"/>
        <v>0.98278688524590163</v>
      </c>
      <c r="O51" s="11"/>
      <c r="P51" s="6">
        <v>740.69</v>
      </c>
      <c r="Q51" s="2"/>
      <c r="R51" s="7">
        <f t="shared" si="28"/>
        <v>0</v>
      </c>
      <c r="S51" s="2"/>
      <c r="T51" s="6">
        <v>1271</v>
      </c>
      <c r="U51" s="2"/>
      <c r="V51" s="7">
        <f t="shared" si="29"/>
        <v>0</v>
      </c>
      <c r="W51" s="2"/>
      <c r="X51" s="6">
        <f t="shared" si="30"/>
        <v>-530.30999999999995</v>
      </c>
      <c r="Y51" s="2"/>
      <c r="Z51" s="7">
        <f t="shared" si="31"/>
        <v>-0.41723839496459475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13872</v>
      </c>
      <c r="E52" s="1"/>
      <c r="F52" s="5">
        <f t="shared" si="24"/>
        <v>0</v>
      </c>
      <c r="G52" s="1"/>
      <c r="H52" s="1">
        <f>SUM(OSRRefH22_7x_0)</f>
        <v>17510</v>
      </c>
      <c r="I52" s="1"/>
      <c r="J52" s="5">
        <f t="shared" si="25"/>
        <v>0</v>
      </c>
      <c r="K52" s="1"/>
      <c r="L52" s="1">
        <f t="shared" si="26"/>
        <v>-3638</v>
      </c>
      <c r="M52" s="1"/>
      <c r="N52" s="5">
        <f t="shared" si="27"/>
        <v>-0.20776699029126214</v>
      </c>
      <c r="O52" s="13"/>
      <c r="P52" s="1">
        <f>SUM(OSRRefP22_7x_0)</f>
        <v>155262.98000000001</v>
      </c>
      <c r="Q52" s="1"/>
      <c r="R52" s="5">
        <f t="shared" si="28"/>
        <v>0</v>
      </c>
      <c r="S52" s="1"/>
      <c r="T52" s="1">
        <f>SUM(OSRRefT22_7x_0)</f>
        <v>169070</v>
      </c>
      <c r="U52" s="1"/>
      <c r="V52" s="5">
        <f t="shared" si="29"/>
        <v>0</v>
      </c>
      <c r="W52" s="1"/>
      <c r="X52" s="1">
        <f t="shared" si="30"/>
        <v>-13807.01999999999</v>
      </c>
      <c r="Y52" s="1"/>
      <c r="Z52" s="5">
        <f t="shared" si="31"/>
        <v>-8.1664517655408941E-2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1680</v>
      </c>
      <c r="E53" s="2"/>
      <c r="F53" s="7">
        <f t="shared" si="24"/>
        <v>0</v>
      </c>
      <c r="G53" s="2"/>
      <c r="H53" s="6">
        <v>660</v>
      </c>
      <c r="I53" s="2"/>
      <c r="J53" s="7">
        <f t="shared" si="25"/>
        <v>0</v>
      </c>
      <c r="K53" s="2"/>
      <c r="L53" s="6">
        <f t="shared" si="26"/>
        <v>1020</v>
      </c>
      <c r="M53" s="2"/>
      <c r="N53" s="7">
        <f t="shared" si="27"/>
        <v>1.5454545454545454</v>
      </c>
      <c r="O53" s="11"/>
      <c r="P53" s="6">
        <v>9393.98</v>
      </c>
      <c r="Q53" s="2"/>
      <c r="R53" s="7">
        <f t="shared" si="28"/>
        <v>0</v>
      </c>
      <c r="S53" s="2"/>
      <c r="T53" s="6">
        <v>7920</v>
      </c>
      <c r="U53" s="2"/>
      <c r="V53" s="7">
        <f t="shared" si="29"/>
        <v>0</v>
      </c>
      <c r="W53" s="2"/>
      <c r="X53" s="6">
        <f t="shared" si="30"/>
        <v>1473.9799999999996</v>
      </c>
      <c r="Y53" s="2"/>
      <c r="Z53" s="7">
        <f t="shared" si="31"/>
        <v>0.18610858585858581</v>
      </c>
    </row>
    <row r="54" spans="1:26" s="24" customFormat="1" hidden="1" outlineLevel="2" x14ac:dyDescent="0.25">
      <c r="A54" s="26"/>
      <c r="B54" s="11" t="str">
        <f>CONCATENATE("          ", "6372", " - ", "COMPUTER HARDWARE MAINTENANCE")</f>
        <v xml:space="preserve">          6372 - COMPUTER HARDWARE MAINTENANCE</v>
      </c>
      <c r="C54" s="11"/>
      <c r="D54" s="6"/>
      <c r="E54" s="2"/>
      <c r="F54" s="7">
        <f t="shared" si="24"/>
        <v>0</v>
      </c>
      <c r="G54" s="2"/>
      <c r="H54" s="6">
        <v>4200</v>
      </c>
      <c r="I54" s="2"/>
      <c r="J54" s="7">
        <f t="shared" si="25"/>
        <v>0</v>
      </c>
      <c r="K54" s="2"/>
      <c r="L54" s="6">
        <f t="shared" si="26"/>
        <v>-4200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21800</v>
      </c>
      <c r="U54" s="2"/>
      <c r="V54" s="7">
        <f t="shared" si="29"/>
        <v>0</v>
      </c>
      <c r="W54" s="2"/>
      <c r="X54" s="6">
        <f t="shared" si="30"/>
        <v>-21800</v>
      </c>
      <c r="Y54" s="2"/>
      <c r="Z54" s="7">
        <f t="shared" si="31"/>
        <v>-1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12192</v>
      </c>
      <c r="E55" s="2"/>
      <c r="F55" s="7">
        <f t="shared" si="24"/>
        <v>0</v>
      </c>
      <c r="G55" s="2"/>
      <c r="H55" s="6">
        <v>12650</v>
      </c>
      <c r="I55" s="2"/>
      <c r="J55" s="7">
        <f t="shared" si="25"/>
        <v>0</v>
      </c>
      <c r="K55" s="2"/>
      <c r="L55" s="6">
        <f t="shared" si="26"/>
        <v>-458</v>
      </c>
      <c r="M55" s="2"/>
      <c r="N55" s="7">
        <f t="shared" si="27"/>
        <v>-3.6205533596837945E-2</v>
      </c>
      <c r="O55" s="11"/>
      <c r="P55" s="6">
        <v>145869</v>
      </c>
      <c r="Q55" s="2"/>
      <c r="R55" s="7">
        <f t="shared" si="28"/>
        <v>0</v>
      </c>
      <c r="S55" s="2"/>
      <c r="T55" s="6">
        <v>139350</v>
      </c>
      <c r="U55" s="2"/>
      <c r="V55" s="7">
        <f t="shared" si="29"/>
        <v>0</v>
      </c>
      <c r="W55" s="2"/>
      <c r="X55" s="6">
        <f t="shared" si="30"/>
        <v>6519</v>
      </c>
      <c r="Y55" s="2"/>
      <c r="Z55" s="7">
        <f t="shared" si="31"/>
        <v>4.6781485468245426E-2</v>
      </c>
    </row>
    <row r="56" spans="1:26" s="27" customFormat="1" outlineLevel="1" collapsed="1" x14ac:dyDescent="0.25">
      <c r="A56" s="25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3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2100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-2100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900</v>
      </c>
      <c r="U57" s="2"/>
      <c r="V57" s="7">
        <f t="shared" si="37"/>
        <v>0</v>
      </c>
      <c r="W57" s="2"/>
      <c r="X57" s="6">
        <f t="shared" si="38"/>
        <v>-900</v>
      </c>
      <c r="Y57" s="2"/>
      <c r="Z57" s="7">
        <f t="shared" si="39"/>
        <v>-1</v>
      </c>
    </row>
    <row r="58" spans="1:26" s="24" customFormat="1" hidden="1" outlineLevel="2" x14ac:dyDescent="0.25">
      <c r="A58" s="26"/>
      <c r="B58" s="11" t="str">
        <f>CONCATENATE("          ", "6275", " - ", "SUBSCRIPTIONS")</f>
        <v xml:space="preserve">          6275 - SUBSCRIPTIONS</v>
      </c>
      <c r="C58" s="11"/>
      <c r="D58" s="6"/>
      <c r="E58" s="2"/>
      <c r="F58" s="7">
        <f t="shared" si="32"/>
        <v>0</v>
      </c>
      <c r="G58" s="2"/>
      <c r="H58" s="6">
        <v>100</v>
      </c>
      <c r="I58" s="2"/>
      <c r="J58" s="7">
        <f t="shared" si="33"/>
        <v>0</v>
      </c>
      <c r="K58" s="2"/>
      <c r="L58" s="6">
        <f t="shared" si="34"/>
        <v>-100</v>
      </c>
      <c r="M58" s="2"/>
      <c r="N58" s="7">
        <f t="shared" si="35"/>
        <v>-1</v>
      </c>
      <c r="O58" s="11"/>
      <c r="P58" s="6"/>
      <c r="Q58" s="2"/>
      <c r="R58" s="7">
        <f t="shared" si="36"/>
        <v>0</v>
      </c>
      <c r="S58" s="2"/>
      <c r="T58" s="6">
        <v>1200</v>
      </c>
      <c r="U58" s="2"/>
      <c r="V58" s="7">
        <f t="shared" si="37"/>
        <v>0</v>
      </c>
      <c r="W58" s="2"/>
      <c r="X58" s="6">
        <f t="shared" si="38"/>
        <v>-1200</v>
      </c>
      <c r="Y58" s="2"/>
      <c r="Z58" s="7">
        <f t="shared" si="39"/>
        <v>-1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SUM(OSRRefD22_9x_0)</f>
        <v>977.42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677.42</v>
      </c>
      <c r="M59" s="1"/>
      <c r="N59" s="5">
        <f t="shared" ref="N59:N63" si="43">IF(H59=0,0,L59/H59)</f>
        <v>2.2580666666666667</v>
      </c>
      <c r="O59" s="13"/>
      <c r="P59" s="1">
        <f>SUM(OSRRefP22_9x_0)</f>
        <v>-650.65</v>
      </c>
      <c r="Q59" s="1"/>
      <c r="R59" s="5">
        <f t="shared" ref="R59:R63" si="44">IF(P$12=0,0,P59/P$12)</f>
        <v>0</v>
      </c>
      <c r="S59" s="1"/>
      <c r="T59" s="1">
        <f>SUM(OSRRefT22_9x_0)</f>
        <v>3600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-4250.6499999999996</v>
      </c>
      <c r="Y59" s="1"/>
      <c r="Z59" s="5">
        <f t="shared" ref="Z59:Z63" si="47">IF(T59=0,0,X59/T59)</f>
        <v>-1.180736111111111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>
        <v>977.42</v>
      </c>
      <c r="E60" s="2"/>
      <c r="F60" s="7">
        <f t="shared" si="40"/>
        <v>0</v>
      </c>
      <c r="G60" s="2"/>
      <c r="H60" s="6">
        <v>300</v>
      </c>
      <c r="I60" s="2"/>
      <c r="J60" s="7">
        <f t="shared" si="41"/>
        <v>0</v>
      </c>
      <c r="K60" s="2"/>
      <c r="L60" s="6">
        <f t="shared" si="42"/>
        <v>677.42</v>
      </c>
      <c r="M60" s="2"/>
      <c r="N60" s="7">
        <f t="shared" si="43"/>
        <v>2.2580666666666667</v>
      </c>
      <c r="O60" s="11"/>
      <c r="P60" s="6">
        <v>-650.65</v>
      </c>
      <c r="Q60" s="2"/>
      <c r="R60" s="7">
        <f t="shared" si="44"/>
        <v>0</v>
      </c>
      <c r="S60" s="2"/>
      <c r="T60" s="6">
        <v>3600</v>
      </c>
      <c r="U60" s="2"/>
      <c r="V60" s="7">
        <f t="shared" si="45"/>
        <v>0</v>
      </c>
      <c r="W60" s="2"/>
      <c r="X60" s="6">
        <f t="shared" si="46"/>
        <v>-4250.6499999999996</v>
      </c>
      <c r="Y60" s="2"/>
      <c r="Z60" s="7">
        <f t="shared" si="47"/>
        <v>-1.180736111111111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1124.72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729.72</v>
      </c>
      <c r="M61" s="1"/>
      <c r="N61" s="5">
        <f t="shared" si="43"/>
        <v>1.8473924050632913</v>
      </c>
      <c r="O61" s="13"/>
      <c r="P61" s="1">
        <f>SUM(OSRRefP22_10x_0)</f>
        <v>9114.93</v>
      </c>
      <c r="Q61" s="1"/>
      <c r="R61" s="5">
        <f t="shared" si="44"/>
        <v>0</v>
      </c>
      <c r="S61" s="1"/>
      <c r="T61" s="1">
        <f>SUM(OSRRefT22_10x_0)</f>
        <v>4740</v>
      </c>
      <c r="U61" s="1"/>
      <c r="V61" s="5">
        <f t="shared" si="45"/>
        <v>0</v>
      </c>
      <c r="W61" s="1"/>
      <c r="X61" s="1">
        <f t="shared" si="46"/>
        <v>4374.93</v>
      </c>
      <c r="Y61" s="1"/>
      <c r="Z61" s="5">
        <f t="shared" si="47"/>
        <v>0.92298101265822796</v>
      </c>
    </row>
    <row r="62" spans="1:26" s="24" customFormat="1" hidden="1" outlineLevel="2" x14ac:dyDescent="0.25">
      <c r="A62" s="26"/>
      <c r="B62" s="11" t="str">
        <f>CONCATENATE("          ", "6303", " - ", "DATA PHONE LINES")</f>
        <v xml:space="preserve">          6303 - DATA PHONE LINES</v>
      </c>
      <c r="C62" s="11"/>
      <c r="D62" s="6">
        <v>241.97</v>
      </c>
      <c r="E62" s="2"/>
      <c r="F62" s="7">
        <f t="shared" si="40"/>
        <v>0</v>
      </c>
      <c r="G62" s="2"/>
      <c r="H62" s="6">
        <v>335</v>
      </c>
      <c r="I62" s="2"/>
      <c r="J62" s="7">
        <f t="shared" si="41"/>
        <v>0</v>
      </c>
      <c r="K62" s="2"/>
      <c r="L62" s="6">
        <f t="shared" si="42"/>
        <v>-93.03</v>
      </c>
      <c r="M62" s="2"/>
      <c r="N62" s="7">
        <f t="shared" si="43"/>
        <v>-0.27770149253731341</v>
      </c>
      <c r="O62" s="11"/>
      <c r="P62" s="6">
        <v>1727.78</v>
      </c>
      <c r="Q62" s="2"/>
      <c r="R62" s="7">
        <f t="shared" si="44"/>
        <v>0</v>
      </c>
      <c r="S62" s="2"/>
      <c r="T62" s="6">
        <v>4020</v>
      </c>
      <c r="U62" s="2"/>
      <c r="V62" s="7">
        <f t="shared" si="45"/>
        <v>0</v>
      </c>
      <c r="W62" s="2"/>
      <c r="X62" s="6">
        <f t="shared" si="46"/>
        <v>-2292.2200000000003</v>
      </c>
      <c r="Y62" s="2"/>
      <c r="Z62" s="7">
        <f t="shared" si="47"/>
        <v>-0.57020398009950257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882.75</v>
      </c>
      <c r="E63" s="2"/>
      <c r="F63" s="7">
        <f t="shared" si="40"/>
        <v>0</v>
      </c>
      <c r="G63" s="2"/>
      <c r="H63" s="6">
        <v>60</v>
      </c>
      <c r="I63" s="2"/>
      <c r="J63" s="7">
        <f t="shared" si="41"/>
        <v>0</v>
      </c>
      <c r="K63" s="2"/>
      <c r="L63" s="6">
        <f t="shared" si="42"/>
        <v>822.75</v>
      </c>
      <c r="M63" s="2"/>
      <c r="N63" s="7">
        <f t="shared" si="43"/>
        <v>13.7125</v>
      </c>
      <c r="O63" s="11"/>
      <c r="P63" s="6">
        <v>7387.15</v>
      </c>
      <c r="Q63" s="2"/>
      <c r="R63" s="7">
        <f t="shared" si="44"/>
        <v>0</v>
      </c>
      <c r="S63" s="2"/>
      <c r="T63" s="6">
        <v>720</v>
      </c>
      <c r="U63" s="2"/>
      <c r="V63" s="7">
        <f t="shared" si="45"/>
        <v>0</v>
      </c>
      <c r="W63" s="2"/>
      <c r="X63" s="6">
        <f t="shared" si="46"/>
        <v>6667.15</v>
      </c>
      <c r="Y63" s="2"/>
      <c r="Z63" s="7">
        <f t="shared" si="47"/>
        <v>9.2599305555555542</v>
      </c>
    </row>
    <row r="64" spans="1:26" s="27" customFormat="1" outlineLevel="1" collapsed="1" x14ac:dyDescent="0.25">
      <c r="A64" s="25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0</v>
      </c>
      <c r="M64" s="1"/>
      <c r="N64" s="5">
        <f t="shared" ref="N64:N67" si="51">IF(H64=0,0,L64/H64)</f>
        <v>0</v>
      </c>
      <c r="O64" s="13"/>
      <c r="P64" s="1">
        <f>SUM(OSRRefP22_11x_0)</f>
        <v>498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498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8"/>
        <v>0</v>
      </c>
      <c r="G65" s="2"/>
      <c r="H65" s="6"/>
      <c r="I65" s="2"/>
      <c r="J65" s="7">
        <f t="shared" si="49"/>
        <v>0</v>
      </c>
      <c r="K65" s="2"/>
      <c r="L65" s="6">
        <f t="shared" si="50"/>
        <v>0</v>
      </c>
      <c r="M65" s="2"/>
      <c r="N65" s="7">
        <f t="shared" si="51"/>
        <v>0</v>
      </c>
      <c r="O65" s="11"/>
      <c r="P65" s="6">
        <v>498</v>
      </c>
      <c r="Q65" s="2"/>
      <c r="R65" s="7">
        <f t="shared" si="52"/>
        <v>0</v>
      </c>
      <c r="S65" s="2"/>
      <c r="T65" s="6"/>
      <c r="U65" s="2"/>
      <c r="V65" s="7">
        <f t="shared" si="53"/>
        <v>0</v>
      </c>
      <c r="W65" s="2"/>
      <c r="X65" s="6">
        <f t="shared" si="54"/>
        <v>498</v>
      </c>
      <c r="Y65" s="2"/>
      <c r="Z65" s="7">
        <f t="shared" si="55"/>
        <v>0</v>
      </c>
    </row>
    <row r="66" spans="1:26" s="27" customFormat="1" outlineLevel="1" collapsed="1" x14ac:dyDescent="0.25">
      <c r="A66" s="25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7500</v>
      </c>
      <c r="U66" s="1"/>
      <c r="V66" s="5">
        <f t="shared" si="53"/>
        <v>0</v>
      </c>
      <c r="W66" s="1"/>
      <c r="X66" s="1">
        <f t="shared" si="54"/>
        <v>-7500</v>
      </c>
      <c r="Y66" s="1"/>
      <c r="Z66" s="5">
        <f t="shared" si="55"/>
        <v>-1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6"/>
      <c r="E67" s="2"/>
      <c r="F67" s="7">
        <f t="shared" si="48"/>
        <v>0</v>
      </c>
      <c r="G67" s="2"/>
      <c r="H67" s="6">
        <v>625</v>
      </c>
      <c r="I67" s="2"/>
      <c r="J67" s="7">
        <f t="shared" si="49"/>
        <v>0</v>
      </c>
      <c r="K67" s="2"/>
      <c r="L67" s="6">
        <f t="shared" si="50"/>
        <v>-625</v>
      </c>
      <c r="M67" s="2"/>
      <c r="N67" s="7">
        <f t="shared" si="51"/>
        <v>-1</v>
      </c>
      <c r="O67" s="11"/>
      <c r="P67" s="6"/>
      <c r="Q67" s="2"/>
      <c r="R67" s="7">
        <f t="shared" si="52"/>
        <v>0</v>
      </c>
      <c r="S67" s="2"/>
      <c r="T67" s="6">
        <v>7500</v>
      </c>
      <c r="U67" s="2"/>
      <c r="V67" s="7">
        <f t="shared" si="53"/>
        <v>0</v>
      </c>
      <c r="W67" s="2"/>
      <c r="X67" s="6">
        <f t="shared" si="54"/>
        <v>-7500</v>
      </c>
      <c r="Y67" s="2"/>
      <c r="Z67" s="7">
        <f t="shared" si="55"/>
        <v>-1</v>
      </c>
    </row>
    <row r="68" spans="1:26" s="61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277</v>
      </c>
      <c r="C71" s="28"/>
      <c r="D71" s="20">
        <f>+D16-D18+D69</f>
        <v>-49467.11</v>
      </c>
      <c r="E71" s="14"/>
      <c r="F71" s="22">
        <f>IF(D$12=0,0,D71/D$12)</f>
        <v>0</v>
      </c>
      <c r="G71" s="14"/>
      <c r="H71" s="20">
        <f>+H16-H18+H69</f>
        <v>-53421.722846153818</v>
      </c>
      <c r="I71" s="14"/>
      <c r="J71" s="22">
        <f>IF(H$12=0,0,H71/H$12)</f>
        <v>0</v>
      </c>
      <c r="K71" s="16"/>
      <c r="L71" s="20">
        <f>+D71-H71</f>
        <v>3954.6128461538174</v>
      </c>
      <c r="M71" s="16"/>
      <c r="N71" s="22">
        <f>IF(H71=0,0,L71/H71)</f>
        <v>-7.4026306817967708E-2</v>
      </c>
      <c r="O71" s="29"/>
      <c r="P71" s="20">
        <f>+P16-P18+P69</f>
        <v>-605649.99</v>
      </c>
      <c r="Q71" s="14"/>
      <c r="R71" s="22">
        <f>IF(P$12=0,0,P71/P$12)</f>
        <v>0</v>
      </c>
      <c r="S71" s="14"/>
      <c r="T71" s="20">
        <f>+T16-T18+T69</f>
        <v>-636971.66230769223</v>
      </c>
      <c r="U71" s="14"/>
      <c r="V71" s="22">
        <f>IF(T$12=0,0,T71/T$12)</f>
        <v>0</v>
      </c>
      <c r="W71" s="16"/>
      <c r="X71" s="20">
        <f>+P71-T71</f>
        <v>31321.672307692235</v>
      </c>
      <c r="Y71" s="16"/>
      <c r="Z71" s="22">
        <f>IF(T71=0,0,X71/T71)</f>
        <v>-4.917278767820938E-2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126</v>
      </c>
      <c r="C75" s="28"/>
      <c r="D75" s="34">
        <f>+D71-D73</f>
        <v>-49467.11</v>
      </c>
      <c r="E75" s="14"/>
      <c r="F75" s="35">
        <f>IF(D$12=0,0,D75/D$12)</f>
        <v>0</v>
      </c>
      <c r="G75" s="14"/>
      <c r="H75" s="34">
        <f>+H71-H73</f>
        <v>-53421.722846153818</v>
      </c>
      <c r="I75" s="14"/>
      <c r="J75" s="35">
        <f>IF(H$12=0,0,H75/H$12)</f>
        <v>0</v>
      </c>
      <c r="K75" s="16"/>
      <c r="L75" s="34">
        <f>D75-H75</f>
        <v>3954.6128461538174</v>
      </c>
      <c r="M75" s="16"/>
      <c r="N75" s="35">
        <f>IF(H75=0,0,L75/H75)</f>
        <v>-7.4026306817967708E-2</v>
      </c>
      <c r="O75" s="29"/>
      <c r="P75" s="34">
        <f>+P71-P73</f>
        <v>-605649.99</v>
      </c>
      <c r="Q75" s="14"/>
      <c r="R75" s="35">
        <f>IF(P$12=0,0,P75/P$12)</f>
        <v>0</v>
      </c>
      <c r="S75" s="14"/>
      <c r="T75" s="34">
        <f>+T71-T73</f>
        <v>-636971.66230769223</v>
      </c>
      <c r="U75" s="14"/>
      <c r="V75" s="35">
        <f>IF(T$12=0,0,T75/T$12)</f>
        <v>0</v>
      </c>
      <c r="W75" s="16"/>
      <c r="X75" s="34">
        <f>P75-T75</f>
        <v>31321.672307692235</v>
      </c>
      <c r="Y75" s="16"/>
      <c r="Z75" s="35">
        <f>IF(T75=0,0,X75/T75)</f>
        <v>-4.917278767820938E-2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294</v>
      </c>
      <c r="C78" s="28"/>
      <c r="D78" s="33">
        <f>SUM(D75:D77)</f>
        <v>-49467.11</v>
      </c>
      <c r="E78" s="14"/>
      <c r="F78" s="31">
        <f>IF(D$12=0,0,D78/D$12)</f>
        <v>0</v>
      </c>
      <c r="G78" s="14"/>
      <c r="H78" s="33">
        <f>SUM(H75:H77)</f>
        <v>-53421.722846153818</v>
      </c>
      <c r="I78" s="14"/>
      <c r="J78" s="31">
        <f>IF(H$12=0,0,H78/H$12)</f>
        <v>0</v>
      </c>
      <c r="K78" s="16"/>
      <c r="L78" s="33">
        <f>+D78-H78</f>
        <v>3954.6128461538174</v>
      </c>
      <c r="M78" s="16"/>
      <c r="N78" s="31">
        <f>IF(H78=0,0,L78/H78)</f>
        <v>-7.4026306817967708E-2</v>
      </c>
      <c r="O78" s="29"/>
      <c r="P78" s="33">
        <f>SUM(P75:P77)</f>
        <v>-605649.99</v>
      </c>
      <c r="Q78" s="14"/>
      <c r="R78" s="31">
        <f>IF(P$12=0,0,P78/P$12)</f>
        <v>0</v>
      </c>
      <c r="S78" s="14"/>
      <c r="T78" s="33">
        <f>SUM(T75:T77)</f>
        <v>-636971.66230769223</v>
      </c>
      <c r="U78" s="14"/>
      <c r="V78" s="31">
        <f>IF(T$12=0,0,T78/T$12)</f>
        <v>0</v>
      </c>
      <c r="W78" s="16"/>
      <c r="X78" s="33">
        <f>+P78-T78</f>
        <v>31321.672307692235</v>
      </c>
      <c r="Y78" s="16"/>
      <c r="Z78" s="31">
        <f>IF(T78=0,0,X78/T78)</f>
        <v>-4.917278767820938E-2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6">
        <v>44454.686112384261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5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63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8329.1699999999983</v>
      </c>
      <c r="E18" s="21"/>
      <c r="F18" s="30">
        <f t="shared" ref="F18:F28" si="0">IF(D$12=0,0,D18/D$12)</f>
        <v>0</v>
      </c>
      <c r="G18" s="21"/>
      <c r="H18" s="21">
        <f>SUM(OSRRefH22x_0)</f>
        <v>7290.2521538461542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1038.917846153844</v>
      </c>
      <c r="M18" s="4"/>
      <c r="N18" s="30">
        <f t="shared" ref="N18:N28" si="3">IF(H18=0,0,L18/H18)</f>
        <v>0.14250780689468157</v>
      </c>
      <c r="O18" s="10"/>
      <c r="P18" s="21">
        <f>SUM(OSRRefP22x_0)</f>
        <v>99842.01</v>
      </c>
      <c r="Q18" s="21"/>
      <c r="R18" s="30">
        <f t="shared" ref="R18:R28" si="4">IF(P$12=0,0,P18/P$12)</f>
        <v>0</v>
      </c>
      <c r="S18" s="21"/>
      <c r="T18" s="21">
        <f>SUM(OSRRefT22x_0)</f>
        <v>101096.27799999999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-1254.2679999999964</v>
      </c>
      <c r="Y18" s="4"/>
      <c r="Z18" s="30">
        <f t="shared" ref="Z18:Z28" si="7">IF(T18=0,0,X18/T18)</f>
        <v>-1.2406668423539751E-2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2776.72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951.46784615384558</v>
      </c>
      <c r="M19" s="1"/>
      <c r="N19" s="5">
        <f t="shared" si="3"/>
        <v>0.5212802210088735</v>
      </c>
      <c r="O19" s="13"/>
      <c r="P19" s="1">
        <f>SUM(OSRRefP22_0x_0)</f>
        <v>30932.5</v>
      </c>
      <c r="Q19" s="1"/>
      <c r="R19" s="5">
        <f t="shared" si="4"/>
        <v>0</v>
      </c>
      <c r="S19" s="1"/>
      <c r="T19" s="1">
        <f>SUM(OSRRefT22_0x_0)</f>
        <v>23728.277999999998</v>
      </c>
      <c r="U19" s="1"/>
      <c r="V19" s="5">
        <f t="shared" si="5"/>
        <v>0</v>
      </c>
      <c r="W19" s="1"/>
      <c r="X19" s="1">
        <f t="shared" si="6"/>
        <v>7204.2220000000016</v>
      </c>
      <c r="Y19" s="1"/>
      <c r="Z19" s="5">
        <f t="shared" si="7"/>
        <v>0.30361335112476356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322.3</v>
      </c>
      <c r="E20" s="2"/>
      <c r="F20" s="7">
        <f t="shared" si="0"/>
        <v>0</v>
      </c>
      <c r="G20" s="2"/>
      <c r="H20" s="6">
        <v>321.42599999999999</v>
      </c>
      <c r="I20" s="2"/>
      <c r="J20" s="7">
        <f t="shared" si="1"/>
        <v>0</v>
      </c>
      <c r="K20" s="2"/>
      <c r="L20" s="6">
        <f t="shared" si="2"/>
        <v>0.87400000000002365</v>
      </c>
      <c r="M20" s="2"/>
      <c r="N20" s="7">
        <f t="shared" si="3"/>
        <v>2.7191328641740981E-3</v>
      </c>
      <c r="O20" s="11"/>
      <c r="P20" s="6">
        <v>4161.8</v>
      </c>
      <c r="Q20" s="2"/>
      <c r="R20" s="7">
        <f t="shared" si="4"/>
        <v>0</v>
      </c>
      <c r="S20" s="2"/>
      <c r="T20" s="6">
        <v>4178.5379999999996</v>
      </c>
      <c r="U20" s="2"/>
      <c r="V20" s="7">
        <f t="shared" si="5"/>
        <v>0</v>
      </c>
      <c r="W20" s="2"/>
      <c r="X20" s="6">
        <f t="shared" si="6"/>
        <v>-16.737999999999374</v>
      </c>
      <c r="Y20" s="2"/>
      <c r="Z20" s="7">
        <f t="shared" si="7"/>
        <v>-4.005707259333139E-3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291.97000000000003</v>
      </c>
      <c r="E21" s="2"/>
      <c r="F21" s="7">
        <f t="shared" si="0"/>
        <v>0</v>
      </c>
      <c r="G21" s="2"/>
      <c r="H21" s="6">
        <v>291.06</v>
      </c>
      <c r="I21" s="2"/>
      <c r="J21" s="7">
        <f t="shared" si="1"/>
        <v>0</v>
      </c>
      <c r="K21" s="2"/>
      <c r="L21" s="6">
        <f t="shared" si="2"/>
        <v>0.91000000000002501</v>
      </c>
      <c r="M21" s="2"/>
      <c r="N21" s="7">
        <f t="shared" si="3"/>
        <v>3.1265031265032125E-3</v>
      </c>
      <c r="O21" s="11"/>
      <c r="P21" s="6">
        <v>3767.89</v>
      </c>
      <c r="Q21" s="2"/>
      <c r="R21" s="7">
        <f t="shared" si="4"/>
        <v>0</v>
      </c>
      <c r="S21" s="2"/>
      <c r="T21" s="6">
        <v>3783.78</v>
      </c>
      <c r="U21" s="2"/>
      <c r="V21" s="7">
        <f t="shared" si="5"/>
        <v>0</v>
      </c>
      <c r="W21" s="2"/>
      <c r="X21" s="6">
        <f t="shared" si="6"/>
        <v>-15.890000000000327</v>
      </c>
      <c r="Y21" s="2"/>
      <c r="Z21" s="7">
        <f t="shared" si="7"/>
        <v>-4.1995041995042861E-3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699.91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86.06384615384593</v>
      </c>
      <c r="M22" s="2"/>
      <c r="N22" s="7">
        <f t="shared" si="3"/>
        <v>0.14020426065162866</v>
      </c>
      <c r="O22" s="11"/>
      <c r="P22" s="6">
        <v>8376.42</v>
      </c>
      <c r="Q22" s="2"/>
      <c r="R22" s="7">
        <f t="shared" si="4"/>
        <v>0</v>
      </c>
      <c r="S22" s="2"/>
      <c r="T22" s="6">
        <v>7980</v>
      </c>
      <c r="U22" s="2"/>
      <c r="V22" s="7">
        <f t="shared" si="5"/>
        <v>0</v>
      </c>
      <c r="W22" s="2"/>
      <c r="X22" s="6">
        <f t="shared" si="6"/>
        <v>396.42000000000007</v>
      </c>
      <c r="Y22" s="2"/>
      <c r="Z22" s="7">
        <f t="shared" si="7"/>
        <v>4.9676691729323319E-2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10.95</v>
      </c>
      <c r="E23" s="2"/>
      <c r="F23" s="7">
        <f t="shared" si="0"/>
        <v>0</v>
      </c>
      <c r="G23" s="2"/>
      <c r="H23" s="6">
        <v>10.92</v>
      </c>
      <c r="I23" s="2"/>
      <c r="J23" s="7">
        <f t="shared" si="1"/>
        <v>0</v>
      </c>
      <c r="K23" s="2"/>
      <c r="L23" s="6">
        <f t="shared" si="2"/>
        <v>2.9999999999999361E-2</v>
      </c>
      <c r="M23" s="2"/>
      <c r="N23" s="7">
        <f t="shared" si="3"/>
        <v>2.7472527472526889E-3</v>
      </c>
      <c r="O23" s="11"/>
      <c r="P23" s="6">
        <v>141.38</v>
      </c>
      <c r="Q23" s="2"/>
      <c r="R23" s="7">
        <f t="shared" si="4"/>
        <v>0</v>
      </c>
      <c r="S23" s="2"/>
      <c r="T23" s="6">
        <v>141.96</v>
      </c>
      <c r="U23" s="2"/>
      <c r="V23" s="7">
        <f t="shared" si="5"/>
        <v>0</v>
      </c>
      <c r="W23" s="2"/>
      <c r="X23" s="6">
        <f t="shared" si="6"/>
        <v>-0.58000000000001251</v>
      </c>
      <c r="Y23" s="2"/>
      <c r="Z23" s="7">
        <f t="shared" si="7"/>
        <v>-4.0856579318118659E-3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694.91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694.91</v>
      </c>
      <c r="M24" s="2"/>
      <c r="N24" s="7">
        <f t="shared" si="3"/>
        <v>0</v>
      </c>
      <c r="O24" s="11"/>
      <c r="P24" s="6">
        <v>6254.16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6254.16</v>
      </c>
      <c r="Y24" s="2"/>
      <c r="Z24" s="7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420</v>
      </c>
      <c r="I26" s="2"/>
      <c r="J26" s="7">
        <f t="shared" si="1"/>
        <v>0</v>
      </c>
      <c r="K26" s="2"/>
      <c r="L26" s="6">
        <f t="shared" si="2"/>
        <v>-32.04000000000002</v>
      </c>
      <c r="M26" s="2"/>
      <c r="N26" s="7">
        <f t="shared" si="3"/>
        <v>-7.6285714285714332E-2</v>
      </c>
      <c r="O26" s="11"/>
      <c r="P26" s="6">
        <v>3943.64</v>
      </c>
      <c r="Q26" s="2"/>
      <c r="R26" s="7">
        <f t="shared" si="4"/>
        <v>0</v>
      </c>
      <c r="S26" s="2"/>
      <c r="T26" s="6">
        <v>5460</v>
      </c>
      <c r="U26" s="2"/>
      <c r="V26" s="7">
        <f t="shared" si="5"/>
        <v>0</v>
      </c>
      <c r="W26" s="2"/>
      <c r="X26" s="6">
        <f t="shared" si="6"/>
        <v>-1516.3600000000001</v>
      </c>
      <c r="Y26" s="2"/>
      <c r="Z26" s="7">
        <f t="shared" si="7"/>
        <v>-0.27772161172161175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168</v>
      </c>
      <c r="I27" s="2"/>
      <c r="J27" s="7">
        <f t="shared" si="1"/>
        <v>0</v>
      </c>
      <c r="K27" s="2"/>
      <c r="L27" s="6">
        <f t="shared" si="2"/>
        <v>25.72</v>
      </c>
      <c r="M27" s="2"/>
      <c r="N27" s="7">
        <f t="shared" si="3"/>
        <v>0.15309523809523809</v>
      </c>
      <c r="O27" s="11"/>
      <c r="P27" s="6">
        <v>2518.36</v>
      </c>
      <c r="Q27" s="2"/>
      <c r="R27" s="7">
        <f t="shared" si="4"/>
        <v>0</v>
      </c>
      <c r="S27" s="2"/>
      <c r="T27" s="6">
        <v>2184</v>
      </c>
      <c r="U27" s="2"/>
      <c r="V27" s="7">
        <f t="shared" si="5"/>
        <v>0</v>
      </c>
      <c r="W27" s="2"/>
      <c r="X27" s="6">
        <f t="shared" si="6"/>
        <v>334.36000000000013</v>
      </c>
      <c r="Y27" s="2"/>
      <c r="Z27" s="7">
        <f t="shared" si="7"/>
        <v>0.15309523809523815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175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175</v>
      </c>
      <c r="M28" s="2"/>
      <c r="N28" s="7">
        <f t="shared" si="3"/>
        <v>0</v>
      </c>
      <c r="O28" s="11"/>
      <c r="P28" s="6">
        <v>1768.85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1768.85</v>
      </c>
      <c r="Y28" s="2"/>
      <c r="Z28" s="7">
        <f t="shared" si="7"/>
        <v>0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4199.74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461.73999999999978</v>
      </c>
      <c r="M29" s="1"/>
      <c r="N29" s="5">
        <f t="shared" ref="N29:N39" si="11">IF(H29=0,0,L29/H29)</f>
        <v>0.12352594970572493</v>
      </c>
      <c r="O29" s="13"/>
      <c r="P29" s="1">
        <f>SUM(OSRRefP22_1x_0)</f>
        <v>50654.67</v>
      </c>
      <c r="Q29" s="1"/>
      <c r="R29" s="5">
        <f t="shared" ref="R29:R39" si="12">IF(P$12=0,0,P29/P$12)</f>
        <v>0</v>
      </c>
      <c r="S29" s="1"/>
      <c r="T29" s="1">
        <f>SUM(OSRRefT22_1x_0)</f>
        <v>48594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2060.6699999999983</v>
      </c>
      <c r="Y29" s="1"/>
      <c r="Z29" s="5">
        <f t="shared" ref="Z29:Z39" si="15">IF(T29=0,0,X29/T29)</f>
        <v>4.2405852574391861E-2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4199.74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4199.74</v>
      </c>
      <c r="M31" s="2"/>
      <c r="N31" s="7">
        <f t="shared" si="11"/>
        <v>0</v>
      </c>
      <c r="O31" s="11"/>
      <c r="P31" s="6">
        <v>50654.67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50654.67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3738</v>
      </c>
      <c r="I33" s="2"/>
      <c r="J33" s="7">
        <f t="shared" si="9"/>
        <v>0</v>
      </c>
      <c r="K33" s="2"/>
      <c r="L33" s="6">
        <f t="shared" si="10"/>
        <v>-3738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48594</v>
      </c>
      <c r="U33" s="2"/>
      <c r="V33" s="7">
        <f t="shared" si="13"/>
        <v>0</v>
      </c>
      <c r="W33" s="2"/>
      <c r="X33" s="6">
        <f t="shared" si="14"/>
        <v>-48594</v>
      </c>
      <c r="Y33" s="2"/>
      <c r="Z33" s="7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-238.8</v>
      </c>
      <c r="Q40" s="1"/>
      <c r="R40" s="5">
        <f t="shared" ref="R40:R47" si="20">IF(P$12=0,0,P40/P$12)</f>
        <v>0</v>
      </c>
      <c r="S40" s="1"/>
      <c r="T40" s="1">
        <f>SUM(OSRRefT22_2x_0)</f>
        <v>-750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511.2</v>
      </c>
      <c r="Y40" s="1"/>
      <c r="Z40" s="5">
        <f t="shared" ref="Z40:Z47" si="23">IF(T40=0,0,X40/T40)</f>
        <v>-0.68159999999999998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-238.8</v>
      </c>
      <c r="Q41" s="2"/>
      <c r="R41" s="7">
        <f t="shared" si="20"/>
        <v>0</v>
      </c>
      <c r="S41" s="2"/>
      <c r="T41" s="6">
        <v>-750</v>
      </c>
      <c r="U41" s="2"/>
      <c r="V41" s="7">
        <f t="shared" si="21"/>
        <v>0</v>
      </c>
      <c r="W41" s="2"/>
      <c r="X41" s="6">
        <f t="shared" si="22"/>
        <v>511.2</v>
      </c>
      <c r="Y41" s="2"/>
      <c r="Z41" s="7">
        <f t="shared" si="23"/>
        <v>-0.68159999999999998</v>
      </c>
    </row>
    <row r="42" spans="1:26" s="27" customFormat="1" outlineLevel="1" collapsed="1" x14ac:dyDescent="0.25">
      <c r="A42" s="25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52.73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25.729999999999997</v>
      </c>
      <c r="M42" s="1"/>
      <c r="N42" s="5">
        <f t="shared" si="19"/>
        <v>0.9529629629629629</v>
      </c>
      <c r="O42" s="13"/>
      <c r="P42" s="1">
        <f>SUM(OSRRefP22_3x_0)</f>
        <v>322.89</v>
      </c>
      <c r="Q42" s="1"/>
      <c r="R42" s="5">
        <f t="shared" si="20"/>
        <v>0</v>
      </c>
      <c r="S42" s="1"/>
      <c r="T42" s="1">
        <f>SUM(OSRRefT22_3x_0)</f>
        <v>324</v>
      </c>
      <c r="U42" s="1"/>
      <c r="V42" s="5">
        <f t="shared" si="21"/>
        <v>0</v>
      </c>
      <c r="W42" s="1"/>
      <c r="X42" s="1">
        <f t="shared" si="22"/>
        <v>-1.1100000000000136</v>
      </c>
      <c r="Y42" s="1"/>
      <c r="Z42" s="5">
        <f t="shared" si="23"/>
        <v>-3.4259259259259681E-3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52.73</v>
      </c>
      <c r="E43" s="2"/>
      <c r="F43" s="7">
        <f t="shared" si="16"/>
        <v>0</v>
      </c>
      <c r="G43" s="2"/>
      <c r="H43" s="6">
        <v>27</v>
      </c>
      <c r="I43" s="2"/>
      <c r="J43" s="7">
        <f t="shared" si="17"/>
        <v>0</v>
      </c>
      <c r="K43" s="2"/>
      <c r="L43" s="6">
        <f t="shared" si="18"/>
        <v>25.729999999999997</v>
      </c>
      <c r="M43" s="2"/>
      <c r="N43" s="7">
        <f t="shared" si="19"/>
        <v>0.9529629629629629</v>
      </c>
      <c r="O43" s="11"/>
      <c r="P43" s="6">
        <v>322.89</v>
      </c>
      <c r="Q43" s="2"/>
      <c r="R43" s="7">
        <f t="shared" si="20"/>
        <v>0</v>
      </c>
      <c r="S43" s="2"/>
      <c r="T43" s="6">
        <v>324</v>
      </c>
      <c r="U43" s="2"/>
      <c r="V43" s="7">
        <f t="shared" si="21"/>
        <v>0</v>
      </c>
      <c r="W43" s="2"/>
      <c r="X43" s="6">
        <f t="shared" si="22"/>
        <v>-1.1100000000000136</v>
      </c>
      <c r="Y43" s="2"/>
      <c r="Z43" s="7">
        <f t="shared" si="23"/>
        <v>-3.4259259259259681E-3</v>
      </c>
    </row>
    <row r="44" spans="1:26" s="27" customFormat="1" outlineLevel="1" collapsed="1" x14ac:dyDescent="0.25">
      <c r="A44" s="25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SUM(OSRRefD22_4x_0)</f>
        <v>976.98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-523.02</v>
      </c>
      <c r="M44" s="1"/>
      <c r="N44" s="5">
        <f t="shared" si="19"/>
        <v>-0.34867999999999999</v>
      </c>
      <c r="O44" s="13"/>
      <c r="P44" s="1">
        <f>SUM(OSRRefP22_4x_0)</f>
        <v>11937.169999999998</v>
      </c>
      <c r="Q44" s="1"/>
      <c r="R44" s="5">
        <f t="shared" si="20"/>
        <v>0</v>
      </c>
      <c r="S44" s="1"/>
      <c r="T44" s="1">
        <f>SUM(OSRRefT22_4x_0)</f>
        <v>23000</v>
      </c>
      <c r="U44" s="1"/>
      <c r="V44" s="5">
        <f t="shared" si="21"/>
        <v>0</v>
      </c>
      <c r="W44" s="1"/>
      <c r="X44" s="1">
        <f t="shared" si="22"/>
        <v>-11062.830000000002</v>
      </c>
      <c r="Y44" s="1"/>
      <c r="Z44" s="5">
        <f t="shared" si="23"/>
        <v>-0.48099260869565225</v>
      </c>
    </row>
    <row r="45" spans="1:26" s="24" customFormat="1" hidden="1" outlineLevel="2" x14ac:dyDescent="0.25">
      <c r="A45" s="26"/>
      <c r="B45" s="11" t="str">
        <f>CONCATENATE("          ", "6371", " - ", "COMPUTER SOFTWARE MAINTENANCE")</f>
        <v xml:space="preserve">          6371 - COMPUTER SOFTWARE MAINTENANCE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5000</v>
      </c>
      <c r="U45" s="2"/>
      <c r="V45" s="7">
        <f t="shared" si="21"/>
        <v>0</v>
      </c>
      <c r="W45" s="2"/>
      <c r="X45" s="6">
        <f t="shared" si="22"/>
        <v>-5000</v>
      </c>
      <c r="Y45" s="2"/>
      <c r="Z45" s="7">
        <f t="shared" si="23"/>
        <v>-1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891.98</v>
      </c>
      <c r="E46" s="2"/>
      <c r="F46" s="7">
        <f t="shared" si="16"/>
        <v>0</v>
      </c>
      <c r="G46" s="2"/>
      <c r="H46" s="6">
        <v>1500</v>
      </c>
      <c r="I46" s="2"/>
      <c r="J46" s="7">
        <f t="shared" si="17"/>
        <v>0</v>
      </c>
      <c r="K46" s="2"/>
      <c r="L46" s="6">
        <f t="shared" si="18"/>
        <v>-608.02</v>
      </c>
      <c r="M46" s="2"/>
      <c r="N46" s="7">
        <f t="shared" si="19"/>
        <v>-0.40534666666666663</v>
      </c>
      <c r="O46" s="11"/>
      <c r="P46" s="6">
        <v>9681.8799999999992</v>
      </c>
      <c r="Q46" s="2"/>
      <c r="R46" s="7">
        <f t="shared" si="20"/>
        <v>0</v>
      </c>
      <c r="S46" s="2"/>
      <c r="T46" s="6">
        <v>18000</v>
      </c>
      <c r="U46" s="2"/>
      <c r="V46" s="7">
        <f t="shared" si="21"/>
        <v>0</v>
      </c>
      <c r="W46" s="2"/>
      <c r="X46" s="6">
        <f t="shared" si="22"/>
        <v>-8318.1200000000008</v>
      </c>
      <c r="Y46" s="2"/>
      <c r="Z46" s="7">
        <f t="shared" si="23"/>
        <v>-0.46211777777777785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>
        <v>85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85</v>
      </c>
      <c r="M47" s="2"/>
      <c r="N47" s="7">
        <f t="shared" si="19"/>
        <v>0</v>
      </c>
      <c r="O47" s="11"/>
      <c r="P47" s="6">
        <v>2255.29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2255.29</v>
      </c>
      <c r="Y47" s="2"/>
      <c r="Z47" s="7">
        <f t="shared" si="23"/>
        <v>0</v>
      </c>
    </row>
    <row r="48" spans="1:26" s="27" customFormat="1" outlineLevel="1" collapsed="1" x14ac:dyDescent="0.25">
      <c r="A48" s="25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SUM(OSRRefD22_5x_0)</f>
        <v>0</v>
      </c>
      <c r="E48" s="1"/>
      <c r="F48" s="5">
        <f t="shared" ref="F48:F53" si="24">IF(D$12=0,0,D48/D$12)</f>
        <v>0</v>
      </c>
      <c r="G48" s="1"/>
      <c r="H48" s="1">
        <f>SUM(OSRRefH22_5x_0)</f>
        <v>25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-25</v>
      </c>
      <c r="M48" s="1"/>
      <c r="N48" s="5">
        <f t="shared" ref="N48:N53" si="27">IF(H48=0,0,L48/H48)</f>
        <v>-1</v>
      </c>
      <c r="O48" s="13"/>
      <c r="P48" s="1">
        <f>SUM(OSRRefP22_5x_0)</f>
        <v>0</v>
      </c>
      <c r="Q48" s="1"/>
      <c r="R48" s="5">
        <f t="shared" ref="R48:R53" si="28">IF(P$12=0,0,P48/P$12)</f>
        <v>0</v>
      </c>
      <c r="S48" s="1"/>
      <c r="T48" s="1">
        <f>SUM(OSRRefT22_5x_0)</f>
        <v>300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-300</v>
      </c>
      <c r="Y48" s="1"/>
      <c r="Z48" s="5">
        <f t="shared" ref="Z48:Z53" si="31">IF(T48=0,0,X48/T48)</f>
        <v>-1</v>
      </c>
    </row>
    <row r="49" spans="1:26" s="24" customFormat="1" hidden="1" outlineLevel="2" x14ac:dyDescent="0.25">
      <c r="A49" s="26"/>
      <c r="B49" s="11" t="str">
        <f>CONCATENATE("          ", "6286", " - ", "LAUNDRY EXPENSE")</f>
        <v xml:space="preserve">          6286 - LAUNDRY EXPENSE</v>
      </c>
      <c r="C49" s="11"/>
      <c r="D49" s="6"/>
      <c r="E49" s="2"/>
      <c r="F49" s="7">
        <f t="shared" si="24"/>
        <v>0</v>
      </c>
      <c r="G49" s="2"/>
      <c r="H49" s="6">
        <v>25</v>
      </c>
      <c r="I49" s="2"/>
      <c r="J49" s="7">
        <f t="shared" si="25"/>
        <v>0</v>
      </c>
      <c r="K49" s="2"/>
      <c r="L49" s="6">
        <f t="shared" si="26"/>
        <v>-25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300</v>
      </c>
      <c r="U49" s="2"/>
      <c r="V49" s="7">
        <f t="shared" si="29"/>
        <v>0</v>
      </c>
      <c r="W49" s="2"/>
      <c r="X49" s="6">
        <f t="shared" si="30"/>
        <v>-300</v>
      </c>
      <c r="Y49" s="2"/>
      <c r="Z49" s="7">
        <f t="shared" si="31"/>
        <v>-1</v>
      </c>
    </row>
    <row r="50" spans="1:26" s="27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SUM(OSRRefD22_6x_0)</f>
        <v>0</v>
      </c>
      <c r="E50" s="1"/>
      <c r="F50" s="5">
        <f t="shared" si="24"/>
        <v>0</v>
      </c>
      <c r="G50" s="1"/>
      <c r="H50" s="1">
        <f>SUM(OSRRefH22_6x_0)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SUM(OSRRefP22_6x_0)</f>
        <v>5303.58</v>
      </c>
      <c r="Q50" s="1"/>
      <c r="R50" s="5">
        <f t="shared" si="28"/>
        <v>0</v>
      </c>
      <c r="S50" s="1"/>
      <c r="T50" s="1">
        <f>SUM(OSRRefT22_6x_0)</f>
        <v>5000</v>
      </c>
      <c r="U50" s="1"/>
      <c r="V50" s="5">
        <f t="shared" si="29"/>
        <v>0</v>
      </c>
      <c r="W50" s="1"/>
      <c r="X50" s="1">
        <f t="shared" si="30"/>
        <v>303.57999999999993</v>
      </c>
      <c r="Y50" s="1"/>
      <c r="Z50" s="5">
        <f t="shared" si="31"/>
        <v>6.0715999999999985E-2</v>
      </c>
    </row>
    <row r="51" spans="1:26" s="24" customFormat="1" hidden="1" outlineLevel="2" x14ac:dyDescent="0.25">
      <c r="A51" s="26"/>
      <c r="B51" s="11" t="str">
        <f>CONCATENATE("          ", "6235", " - ", "COVID-19 EXPENSES")</f>
        <v xml:space="preserve">          6235 - COVID-19 EXPENSES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66.12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66.12</v>
      </c>
      <c r="Y51" s="2"/>
      <c r="Z51" s="7">
        <f t="shared" si="31"/>
        <v>0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5237.46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5237.46</v>
      </c>
      <c r="Y52" s="2"/>
      <c r="Z52" s="7">
        <f t="shared" si="31"/>
        <v>0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5000</v>
      </c>
      <c r="U53" s="2"/>
      <c r="V53" s="7">
        <f t="shared" si="29"/>
        <v>0</v>
      </c>
      <c r="W53" s="2"/>
      <c r="X53" s="6">
        <f t="shared" si="30"/>
        <v>-5000</v>
      </c>
      <c r="Y53" s="2"/>
      <c r="Z53" s="7">
        <f t="shared" si="31"/>
        <v>-1</v>
      </c>
    </row>
    <row r="54" spans="1:26" s="27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SUM(OSRRefD22_7x_0)</f>
        <v>323</v>
      </c>
      <c r="E54" s="1"/>
      <c r="F54" s="5">
        <f t="shared" ref="F54:F55" si="32">IF(D$12=0,0,D54/D$12)</f>
        <v>0</v>
      </c>
      <c r="G54" s="1"/>
      <c r="H54" s="1">
        <f>SUM(OSRRefH22_7x_0)</f>
        <v>175</v>
      </c>
      <c r="I54" s="1"/>
      <c r="J54" s="5">
        <f t="shared" ref="J54:J55" si="33">IF(H$12=0,0,H54/H$12)</f>
        <v>0</v>
      </c>
      <c r="K54" s="1"/>
      <c r="L54" s="1">
        <f t="shared" ref="L54:L55" si="34">+D54-H54</f>
        <v>148</v>
      </c>
      <c r="M54" s="1"/>
      <c r="N54" s="5">
        <f t="shared" ref="N54:N55" si="35">IF(H54=0,0,L54/H54)</f>
        <v>0.84571428571428575</v>
      </c>
      <c r="O54" s="13"/>
      <c r="P54" s="1">
        <f>SUM(OSRRefP22_7x_0)</f>
        <v>930</v>
      </c>
      <c r="Q54" s="1"/>
      <c r="R54" s="5">
        <f t="shared" ref="R54:R55" si="36">IF(P$12=0,0,P54/P$12)</f>
        <v>0</v>
      </c>
      <c r="S54" s="1"/>
      <c r="T54" s="1">
        <f>SUM(OSRRefT22_7x_0)</f>
        <v>900</v>
      </c>
      <c r="U54" s="1"/>
      <c r="V54" s="5">
        <f t="shared" ref="V54:V55" si="37">IF(T$12=0,0,T54/T$12)</f>
        <v>0</v>
      </c>
      <c r="W54" s="1"/>
      <c r="X54" s="1">
        <f t="shared" ref="X54:X55" si="38">+P54-T54</f>
        <v>30</v>
      </c>
      <c r="Y54" s="1"/>
      <c r="Z54" s="5">
        <f t="shared" ref="Z54:Z55" si="39">IF(T54=0,0,X54/T54)</f>
        <v>3.3333333333333333E-2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323</v>
      </c>
      <c r="E55" s="2"/>
      <c r="F55" s="7">
        <f t="shared" si="32"/>
        <v>0</v>
      </c>
      <c r="G55" s="2"/>
      <c r="H55" s="6">
        <v>175</v>
      </c>
      <c r="I55" s="2"/>
      <c r="J55" s="7">
        <f t="shared" si="33"/>
        <v>0</v>
      </c>
      <c r="K55" s="2"/>
      <c r="L55" s="6">
        <f t="shared" si="34"/>
        <v>148</v>
      </c>
      <c r="M55" s="2"/>
      <c r="N55" s="7">
        <f t="shared" si="35"/>
        <v>0.84571428571428575</v>
      </c>
      <c r="O55" s="11"/>
      <c r="P55" s="6">
        <v>930</v>
      </c>
      <c r="Q55" s="2"/>
      <c r="R55" s="7">
        <f t="shared" si="36"/>
        <v>0</v>
      </c>
      <c r="S55" s="2"/>
      <c r="T55" s="6">
        <v>900</v>
      </c>
      <c r="U55" s="2"/>
      <c r="V55" s="7">
        <f t="shared" si="37"/>
        <v>0</v>
      </c>
      <c r="W55" s="2"/>
      <c r="X55" s="6">
        <f t="shared" si="38"/>
        <v>30</v>
      </c>
      <c r="Y55" s="2"/>
      <c r="Z55" s="7">
        <f t="shared" si="39"/>
        <v>3.3333333333333333E-2</v>
      </c>
    </row>
    <row r="56" spans="1:26" s="61" customFormat="1" x14ac:dyDescent="0.25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277</v>
      </c>
      <c r="C59" s="28"/>
      <c r="D59" s="20">
        <f>+D16-D18+D57</f>
        <v>-8329.1699999999983</v>
      </c>
      <c r="E59" s="14"/>
      <c r="F59" s="22">
        <f>IF(D$12=0,0,D59/D$12)</f>
        <v>0</v>
      </c>
      <c r="G59" s="14"/>
      <c r="H59" s="20">
        <f>+H16-H18+H57</f>
        <v>-7290.2521538461542</v>
      </c>
      <c r="I59" s="14"/>
      <c r="J59" s="22">
        <f>IF(H$12=0,0,H59/H$12)</f>
        <v>0</v>
      </c>
      <c r="K59" s="16"/>
      <c r="L59" s="20">
        <f>+D59-H59</f>
        <v>-1038.917846153844</v>
      </c>
      <c r="M59" s="16"/>
      <c r="N59" s="22">
        <f>IF(H59=0,0,L59/H59)</f>
        <v>0.14250780689468157</v>
      </c>
      <c r="O59" s="29"/>
      <c r="P59" s="20">
        <f>+P16-P18+P57</f>
        <v>-99842.01</v>
      </c>
      <c r="Q59" s="14"/>
      <c r="R59" s="22">
        <f>IF(P$12=0,0,P59/P$12)</f>
        <v>0</v>
      </c>
      <c r="S59" s="14"/>
      <c r="T59" s="20">
        <f>+T16-T18+T57</f>
        <v>-101096.27799999999</v>
      </c>
      <c r="U59" s="14"/>
      <c r="V59" s="22">
        <f>IF(T$12=0,0,T59/T$12)</f>
        <v>0</v>
      </c>
      <c r="W59" s="16"/>
      <c r="X59" s="20">
        <f>+P59-T59</f>
        <v>1254.2679999999964</v>
      </c>
      <c r="Y59" s="16"/>
      <c r="Z59" s="22">
        <f>IF(T59=0,0,X59/T59)</f>
        <v>-1.2406668423539751E-2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126</v>
      </c>
      <c r="C63" s="28"/>
      <c r="D63" s="34">
        <f>+D59-D61</f>
        <v>-8329.1699999999983</v>
      </c>
      <c r="E63" s="14"/>
      <c r="F63" s="35">
        <f>IF(D$12=0,0,D63/D$12)</f>
        <v>0</v>
      </c>
      <c r="G63" s="14"/>
      <c r="H63" s="34">
        <f>+H59-H61</f>
        <v>-7290.2521538461542</v>
      </c>
      <c r="I63" s="14"/>
      <c r="J63" s="35">
        <f>IF(H$12=0,0,H63/H$12)</f>
        <v>0</v>
      </c>
      <c r="K63" s="16"/>
      <c r="L63" s="34">
        <f>D63-H63</f>
        <v>-1038.917846153844</v>
      </c>
      <c r="M63" s="16"/>
      <c r="N63" s="35">
        <f>IF(H63=0,0,L63/H63)</f>
        <v>0.14250780689468157</v>
      </c>
      <c r="O63" s="29"/>
      <c r="P63" s="34">
        <f>+P59-P61</f>
        <v>-99842.01</v>
      </c>
      <c r="Q63" s="14"/>
      <c r="R63" s="35">
        <f>IF(P$12=0,0,P63/P$12)</f>
        <v>0</v>
      </c>
      <c r="S63" s="14"/>
      <c r="T63" s="34">
        <f>+T59-T61</f>
        <v>-101096.27799999999</v>
      </c>
      <c r="U63" s="14"/>
      <c r="V63" s="35">
        <f>IF(T$12=0,0,T63/T$12)</f>
        <v>0</v>
      </c>
      <c r="W63" s="16"/>
      <c r="X63" s="34">
        <f>P63-T63</f>
        <v>1254.2679999999964</v>
      </c>
      <c r="Y63" s="16"/>
      <c r="Z63" s="35">
        <f>IF(T63=0,0,X63/T63)</f>
        <v>-1.2406668423539751E-2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294</v>
      </c>
      <c r="C66" s="28"/>
      <c r="D66" s="33">
        <f>SUM(D63:D65)</f>
        <v>-8329.1699999999983</v>
      </c>
      <c r="E66" s="14"/>
      <c r="F66" s="31">
        <f>IF(D$12=0,0,D66/D$12)</f>
        <v>0</v>
      </c>
      <c r="G66" s="14"/>
      <c r="H66" s="33">
        <f>SUM(H63:H65)</f>
        <v>-7290.2521538461542</v>
      </c>
      <c r="I66" s="14"/>
      <c r="J66" s="31">
        <f>IF(H$12=0,0,H66/H$12)</f>
        <v>0</v>
      </c>
      <c r="K66" s="16"/>
      <c r="L66" s="33">
        <f>+D66-H66</f>
        <v>-1038.917846153844</v>
      </c>
      <c r="M66" s="16"/>
      <c r="N66" s="31">
        <f>IF(H66=0,0,L66/H66)</f>
        <v>0.14250780689468157</v>
      </c>
      <c r="O66" s="29"/>
      <c r="P66" s="33">
        <f>SUM(P63:P65)</f>
        <v>-99842.01</v>
      </c>
      <c r="Q66" s="14"/>
      <c r="R66" s="31">
        <f>IF(P$12=0,0,P66/P$12)</f>
        <v>0</v>
      </c>
      <c r="S66" s="14"/>
      <c r="T66" s="33">
        <f>SUM(T63:T65)</f>
        <v>-101096.27799999999</v>
      </c>
      <c r="U66" s="14"/>
      <c r="V66" s="31">
        <f>IF(T$12=0,0,T66/T$12)</f>
        <v>0</v>
      </c>
      <c r="W66" s="16"/>
      <c r="X66" s="33">
        <f>+P66-T66</f>
        <v>1254.2679999999964</v>
      </c>
      <c r="Y66" s="16"/>
      <c r="Z66" s="31">
        <f>IF(T66=0,0,X66/T66)</f>
        <v>-1.2406668423539751E-2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6">
        <v>44454.686112384261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5" t="s">
        <v>56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3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","206", " - ", "Communications")</f>
        <v>Department 206 - Communications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5387.64</v>
      </c>
      <c r="E18" s="21"/>
      <c r="F18" s="30">
        <f t="shared" ref="F18:F28" si="0">IF(D$12=0,0,D18/D$12)</f>
        <v>0</v>
      </c>
      <c r="G18" s="21"/>
      <c r="H18" s="21">
        <f>SUM(OSRRefH22x_0)</f>
        <v>17216.426153846154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-11828.786153846155</v>
      </c>
      <c r="M18" s="4"/>
      <c r="N18" s="30">
        <f t="shared" ref="N18:N28" si="3">IF(H18=0,0,L18/H18)</f>
        <v>-0.68706397298394017</v>
      </c>
      <c r="O18" s="10"/>
      <c r="P18" s="21">
        <f>SUM(OSRRefP22x_0)</f>
        <v>101285.65</v>
      </c>
      <c r="Q18" s="21"/>
      <c r="R18" s="30">
        <f t="shared" ref="R18:R28" si="4">IF(P$12=0,0,P18/P$12)</f>
        <v>0</v>
      </c>
      <c r="S18" s="21"/>
      <c r="T18" s="21">
        <f>SUM(OSRRefT22x_0)</f>
        <v>220150.97500000001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-118865.32500000001</v>
      </c>
      <c r="Y18" s="4"/>
      <c r="Z18" s="30">
        <f t="shared" ref="Z18:Z28" si="7">IF(T18=0,0,X18/T18)</f>
        <v>-0.53992640732115771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-217.9100000000002</v>
      </c>
      <c r="E19" s="1"/>
      <c r="F19" s="5">
        <f t="shared" si="0"/>
        <v>0</v>
      </c>
      <c r="G19" s="1"/>
      <c r="H19" s="1">
        <f>SUM(OSRRefH22_0x_0)</f>
        <v>1703.426153846154</v>
      </c>
      <c r="I19" s="1"/>
      <c r="J19" s="5">
        <f t="shared" si="1"/>
        <v>0</v>
      </c>
      <c r="K19" s="1"/>
      <c r="L19" s="1">
        <f t="shared" si="2"/>
        <v>-1921.336153846154</v>
      </c>
      <c r="M19" s="1"/>
      <c r="N19" s="5">
        <f t="shared" si="3"/>
        <v>-1.1279245357997953</v>
      </c>
      <c r="O19" s="13"/>
      <c r="P19" s="1">
        <f>SUM(OSRRefP22_0x_0)</f>
        <v>19874.900000000001</v>
      </c>
      <c r="Q19" s="1"/>
      <c r="R19" s="5">
        <f t="shared" si="4"/>
        <v>0</v>
      </c>
      <c r="S19" s="1"/>
      <c r="T19" s="1">
        <f>SUM(OSRRefT22_0x_0)</f>
        <v>21165.974999999999</v>
      </c>
      <c r="U19" s="1"/>
      <c r="V19" s="5">
        <f t="shared" si="5"/>
        <v>0</v>
      </c>
      <c r="W19" s="1"/>
      <c r="X19" s="1">
        <f t="shared" si="6"/>
        <v>-1291.0749999999971</v>
      </c>
      <c r="Y19" s="1"/>
      <c r="Z19" s="5">
        <f t="shared" si="7"/>
        <v>-6.099766252204291E-2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409.97</v>
      </c>
      <c r="E20" s="2"/>
      <c r="F20" s="7">
        <f t="shared" si="0"/>
        <v>0</v>
      </c>
      <c r="G20" s="2"/>
      <c r="H20" s="6">
        <v>459.18</v>
      </c>
      <c r="I20" s="2"/>
      <c r="J20" s="7">
        <f t="shared" si="1"/>
        <v>0</v>
      </c>
      <c r="K20" s="2"/>
      <c r="L20" s="6">
        <f t="shared" si="2"/>
        <v>-49.20999999999998</v>
      </c>
      <c r="M20" s="2"/>
      <c r="N20" s="7">
        <f t="shared" si="3"/>
        <v>-0.10716930179885879</v>
      </c>
      <c r="O20" s="11"/>
      <c r="P20" s="6">
        <v>4854.24</v>
      </c>
      <c r="Q20" s="2"/>
      <c r="R20" s="7">
        <f t="shared" si="4"/>
        <v>0</v>
      </c>
      <c r="S20" s="2"/>
      <c r="T20" s="6">
        <v>5165.7749999999996</v>
      </c>
      <c r="U20" s="2"/>
      <c r="V20" s="7">
        <f t="shared" si="5"/>
        <v>0</v>
      </c>
      <c r="W20" s="2"/>
      <c r="X20" s="6">
        <f t="shared" si="6"/>
        <v>-311.53499999999985</v>
      </c>
      <c r="Y20" s="2"/>
      <c r="Z20" s="7">
        <f t="shared" si="7"/>
        <v>-6.0307504682259656E-2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20.47</v>
      </c>
      <c r="E21" s="2"/>
      <c r="F21" s="7">
        <f t="shared" si="0"/>
        <v>0</v>
      </c>
      <c r="G21" s="2"/>
      <c r="H21" s="6">
        <v>19.8</v>
      </c>
      <c r="I21" s="2"/>
      <c r="J21" s="7">
        <f t="shared" si="1"/>
        <v>0</v>
      </c>
      <c r="K21" s="2"/>
      <c r="L21" s="6">
        <f t="shared" si="2"/>
        <v>0.66999999999999815</v>
      </c>
      <c r="M21" s="2"/>
      <c r="N21" s="7">
        <f t="shared" si="3"/>
        <v>3.3838383838383744E-2</v>
      </c>
      <c r="O21" s="11"/>
      <c r="P21" s="6">
        <v>256.13</v>
      </c>
      <c r="Q21" s="2"/>
      <c r="R21" s="7">
        <f t="shared" si="4"/>
        <v>0</v>
      </c>
      <c r="S21" s="2"/>
      <c r="T21" s="6">
        <v>257.39999999999998</v>
      </c>
      <c r="U21" s="2"/>
      <c r="V21" s="7">
        <f t="shared" si="5"/>
        <v>0</v>
      </c>
      <c r="W21" s="2"/>
      <c r="X21" s="6">
        <f t="shared" si="6"/>
        <v>-1.2699999999999818</v>
      </c>
      <c r="Y21" s="2"/>
      <c r="Z21" s="7">
        <f t="shared" si="7"/>
        <v>-4.9339549339548639E-3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704.62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90.773846153845966</v>
      </c>
      <c r="M22" s="2"/>
      <c r="N22" s="7">
        <f t="shared" si="3"/>
        <v>0.1478771929824558</v>
      </c>
      <c r="O22" s="11"/>
      <c r="P22" s="6">
        <v>8432.94</v>
      </c>
      <c r="Q22" s="2"/>
      <c r="R22" s="7">
        <f t="shared" si="4"/>
        <v>0</v>
      </c>
      <c r="S22" s="2"/>
      <c r="T22" s="6">
        <v>7980</v>
      </c>
      <c r="U22" s="2"/>
      <c r="V22" s="7">
        <f t="shared" si="5"/>
        <v>0</v>
      </c>
      <c r="W22" s="2"/>
      <c r="X22" s="6">
        <f t="shared" si="6"/>
        <v>452.94000000000051</v>
      </c>
      <c r="Y22" s="2"/>
      <c r="Z22" s="7">
        <f t="shared" si="7"/>
        <v>5.6759398496240662E-2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16.12</v>
      </c>
      <c r="E23" s="2"/>
      <c r="F23" s="7">
        <f t="shared" si="0"/>
        <v>0</v>
      </c>
      <c r="G23" s="2"/>
      <c r="H23" s="6">
        <v>15.6</v>
      </c>
      <c r="I23" s="2"/>
      <c r="J23" s="7">
        <f t="shared" si="1"/>
        <v>0</v>
      </c>
      <c r="K23" s="2"/>
      <c r="L23" s="6">
        <f t="shared" si="2"/>
        <v>0.52000000000000135</v>
      </c>
      <c r="M23" s="2"/>
      <c r="N23" s="7">
        <f t="shared" si="3"/>
        <v>3.3333333333333423E-2</v>
      </c>
      <c r="O23" s="11"/>
      <c r="P23" s="6">
        <v>201.8</v>
      </c>
      <c r="Q23" s="2"/>
      <c r="R23" s="7">
        <f t="shared" si="4"/>
        <v>0</v>
      </c>
      <c r="S23" s="2"/>
      <c r="T23" s="6">
        <v>202.8</v>
      </c>
      <c r="U23" s="2"/>
      <c r="V23" s="7">
        <f t="shared" si="5"/>
        <v>0</v>
      </c>
      <c r="W23" s="2"/>
      <c r="X23" s="6">
        <f t="shared" si="6"/>
        <v>-1</v>
      </c>
      <c r="Y23" s="2"/>
      <c r="Z23" s="7">
        <f t="shared" si="7"/>
        <v>-4.9309664694280079E-3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-1916.48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-1916.48</v>
      </c>
      <c r="M24" s="2"/>
      <c r="N24" s="7">
        <f t="shared" si="3"/>
        <v>0</v>
      </c>
      <c r="O24" s="11"/>
      <c r="P24" s="6">
        <v>0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276.60000000000002</v>
      </c>
      <c r="E26" s="2"/>
      <c r="F26" s="7">
        <f t="shared" si="0"/>
        <v>0</v>
      </c>
      <c r="G26" s="2"/>
      <c r="H26" s="6">
        <v>240</v>
      </c>
      <c r="I26" s="2"/>
      <c r="J26" s="7">
        <f t="shared" si="1"/>
        <v>0</v>
      </c>
      <c r="K26" s="2"/>
      <c r="L26" s="6">
        <f t="shared" si="2"/>
        <v>36.600000000000023</v>
      </c>
      <c r="M26" s="2"/>
      <c r="N26" s="7">
        <f t="shared" si="3"/>
        <v>0.15250000000000011</v>
      </c>
      <c r="O26" s="11"/>
      <c r="P26" s="6">
        <v>3091.5</v>
      </c>
      <c r="Q26" s="2"/>
      <c r="R26" s="7">
        <f t="shared" si="4"/>
        <v>0</v>
      </c>
      <c r="S26" s="2"/>
      <c r="T26" s="6">
        <v>3120</v>
      </c>
      <c r="U26" s="2"/>
      <c r="V26" s="7">
        <f t="shared" si="5"/>
        <v>0</v>
      </c>
      <c r="W26" s="2"/>
      <c r="X26" s="6">
        <f t="shared" si="6"/>
        <v>-28.5</v>
      </c>
      <c r="Y26" s="2"/>
      <c r="Z26" s="7">
        <f t="shared" si="7"/>
        <v>-9.1346153846153851E-3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180</v>
      </c>
      <c r="I27" s="2"/>
      <c r="J27" s="7">
        <f t="shared" si="1"/>
        <v>0</v>
      </c>
      <c r="K27" s="2"/>
      <c r="L27" s="6">
        <f t="shared" si="2"/>
        <v>41.400000000000006</v>
      </c>
      <c r="M27" s="2"/>
      <c r="N27" s="7">
        <f t="shared" si="3"/>
        <v>0.23000000000000004</v>
      </c>
      <c r="O27" s="11"/>
      <c r="P27" s="6">
        <v>2988.9</v>
      </c>
      <c r="Q27" s="2"/>
      <c r="R27" s="7">
        <f t="shared" si="4"/>
        <v>0</v>
      </c>
      <c r="S27" s="2"/>
      <c r="T27" s="6">
        <v>2340</v>
      </c>
      <c r="U27" s="2"/>
      <c r="V27" s="7">
        <f t="shared" si="5"/>
        <v>0</v>
      </c>
      <c r="W27" s="2"/>
      <c r="X27" s="6">
        <f t="shared" si="6"/>
        <v>648.90000000000009</v>
      </c>
      <c r="Y27" s="2"/>
      <c r="Z27" s="7">
        <f t="shared" si="7"/>
        <v>0.27730769230769237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49.39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-125.61</v>
      </c>
      <c r="M28" s="2"/>
      <c r="N28" s="7">
        <f t="shared" si="3"/>
        <v>-0.71777142857142862</v>
      </c>
      <c r="O28" s="11"/>
      <c r="P28" s="6">
        <v>49.39</v>
      </c>
      <c r="Q28" s="2"/>
      <c r="R28" s="7">
        <f t="shared" si="4"/>
        <v>0</v>
      </c>
      <c r="S28" s="2"/>
      <c r="T28" s="6">
        <v>2100</v>
      </c>
      <c r="U28" s="2"/>
      <c r="V28" s="7">
        <f t="shared" si="5"/>
        <v>0</v>
      </c>
      <c r="W28" s="2"/>
      <c r="X28" s="6">
        <f t="shared" si="6"/>
        <v>-2050.61</v>
      </c>
      <c r="Y28" s="2"/>
      <c r="Z28" s="7">
        <f t="shared" si="7"/>
        <v>-0.97648095238095245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5396.34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-279.65999999999985</v>
      </c>
      <c r="M29" s="1"/>
      <c r="N29" s="5">
        <f t="shared" ref="N29:N39" si="11">IF(H29=0,0,L29/H29)</f>
        <v>-4.9270613107822388E-2</v>
      </c>
      <c r="O29" s="13"/>
      <c r="P29" s="1">
        <f>SUM(OSRRefP22_1x_0)</f>
        <v>77210.350000000006</v>
      </c>
      <c r="Q29" s="1"/>
      <c r="R29" s="5">
        <f t="shared" ref="R29:R39" si="12">IF(P$12=0,0,P29/P$12)</f>
        <v>0</v>
      </c>
      <c r="S29" s="1"/>
      <c r="T29" s="1">
        <f>SUM(OSRRefT22_1x_0)</f>
        <v>73788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3422.3500000000058</v>
      </c>
      <c r="Y29" s="1"/>
      <c r="Z29" s="5">
        <f t="shared" ref="Z29:Z39" si="15">IF(T29=0,0,X29/T29)</f>
        <v>4.6380847834336283E-2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>
        <v>3711.15</v>
      </c>
      <c r="E33" s="2"/>
      <c r="F33" s="7">
        <f t="shared" si="8"/>
        <v>0</v>
      </c>
      <c r="G33" s="2"/>
      <c r="H33" s="6">
        <v>4512</v>
      </c>
      <c r="I33" s="2"/>
      <c r="J33" s="7">
        <f t="shared" si="9"/>
        <v>0</v>
      </c>
      <c r="K33" s="2"/>
      <c r="L33" s="6">
        <f t="shared" si="10"/>
        <v>-800.84999999999991</v>
      </c>
      <c r="M33" s="2"/>
      <c r="N33" s="7">
        <f t="shared" si="11"/>
        <v>-0.17749335106382977</v>
      </c>
      <c r="O33" s="11"/>
      <c r="P33" s="6">
        <v>60761.25</v>
      </c>
      <c r="Q33" s="2"/>
      <c r="R33" s="7">
        <f t="shared" si="12"/>
        <v>0</v>
      </c>
      <c r="S33" s="2"/>
      <c r="T33" s="6">
        <v>58656</v>
      </c>
      <c r="U33" s="2"/>
      <c r="V33" s="7">
        <f t="shared" si="13"/>
        <v>0</v>
      </c>
      <c r="W33" s="2"/>
      <c r="X33" s="6">
        <f t="shared" si="14"/>
        <v>2105.25</v>
      </c>
      <c r="Y33" s="2"/>
      <c r="Z33" s="7">
        <f t="shared" si="15"/>
        <v>3.5891468903436988E-2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1164</v>
      </c>
      <c r="I36" s="2"/>
      <c r="J36" s="7">
        <f t="shared" si="9"/>
        <v>0</v>
      </c>
      <c r="K36" s="2"/>
      <c r="L36" s="6">
        <f t="shared" si="10"/>
        <v>-1164</v>
      </c>
      <c r="M36" s="2"/>
      <c r="N36" s="7">
        <f t="shared" si="11"/>
        <v>-1</v>
      </c>
      <c r="O36" s="11"/>
      <c r="P36" s="6">
        <v>0</v>
      </c>
      <c r="Q36" s="2"/>
      <c r="R36" s="7">
        <f t="shared" si="12"/>
        <v>0</v>
      </c>
      <c r="S36" s="2"/>
      <c r="T36" s="6">
        <v>4947</v>
      </c>
      <c r="U36" s="2"/>
      <c r="V36" s="7">
        <f t="shared" si="13"/>
        <v>0</v>
      </c>
      <c r="W36" s="2"/>
      <c r="X36" s="6">
        <f t="shared" si="14"/>
        <v>-4947</v>
      </c>
      <c r="Y36" s="2"/>
      <c r="Z36" s="7">
        <f t="shared" si="15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1685.19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1685.19</v>
      </c>
      <c r="M37" s="2"/>
      <c r="N37" s="7">
        <f t="shared" si="11"/>
        <v>0</v>
      </c>
      <c r="O37" s="11"/>
      <c r="P37" s="6">
        <v>16449.099999999999</v>
      </c>
      <c r="Q37" s="2"/>
      <c r="R37" s="7">
        <f t="shared" si="12"/>
        <v>0</v>
      </c>
      <c r="S37" s="2"/>
      <c r="T37" s="6">
        <v>10185</v>
      </c>
      <c r="U37" s="2"/>
      <c r="V37" s="7">
        <f t="shared" si="13"/>
        <v>0</v>
      </c>
      <c r="W37" s="2"/>
      <c r="X37" s="6">
        <f t="shared" si="14"/>
        <v>6264.0999999999985</v>
      </c>
      <c r="Y37" s="2"/>
      <c r="Z37" s="7">
        <f t="shared" si="15"/>
        <v>0.61503190967108479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8337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-8163.79</v>
      </c>
      <c r="M40" s="1"/>
      <c r="N40" s="5">
        <f t="shared" ref="N40:N54" si="19">IF(H40=0,0,L40/H40)</f>
        <v>-0.97922394146575509</v>
      </c>
      <c r="O40" s="13"/>
      <c r="P40" s="1">
        <f>SUM(OSRRefP22_2x_0)</f>
        <v>1905.31</v>
      </c>
      <c r="Q40" s="1"/>
      <c r="R40" s="5">
        <f t="shared" ref="R40:R54" si="20">IF(P$12=0,0,P40/P$12)</f>
        <v>0</v>
      </c>
      <c r="S40" s="1"/>
      <c r="T40" s="1">
        <f>SUM(OSRRefT22_2x_0)</f>
        <v>100000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-98094.69</v>
      </c>
      <c r="Y40" s="1"/>
      <c r="Z40" s="5">
        <f t="shared" ref="Z40:Z54" si="23">IF(T40=0,0,X40/T40)</f>
        <v>-0.98094690000000007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>
        <v>173.21</v>
      </c>
      <c r="E41" s="2"/>
      <c r="F41" s="7">
        <f t="shared" si="16"/>
        <v>0</v>
      </c>
      <c r="G41" s="2"/>
      <c r="H41" s="6">
        <v>8337</v>
      </c>
      <c r="I41" s="2"/>
      <c r="J41" s="7">
        <f t="shared" si="17"/>
        <v>0</v>
      </c>
      <c r="K41" s="2"/>
      <c r="L41" s="6">
        <f t="shared" si="18"/>
        <v>-8163.79</v>
      </c>
      <c r="M41" s="2"/>
      <c r="N41" s="7">
        <f t="shared" si="19"/>
        <v>-0.97922394146575509</v>
      </c>
      <c r="O41" s="11"/>
      <c r="P41" s="6">
        <v>1905.31</v>
      </c>
      <c r="Q41" s="2"/>
      <c r="R41" s="7">
        <f t="shared" si="20"/>
        <v>0</v>
      </c>
      <c r="S41" s="2"/>
      <c r="T41" s="6">
        <v>100000</v>
      </c>
      <c r="U41" s="2"/>
      <c r="V41" s="7">
        <f t="shared" si="21"/>
        <v>0</v>
      </c>
      <c r="W41" s="2"/>
      <c r="X41" s="6">
        <f t="shared" si="22"/>
        <v>-98094.69</v>
      </c>
      <c r="Y41" s="2"/>
      <c r="Z41" s="7">
        <f t="shared" si="23"/>
        <v>-0.98094690000000007</v>
      </c>
    </row>
    <row r="42" spans="1:26" s="27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1898.94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1.9400000000000546</v>
      </c>
      <c r="Y42" s="1"/>
      <c r="Z42" s="5">
        <f t="shared" si="23"/>
        <v>1.022667369530867E-3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1898.94</v>
      </c>
      <c r="Q43" s="2"/>
      <c r="R43" s="7">
        <f t="shared" si="20"/>
        <v>0</v>
      </c>
      <c r="S43" s="2"/>
      <c r="T43" s="6">
        <v>1897</v>
      </c>
      <c r="U43" s="2"/>
      <c r="V43" s="7">
        <f t="shared" si="21"/>
        <v>0</v>
      </c>
      <c r="W43" s="2"/>
      <c r="X43" s="6">
        <f t="shared" si="22"/>
        <v>1.9400000000000546</v>
      </c>
      <c r="Y43" s="2"/>
      <c r="Z43" s="7">
        <f t="shared" si="23"/>
        <v>1.022667369530867E-3</v>
      </c>
    </row>
    <row r="44" spans="1:26" s="27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-500</v>
      </c>
      <c r="Y45" s="2"/>
      <c r="Z45" s="7">
        <f t="shared" si="23"/>
        <v>-1</v>
      </c>
    </row>
    <row r="46" spans="1:26" s="27" customFormat="1" outlineLevel="1" collapsed="1" x14ac:dyDescent="0.25">
      <c r="A46" s="25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663</v>
      </c>
      <c r="I46" s="1"/>
      <c r="J46" s="5">
        <f t="shared" si="17"/>
        <v>0</v>
      </c>
      <c r="K46" s="1"/>
      <c r="L46" s="1">
        <f t="shared" si="18"/>
        <v>-663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8000</v>
      </c>
      <c r="U46" s="1"/>
      <c r="V46" s="5">
        <f t="shared" si="21"/>
        <v>0</v>
      </c>
      <c r="W46" s="1"/>
      <c r="X46" s="1">
        <f t="shared" si="22"/>
        <v>-8000</v>
      </c>
      <c r="Y46" s="1"/>
      <c r="Z46" s="5">
        <f t="shared" si="23"/>
        <v>-1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>
        <v>663</v>
      </c>
      <c r="I47" s="2"/>
      <c r="J47" s="7">
        <f t="shared" si="17"/>
        <v>0</v>
      </c>
      <c r="K47" s="2"/>
      <c r="L47" s="6">
        <f t="shared" si="18"/>
        <v>-663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8000</v>
      </c>
      <c r="U47" s="2"/>
      <c r="V47" s="7">
        <f t="shared" si="21"/>
        <v>0</v>
      </c>
      <c r="W47" s="2"/>
      <c r="X47" s="6">
        <f t="shared" si="22"/>
        <v>-8000</v>
      </c>
      <c r="Y47" s="2"/>
      <c r="Z47" s="7">
        <f t="shared" si="23"/>
        <v>-1</v>
      </c>
    </row>
    <row r="48" spans="1:26" s="27" customFormat="1" outlineLevel="1" collapsed="1" x14ac:dyDescent="0.25">
      <c r="A48" s="25"/>
      <c r="B48" s="13" t="str">
        <f>CONCATENATE("     ","Subscriptions &amp; Dues                              ")</f>
        <v xml:space="preserve">     Subscriptions &amp; Dues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6"/>
      <c r="B49" s="11" t="str">
        <f>CONCATENATE("          ", "6258", " - ", "MEMBERSHIP DUES")</f>
        <v xml:space="preserve">          6258 - MEMBERSHIP DUES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600</v>
      </c>
      <c r="U49" s="2"/>
      <c r="V49" s="7">
        <f t="shared" si="21"/>
        <v>0</v>
      </c>
      <c r="W49" s="2"/>
      <c r="X49" s="6">
        <f t="shared" si="22"/>
        <v>-600</v>
      </c>
      <c r="Y49" s="2"/>
      <c r="Z49" s="7">
        <f t="shared" si="23"/>
        <v>-1</v>
      </c>
    </row>
    <row r="50" spans="1:26" s="27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837</v>
      </c>
      <c r="I50" s="1"/>
      <c r="J50" s="5">
        <f t="shared" si="17"/>
        <v>0</v>
      </c>
      <c r="K50" s="1"/>
      <c r="L50" s="1">
        <f t="shared" si="18"/>
        <v>-837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10000</v>
      </c>
      <c r="U50" s="1"/>
      <c r="V50" s="5">
        <f t="shared" si="21"/>
        <v>0</v>
      </c>
      <c r="W50" s="1"/>
      <c r="X50" s="1">
        <f t="shared" si="22"/>
        <v>-10000</v>
      </c>
      <c r="Y50" s="1"/>
      <c r="Z50" s="5">
        <f t="shared" si="23"/>
        <v>-1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16"/>
        <v>0</v>
      </c>
      <c r="G51" s="2"/>
      <c r="H51" s="6">
        <v>837</v>
      </c>
      <c r="I51" s="2"/>
      <c r="J51" s="7">
        <f t="shared" si="17"/>
        <v>0</v>
      </c>
      <c r="K51" s="2"/>
      <c r="L51" s="6">
        <f t="shared" si="18"/>
        <v>-837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10000</v>
      </c>
      <c r="U51" s="2"/>
      <c r="V51" s="7">
        <f t="shared" si="21"/>
        <v>0</v>
      </c>
      <c r="W51" s="2"/>
      <c r="X51" s="6">
        <f t="shared" si="22"/>
        <v>-10000</v>
      </c>
      <c r="Y51" s="2"/>
      <c r="Z51" s="7">
        <f t="shared" si="23"/>
        <v>-1</v>
      </c>
    </row>
    <row r="52" spans="1:26" s="27" customFormat="1" outlineLevel="1" collapsed="1" x14ac:dyDescent="0.25">
      <c r="A52" s="25"/>
      <c r="B52" s="13" t="str">
        <f>CONCATENATE("     ","Telephone/Data Lines                              ")</f>
        <v xml:space="preserve">     Telephone/Data Lines                              </v>
      </c>
      <c r="C52" s="13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3"/>
      <c r="P52" s="1">
        <f>SUM(OSRRefP22_8x_0)</f>
        <v>396.15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-1403.85</v>
      </c>
      <c r="Y52" s="1"/>
      <c r="Z52" s="5">
        <f t="shared" si="23"/>
        <v>-0.77991666666666659</v>
      </c>
    </row>
    <row r="53" spans="1:26" s="24" customFormat="1" hidden="1" outlineLevel="2" x14ac:dyDescent="0.25">
      <c r="A53" s="26"/>
      <c r="B53" s="11" t="str">
        <f>CONCATENATE("          ", "6303", " - ", "DATA PHONE LINES")</f>
        <v xml:space="preserve">          6303 - DATA PHONE LINES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1800</v>
      </c>
      <c r="U53" s="2"/>
      <c r="V53" s="7">
        <f t="shared" si="21"/>
        <v>0</v>
      </c>
      <c r="W53" s="2"/>
      <c r="X53" s="6">
        <f t="shared" si="22"/>
        <v>-1800</v>
      </c>
      <c r="Y53" s="2"/>
      <c r="Z53" s="7">
        <f t="shared" si="23"/>
        <v>-1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6">
        <v>36</v>
      </c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36</v>
      </c>
      <c r="M54" s="2"/>
      <c r="N54" s="7">
        <f t="shared" si="19"/>
        <v>0</v>
      </c>
      <c r="O54" s="11"/>
      <c r="P54" s="6">
        <v>396.15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396.15</v>
      </c>
      <c r="Y54" s="2"/>
      <c r="Z54" s="7">
        <f t="shared" si="23"/>
        <v>0</v>
      </c>
    </row>
    <row r="55" spans="1:26" s="27" customFormat="1" outlineLevel="1" collapsed="1" x14ac:dyDescent="0.25">
      <c r="A55" s="25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3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6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2400</v>
      </c>
      <c r="U56" s="2"/>
      <c r="V56" s="7">
        <f t="shared" si="29"/>
        <v>0</v>
      </c>
      <c r="W56" s="2"/>
      <c r="X56" s="6">
        <f t="shared" si="30"/>
        <v>-2400</v>
      </c>
      <c r="Y56" s="2"/>
      <c r="Z56" s="7">
        <f t="shared" si="31"/>
        <v>-1</v>
      </c>
    </row>
    <row r="57" spans="1:26" s="61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277</v>
      </c>
      <c r="C60" s="28"/>
      <c r="D60" s="20">
        <f>+D16-D18+D58</f>
        <v>-5387.64</v>
      </c>
      <c r="E60" s="14"/>
      <c r="F60" s="22">
        <f>IF(D$12=0,0,D60/D$12)</f>
        <v>0</v>
      </c>
      <c r="G60" s="14"/>
      <c r="H60" s="20">
        <f>+H16-H18+H58</f>
        <v>-17216.426153846154</v>
      </c>
      <c r="I60" s="14"/>
      <c r="J60" s="22">
        <f>IF(H$12=0,0,H60/H$12)</f>
        <v>0</v>
      </c>
      <c r="K60" s="16"/>
      <c r="L60" s="20">
        <f>+D60-H60</f>
        <v>11828.786153846155</v>
      </c>
      <c r="M60" s="16"/>
      <c r="N60" s="22">
        <f>IF(H60=0,0,L60/H60)</f>
        <v>-0.68706397298394017</v>
      </c>
      <c r="O60" s="29"/>
      <c r="P60" s="20">
        <f>+P16-P18+P58</f>
        <v>-101285.65</v>
      </c>
      <c r="Q60" s="14"/>
      <c r="R60" s="22">
        <f>IF(P$12=0,0,P60/P$12)</f>
        <v>0</v>
      </c>
      <c r="S60" s="14"/>
      <c r="T60" s="20">
        <f>+T16-T18+T58</f>
        <v>-220150.97500000001</v>
      </c>
      <c r="U60" s="14"/>
      <c r="V60" s="22">
        <f>IF(T$12=0,0,T60/T$12)</f>
        <v>0</v>
      </c>
      <c r="W60" s="16"/>
      <c r="X60" s="20">
        <f>+P60-T60</f>
        <v>118865.32500000001</v>
      </c>
      <c r="Y60" s="16"/>
      <c r="Z60" s="22">
        <f>IF(T60=0,0,X60/T60)</f>
        <v>-0.53992640732115771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8" t="s">
        <v>126</v>
      </c>
      <c r="C64" s="28"/>
      <c r="D64" s="34">
        <f>+D60-D62</f>
        <v>-5387.64</v>
      </c>
      <c r="E64" s="14"/>
      <c r="F64" s="35">
        <f>IF(D$12=0,0,D64/D$12)</f>
        <v>0</v>
      </c>
      <c r="G64" s="14"/>
      <c r="H64" s="34">
        <f>+H60-H62</f>
        <v>-17216.426153846154</v>
      </c>
      <c r="I64" s="14"/>
      <c r="J64" s="35">
        <f>IF(H$12=0,0,H64/H$12)</f>
        <v>0</v>
      </c>
      <c r="K64" s="16"/>
      <c r="L64" s="34">
        <f>D64-H64</f>
        <v>11828.786153846155</v>
      </c>
      <c r="M64" s="16"/>
      <c r="N64" s="35">
        <f>IF(H64=0,0,L64/H64)</f>
        <v>-0.68706397298394017</v>
      </c>
      <c r="O64" s="29"/>
      <c r="P64" s="34">
        <f>+P60-P62</f>
        <v>-101285.65</v>
      </c>
      <c r="Q64" s="14"/>
      <c r="R64" s="35">
        <f>IF(P$12=0,0,P64/P$12)</f>
        <v>0</v>
      </c>
      <c r="S64" s="14"/>
      <c r="T64" s="34">
        <f>+T60-T62</f>
        <v>-220150.97500000001</v>
      </c>
      <c r="U64" s="14"/>
      <c r="V64" s="35">
        <f>IF(T$12=0,0,T64/T$12)</f>
        <v>0</v>
      </c>
      <c r="W64" s="16"/>
      <c r="X64" s="34">
        <f>P64-T64</f>
        <v>118865.32500000001</v>
      </c>
      <c r="Y64" s="16"/>
      <c r="Z64" s="35">
        <f>IF(T64=0,0,X64/T64)</f>
        <v>-0.53992640732115771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294</v>
      </c>
      <c r="C67" s="28"/>
      <c r="D67" s="33">
        <f>SUM(D64:D66)</f>
        <v>-5387.64</v>
      </c>
      <c r="E67" s="14"/>
      <c r="F67" s="31">
        <f>IF(D$12=0,0,D67/D$12)</f>
        <v>0</v>
      </c>
      <c r="G67" s="14"/>
      <c r="H67" s="33">
        <f>SUM(H64:H66)</f>
        <v>-17216.426153846154</v>
      </c>
      <c r="I67" s="14"/>
      <c r="J67" s="31">
        <f>IF(H$12=0,0,H67/H$12)</f>
        <v>0</v>
      </c>
      <c r="K67" s="16"/>
      <c r="L67" s="33">
        <f>+D67-H67</f>
        <v>11828.786153846155</v>
      </c>
      <c r="M67" s="16"/>
      <c r="N67" s="31">
        <f>IF(H67=0,0,L67/H67)</f>
        <v>-0.68706397298394017</v>
      </c>
      <c r="O67" s="29"/>
      <c r="P67" s="33">
        <f>SUM(P64:P66)</f>
        <v>-101285.65</v>
      </c>
      <c r="Q67" s="14"/>
      <c r="R67" s="31">
        <f>IF(P$12=0,0,P67/P$12)</f>
        <v>0</v>
      </c>
      <c r="S67" s="14"/>
      <c r="T67" s="33">
        <f>SUM(T64:T66)</f>
        <v>-220150.97500000001</v>
      </c>
      <c r="U67" s="14"/>
      <c r="V67" s="31">
        <f>IF(T$12=0,0,T67/T$12)</f>
        <v>0</v>
      </c>
      <c r="W67" s="16"/>
      <c r="X67" s="33">
        <f>+P67-T67</f>
        <v>118865.32500000001</v>
      </c>
      <c r="Y67" s="16"/>
      <c r="Z67" s="31">
        <f>IF(T67=0,0,X67/T67)</f>
        <v>-0.53992640732115771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6">
        <v>44454.686112384261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5" t="s">
        <v>56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3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264538.22999999992</v>
      </c>
      <c r="E12" s="4"/>
      <c r="F12" s="12"/>
      <c r="G12" s="4"/>
      <c r="H12" s="4">
        <f>SUM(OSRRefH13x_0)</f>
        <v>378757</v>
      </c>
      <c r="I12" s="4"/>
      <c r="J12" s="12"/>
      <c r="K12" s="4"/>
      <c r="L12" s="4">
        <f t="shared" ref="L12:L80" si="0">+D12-H12</f>
        <v>-114218.77000000008</v>
      </c>
      <c r="M12" s="4"/>
      <c r="N12" s="12">
        <f t="shared" ref="N12:N80" si="1">IF(H12=0,0,L12/H12)</f>
        <v>-0.30156213614533878</v>
      </c>
      <c r="O12" s="10"/>
      <c r="P12" s="4">
        <f>SUM(OSRRefP13x_0)</f>
        <v>5476816.9099999983</v>
      </c>
      <c r="Q12" s="4"/>
      <c r="R12" s="12"/>
      <c r="S12" s="4"/>
      <c r="T12" s="4">
        <f>SUM(OSRRefT13x_0)</f>
        <v>9754680</v>
      </c>
      <c r="U12" s="4"/>
      <c r="V12" s="12"/>
      <c r="W12" s="4"/>
      <c r="X12" s="4">
        <f t="shared" ref="X12:X80" si="2">+P12-T12</f>
        <v>-4277863.0900000017</v>
      </c>
      <c r="Y12" s="4"/>
      <c r="Z12" s="12">
        <f t="shared" ref="Z12:Z80" si="3">IF(T12=0,0,X12/T12)</f>
        <v>-0.43854468726806023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-6560.42</f>
        <v>-6560.42</v>
      </c>
      <c r="E13" s="2"/>
      <c r="F13" s="19"/>
      <c r="G13" s="2"/>
      <c r="H13" s="2">
        <v>363869</v>
      </c>
      <c r="I13" s="2"/>
      <c r="J13" s="19"/>
      <c r="K13" s="2"/>
      <c r="L13" s="2">
        <f t="shared" si="0"/>
        <v>-370429.42</v>
      </c>
      <c r="M13" s="2"/>
      <c r="N13" s="19">
        <f t="shared" si="1"/>
        <v>-1.018029620550253</v>
      </c>
      <c r="O13" s="11"/>
      <c r="P13" s="2">
        <f>-151009.45</f>
        <v>-151009.45000000001</v>
      </c>
      <c r="Q13" s="2"/>
      <c r="R13" s="19"/>
      <c r="S13" s="2"/>
      <c r="T13" s="2">
        <v>8895074</v>
      </c>
      <c r="U13" s="2"/>
      <c r="V13" s="19"/>
      <c r="W13" s="2"/>
      <c r="X13" s="2">
        <f t="shared" si="2"/>
        <v>-9046083.4499999993</v>
      </c>
      <c r="Y13" s="2"/>
      <c r="Z13" s="19">
        <f t="shared" si="3"/>
        <v>-1.0169767502777378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--9691.34</f>
        <v>9691.34</v>
      </c>
      <c r="E14" s="2"/>
      <c r="F14" s="19"/>
      <c r="G14" s="2"/>
      <c r="H14" s="2"/>
      <c r="I14" s="2"/>
      <c r="J14" s="19"/>
      <c r="K14" s="2"/>
      <c r="L14" s="2">
        <f t="shared" si="0"/>
        <v>9691.34</v>
      </c>
      <c r="M14" s="2"/>
      <c r="N14" s="19">
        <f t="shared" si="1"/>
        <v>0</v>
      </c>
      <c r="O14" s="11"/>
      <c r="P14" s="2">
        <f>--1308779.9</f>
        <v>1308779.8999999999</v>
      </c>
      <c r="Q14" s="2"/>
      <c r="R14" s="19"/>
      <c r="S14" s="2"/>
      <c r="T14" s="2"/>
      <c r="U14" s="2"/>
      <c r="V14" s="19"/>
      <c r="W14" s="2"/>
      <c r="X14" s="2">
        <f t="shared" si="2"/>
        <v>1308779.8999999999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--6642.8</f>
        <v>6642.8</v>
      </c>
      <c r="E15" s="2"/>
      <c r="F15" s="19"/>
      <c r="G15" s="2"/>
      <c r="H15" s="2"/>
      <c r="I15" s="2"/>
      <c r="J15" s="19"/>
      <c r="K15" s="2"/>
      <c r="L15" s="2">
        <f t="shared" si="0"/>
        <v>6642.8</v>
      </c>
      <c r="M15" s="2"/>
      <c r="N15" s="19">
        <f t="shared" si="1"/>
        <v>0</v>
      </c>
      <c r="O15" s="11"/>
      <c r="P15" s="2">
        <f>--596913.27</f>
        <v>596913.27</v>
      </c>
      <c r="Q15" s="2"/>
      <c r="R15" s="19"/>
      <c r="S15" s="2"/>
      <c r="T15" s="2"/>
      <c r="U15" s="2"/>
      <c r="V15" s="19"/>
      <c r="W15" s="2"/>
      <c r="X15" s="2">
        <f t="shared" si="2"/>
        <v>596913.27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--25.1</f>
        <v>25.1</v>
      </c>
      <c r="E21" s="2"/>
      <c r="F21" s="19"/>
      <c r="G21" s="2"/>
      <c r="H21" s="2"/>
      <c r="I21" s="2"/>
      <c r="J21" s="19"/>
      <c r="K21" s="2"/>
      <c r="L21" s="2">
        <f t="shared" si="0"/>
        <v>25.1</v>
      </c>
      <c r="M21" s="2"/>
      <c r="N21" s="19">
        <f t="shared" si="1"/>
        <v>0</v>
      </c>
      <c r="O21" s="11"/>
      <c r="P21" s="2">
        <f>--547.64</f>
        <v>547.64</v>
      </c>
      <c r="Q21" s="2"/>
      <c r="R21" s="19"/>
      <c r="S21" s="2"/>
      <c r="T21" s="2"/>
      <c r="U21" s="2"/>
      <c r="V21" s="19"/>
      <c r="W21" s="2"/>
      <c r="X21" s="2">
        <f t="shared" si="2"/>
        <v>547.64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--3459.71</f>
        <v>3459.71</v>
      </c>
      <c r="E22" s="2"/>
      <c r="F22" s="19"/>
      <c r="G22" s="2"/>
      <c r="H22" s="2"/>
      <c r="I22" s="2"/>
      <c r="J22" s="19"/>
      <c r="K22" s="2"/>
      <c r="L22" s="2">
        <f t="shared" si="0"/>
        <v>3459.71</v>
      </c>
      <c r="M22" s="2"/>
      <c r="N22" s="19">
        <f t="shared" si="1"/>
        <v>0</v>
      </c>
      <c r="O22" s="11"/>
      <c r="P22" s="2">
        <f>--73564</f>
        <v>73564</v>
      </c>
      <c r="Q22" s="2"/>
      <c r="R22" s="19"/>
      <c r="S22" s="2"/>
      <c r="T22" s="2"/>
      <c r="U22" s="2"/>
      <c r="V22" s="19"/>
      <c r="W22" s="2"/>
      <c r="X22" s="2">
        <f t="shared" si="2"/>
        <v>73564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--2312.88</f>
        <v>2312.88</v>
      </c>
      <c r="E23" s="2"/>
      <c r="F23" s="19"/>
      <c r="G23" s="2"/>
      <c r="H23" s="2"/>
      <c r="I23" s="2"/>
      <c r="J23" s="19"/>
      <c r="K23" s="2"/>
      <c r="L23" s="2">
        <f t="shared" si="0"/>
        <v>2312.88</v>
      </c>
      <c r="M23" s="2"/>
      <c r="N23" s="19">
        <f t="shared" si="1"/>
        <v>0</v>
      </c>
      <c r="O23" s="11"/>
      <c r="P23" s="2">
        <f>--50708.2</f>
        <v>50708.2</v>
      </c>
      <c r="Q23" s="2"/>
      <c r="R23" s="19"/>
      <c r="S23" s="2"/>
      <c r="T23" s="2"/>
      <c r="U23" s="2"/>
      <c r="V23" s="19"/>
      <c r="W23" s="2"/>
      <c r="X23" s="2">
        <f t="shared" si="2"/>
        <v>50708.2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--380.76</f>
        <v>380.76</v>
      </c>
      <c r="E24" s="2"/>
      <c r="F24" s="19"/>
      <c r="G24" s="2"/>
      <c r="H24" s="2"/>
      <c r="I24" s="2"/>
      <c r="J24" s="19"/>
      <c r="K24" s="2"/>
      <c r="L24" s="2">
        <f t="shared" si="0"/>
        <v>380.76</v>
      </c>
      <c r="M24" s="2"/>
      <c r="N24" s="19">
        <f t="shared" si="1"/>
        <v>0</v>
      </c>
      <c r="O24" s="11"/>
      <c r="P24" s="2">
        <f>--5081.47</f>
        <v>5081.47</v>
      </c>
      <c r="Q24" s="2"/>
      <c r="R24" s="19"/>
      <c r="S24" s="2"/>
      <c r="T24" s="2"/>
      <c r="U24" s="2"/>
      <c r="V24" s="19"/>
      <c r="W24" s="2"/>
      <c r="X24" s="2">
        <f t="shared" si="2"/>
        <v>5081.47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--109798.76</f>
        <v>109798.76</v>
      </c>
      <c r="E27" s="2"/>
      <c r="F27" s="19"/>
      <c r="G27" s="2"/>
      <c r="H27" s="2"/>
      <c r="I27" s="2"/>
      <c r="J27" s="19"/>
      <c r="K27" s="2"/>
      <c r="L27" s="2">
        <f t="shared" si="0"/>
        <v>109798.76</v>
      </c>
      <c r="M27" s="2"/>
      <c r="N27" s="19">
        <f t="shared" si="1"/>
        <v>0</v>
      </c>
      <c r="O27" s="11"/>
      <c r="P27" s="2">
        <f>--1210378.91</f>
        <v>1210378.9099999999</v>
      </c>
      <c r="Q27" s="2"/>
      <c r="R27" s="19"/>
      <c r="S27" s="2"/>
      <c r="T27" s="2"/>
      <c r="U27" s="2"/>
      <c r="V27" s="19"/>
      <c r="W27" s="2"/>
      <c r="X27" s="2">
        <f t="shared" si="2"/>
        <v>1210378.9099999999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--80467.62</f>
        <v>80467.62</v>
      </c>
      <c r="E28" s="2"/>
      <c r="F28" s="19"/>
      <c r="G28" s="2"/>
      <c r="H28" s="2"/>
      <c r="I28" s="2"/>
      <c r="J28" s="19"/>
      <c r="K28" s="2"/>
      <c r="L28" s="2">
        <f t="shared" si="0"/>
        <v>80467.62</v>
      </c>
      <c r="M28" s="2"/>
      <c r="N28" s="19">
        <f t="shared" si="1"/>
        <v>0</v>
      </c>
      <c r="O28" s="11"/>
      <c r="P28" s="2">
        <f>--712240.21</f>
        <v>712240.21</v>
      </c>
      <c r="Q28" s="2"/>
      <c r="R28" s="19"/>
      <c r="S28" s="2"/>
      <c r="T28" s="2"/>
      <c r="U28" s="2"/>
      <c r="V28" s="19"/>
      <c r="W28" s="2"/>
      <c r="X28" s="2">
        <f t="shared" si="2"/>
        <v>712240.21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--7345.28</f>
        <v>7345.28</v>
      </c>
      <c r="E29" s="2"/>
      <c r="F29" s="19"/>
      <c r="G29" s="2"/>
      <c r="H29" s="2"/>
      <c r="I29" s="2"/>
      <c r="J29" s="19"/>
      <c r="K29" s="2"/>
      <c r="L29" s="2">
        <f t="shared" si="0"/>
        <v>7345.28</v>
      </c>
      <c r="M29" s="2"/>
      <c r="N29" s="19">
        <f t="shared" si="1"/>
        <v>0</v>
      </c>
      <c r="O29" s="11"/>
      <c r="P29" s="2">
        <f>--116251.83</f>
        <v>116251.83</v>
      </c>
      <c r="Q29" s="2"/>
      <c r="R29" s="19"/>
      <c r="S29" s="2"/>
      <c r="T29" s="2"/>
      <c r="U29" s="2"/>
      <c r="V29" s="19"/>
      <c r="W29" s="2"/>
      <c r="X29" s="2">
        <f t="shared" si="2"/>
        <v>116251.83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--2949.38</f>
        <v>2949.38</v>
      </c>
      <c r="E30" s="2"/>
      <c r="F30" s="19"/>
      <c r="G30" s="2"/>
      <c r="H30" s="2"/>
      <c r="I30" s="2"/>
      <c r="J30" s="19"/>
      <c r="K30" s="2"/>
      <c r="L30" s="2">
        <f t="shared" si="0"/>
        <v>2949.38</v>
      </c>
      <c r="M30" s="2"/>
      <c r="N30" s="19">
        <f t="shared" si="1"/>
        <v>0</v>
      </c>
      <c r="O30" s="11"/>
      <c r="P30" s="2">
        <f>--147027.05</f>
        <v>147027.04999999999</v>
      </c>
      <c r="Q30" s="2"/>
      <c r="R30" s="19"/>
      <c r="S30" s="2"/>
      <c r="T30" s="2"/>
      <c r="U30" s="2"/>
      <c r="V30" s="19"/>
      <c r="W30" s="2"/>
      <c r="X30" s="2">
        <f t="shared" si="2"/>
        <v>147027.04999999999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--2172.33</f>
        <v>2172.33</v>
      </c>
      <c r="E31" s="2"/>
      <c r="F31" s="19"/>
      <c r="G31" s="2"/>
      <c r="H31" s="2"/>
      <c r="I31" s="2"/>
      <c r="J31" s="19"/>
      <c r="K31" s="2"/>
      <c r="L31" s="2">
        <f t="shared" si="0"/>
        <v>2172.33</v>
      </c>
      <c r="M31" s="2"/>
      <c r="N31" s="19">
        <f t="shared" si="1"/>
        <v>0</v>
      </c>
      <c r="O31" s="11"/>
      <c r="P31" s="2">
        <f>--43288.66</f>
        <v>43288.66</v>
      </c>
      <c r="Q31" s="2"/>
      <c r="R31" s="19"/>
      <c r="S31" s="2"/>
      <c r="T31" s="2"/>
      <c r="U31" s="2"/>
      <c r="V31" s="19"/>
      <c r="W31" s="2"/>
      <c r="X31" s="2">
        <f t="shared" si="2"/>
        <v>43288.66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--81300.55</f>
        <v>81300.55</v>
      </c>
      <c r="E32" s="2"/>
      <c r="F32" s="19"/>
      <c r="G32" s="2"/>
      <c r="H32" s="2"/>
      <c r="I32" s="2"/>
      <c r="J32" s="19"/>
      <c r="K32" s="2"/>
      <c r="L32" s="2">
        <f t="shared" si="0"/>
        <v>81300.55</v>
      </c>
      <c r="M32" s="2"/>
      <c r="N32" s="19">
        <f t="shared" si="1"/>
        <v>0</v>
      </c>
      <c r="O32" s="11"/>
      <c r="P32" s="2">
        <f>--314878.48</f>
        <v>314878.48</v>
      </c>
      <c r="Q32" s="2"/>
      <c r="R32" s="19"/>
      <c r="S32" s="2"/>
      <c r="T32" s="2"/>
      <c r="U32" s="2"/>
      <c r="V32" s="19"/>
      <c r="W32" s="2"/>
      <c r="X32" s="2">
        <f t="shared" si="2"/>
        <v>314878.48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--71.95</f>
        <v>71.95</v>
      </c>
      <c r="Q33" s="2"/>
      <c r="R33" s="19"/>
      <c r="S33" s="2"/>
      <c r="T33" s="2"/>
      <c r="U33" s="2"/>
      <c r="V33" s="19"/>
      <c r="W33" s="2"/>
      <c r="X33" s="2">
        <f t="shared" si="2"/>
        <v>71.95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--9.99</f>
        <v>9.99</v>
      </c>
      <c r="Q34" s="2"/>
      <c r="R34" s="19"/>
      <c r="S34" s="2"/>
      <c r="T34" s="2"/>
      <c r="U34" s="2"/>
      <c r="V34" s="19"/>
      <c r="W34" s="2"/>
      <c r="X34" s="2">
        <f t="shared" si="2"/>
        <v>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"4095", " - ", "TAXABLE SALES-CUSTOMER SERVICE")</f>
        <v xml:space="preserve">          4095 - TAXABLE SALES-CUSTOMER SERVICE</v>
      </c>
      <c r="C35" s="11"/>
      <c r="D35" s="2">
        <f>--1688.17</f>
        <v>1688.17</v>
      </c>
      <c r="E35" s="2"/>
      <c r="F35" s="19"/>
      <c r="G35" s="2"/>
      <c r="H35" s="2"/>
      <c r="I35" s="2"/>
      <c r="J35" s="19"/>
      <c r="K35" s="2"/>
      <c r="L35" s="2">
        <f t="shared" si="0"/>
        <v>1688.17</v>
      </c>
      <c r="M35" s="2"/>
      <c r="N35" s="19">
        <f t="shared" si="1"/>
        <v>0</v>
      </c>
      <c r="O35" s="11"/>
      <c r="P35" s="2">
        <f>--15614</f>
        <v>15614</v>
      </c>
      <c r="Q35" s="2"/>
      <c r="R35" s="19"/>
      <c r="S35" s="2"/>
      <c r="T35" s="2"/>
      <c r="U35" s="2"/>
      <c r="V35" s="19"/>
      <c r="W35" s="2"/>
      <c r="X35" s="2">
        <f t="shared" si="2"/>
        <v>15614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-14487.2</f>
        <v>-14487.2</v>
      </c>
      <c r="E36" s="2"/>
      <c r="F36" s="19"/>
      <c r="G36" s="2"/>
      <c r="H36" s="2">
        <v>14888</v>
      </c>
      <c r="I36" s="2"/>
      <c r="J36" s="19"/>
      <c r="K36" s="2"/>
      <c r="L36" s="2">
        <f t="shared" si="0"/>
        <v>-29375.200000000001</v>
      </c>
      <c r="M36" s="2"/>
      <c r="N36" s="19">
        <f t="shared" si="1"/>
        <v>-1.9730789897904353</v>
      </c>
      <c r="O36" s="11"/>
      <c r="P36" s="2">
        <f>--262897.78</f>
        <v>262897.78000000003</v>
      </c>
      <c r="Q36" s="2"/>
      <c r="R36" s="19"/>
      <c r="S36" s="2"/>
      <c r="T36" s="2">
        <v>859606</v>
      </c>
      <c r="U36" s="2"/>
      <c r="V36" s="19"/>
      <c r="W36" s="2"/>
      <c r="X36" s="2">
        <f t="shared" si="2"/>
        <v>-596708.22</v>
      </c>
      <c r="Y36" s="2"/>
      <c r="Z36" s="19">
        <f t="shared" si="3"/>
        <v>-0.69416479177669765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>--1301.39</f>
        <v>1301.3900000000001</v>
      </c>
      <c r="E37" s="2"/>
      <c r="F37" s="19"/>
      <c r="G37" s="2"/>
      <c r="H37" s="2"/>
      <c r="I37" s="2"/>
      <c r="J37" s="19"/>
      <c r="K37" s="2"/>
      <c r="L37" s="2">
        <f t="shared" si="0"/>
        <v>1301.3900000000001</v>
      </c>
      <c r="M37" s="2"/>
      <c r="N37" s="19">
        <f t="shared" si="1"/>
        <v>0</v>
      </c>
      <c r="O37" s="11"/>
      <c r="P37" s="2">
        <f>--120548.46</f>
        <v>120548.46</v>
      </c>
      <c r="Q37" s="2"/>
      <c r="R37" s="19"/>
      <c r="S37" s="2"/>
      <c r="T37" s="2"/>
      <c r="U37" s="2"/>
      <c r="V37" s="19"/>
      <c r="W37" s="2"/>
      <c r="X37" s="2">
        <f t="shared" si="2"/>
        <v>120548.46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>--540.91</f>
        <v>540.91</v>
      </c>
      <c r="E38" s="2"/>
      <c r="F38" s="19"/>
      <c r="G38" s="2"/>
      <c r="H38" s="2"/>
      <c r="I38" s="2"/>
      <c r="J38" s="19"/>
      <c r="K38" s="2"/>
      <c r="L38" s="2">
        <f t="shared" si="0"/>
        <v>540.91</v>
      </c>
      <c r="M38" s="2"/>
      <c r="N38" s="19">
        <f t="shared" si="1"/>
        <v>0</v>
      </c>
      <c r="O38" s="11"/>
      <c r="P38" s="2">
        <f>--51587.64</f>
        <v>51587.64</v>
      </c>
      <c r="Q38" s="2"/>
      <c r="R38" s="19"/>
      <c r="S38" s="2"/>
      <c r="T38" s="2"/>
      <c r="U38" s="2"/>
      <c r="V38" s="19"/>
      <c r="W38" s="2"/>
      <c r="X38" s="2">
        <f t="shared" si="2"/>
        <v>51587.64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--1138.95</f>
        <v>1138.95</v>
      </c>
      <c r="Q39" s="2"/>
      <c r="R39" s="19"/>
      <c r="S39" s="2"/>
      <c r="T39" s="2"/>
      <c r="U39" s="2"/>
      <c r="V39" s="19"/>
      <c r="W39" s="2"/>
      <c r="X39" s="2">
        <f t="shared" si="2"/>
        <v>1138.95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--695.53</f>
        <v>695.53</v>
      </c>
      <c r="E40" s="2"/>
      <c r="F40" s="19"/>
      <c r="G40" s="2"/>
      <c r="H40" s="2"/>
      <c r="I40" s="2"/>
      <c r="J40" s="19"/>
      <c r="K40" s="2"/>
      <c r="L40" s="2">
        <f t="shared" si="0"/>
        <v>695.53</v>
      </c>
      <c r="M40" s="2"/>
      <c r="N40" s="19">
        <f t="shared" si="1"/>
        <v>0</v>
      </c>
      <c r="O40" s="11"/>
      <c r="P40" s="2">
        <f>--491583.26</f>
        <v>491583.26</v>
      </c>
      <c r="Q40" s="2"/>
      <c r="R40" s="19"/>
      <c r="S40" s="2"/>
      <c r="T40" s="2"/>
      <c r="U40" s="2"/>
      <c r="V40" s="19"/>
      <c r="W40" s="2"/>
      <c r="X40" s="2">
        <f t="shared" si="2"/>
        <v>491583.26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--12127.25</f>
        <v>12127.25</v>
      </c>
      <c r="Q41" s="2"/>
      <c r="R41" s="19"/>
      <c r="S41" s="2"/>
      <c r="T41" s="2"/>
      <c r="U41" s="2"/>
      <c r="V41" s="19"/>
      <c r="W41" s="2"/>
      <c r="X41" s="2">
        <f t="shared" si="2"/>
        <v>12127.25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>--594.22</f>
        <v>594.22</v>
      </c>
      <c r="E42" s="2"/>
      <c r="F42" s="19"/>
      <c r="G42" s="2"/>
      <c r="H42" s="2"/>
      <c r="I42" s="2"/>
      <c r="J42" s="19"/>
      <c r="K42" s="2"/>
      <c r="L42" s="2">
        <f t="shared" si="0"/>
        <v>594.22</v>
      </c>
      <c r="M42" s="2"/>
      <c r="N42" s="19">
        <f t="shared" si="1"/>
        <v>0</v>
      </c>
      <c r="O42" s="11"/>
      <c r="P42" s="2">
        <f>--1365.95</f>
        <v>1365.95</v>
      </c>
      <c r="Q42" s="2"/>
      <c r="R42" s="19"/>
      <c r="S42" s="2"/>
      <c r="T42" s="2"/>
      <c r="U42" s="2"/>
      <c r="V42" s="19"/>
      <c r="W42" s="2"/>
      <c r="X42" s="2">
        <f t="shared" si="2"/>
        <v>1365.95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--52.68</f>
        <v>52.68</v>
      </c>
      <c r="Q43" s="2"/>
      <c r="R43" s="19"/>
      <c r="S43" s="2"/>
      <c r="T43" s="2"/>
      <c r="U43" s="2"/>
      <c r="V43" s="19"/>
      <c r="W43" s="2"/>
      <c r="X43" s="2">
        <f t="shared" si="2"/>
        <v>52.68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--99.87</f>
        <v>99.87</v>
      </c>
      <c r="E44" s="2"/>
      <c r="F44" s="19"/>
      <c r="G44" s="2"/>
      <c r="H44" s="2"/>
      <c r="I44" s="2"/>
      <c r="J44" s="19"/>
      <c r="K44" s="2"/>
      <c r="L44" s="2">
        <f t="shared" si="0"/>
        <v>99.87</v>
      </c>
      <c r="M44" s="2"/>
      <c r="N44" s="19">
        <f t="shared" si="1"/>
        <v>0</v>
      </c>
      <c r="O44" s="11"/>
      <c r="P44" s="2">
        <f>--7748.6</f>
        <v>7748.6</v>
      </c>
      <c r="Q44" s="2"/>
      <c r="R44" s="19"/>
      <c r="S44" s="2"/>
      <c r="T44" s="2"/>
      <c r="U44" s="2"/>
      <c r="V44" s="19"/>
      <c r="W44" s="2"/>
      <c r="X44" s="2">
        <f t="shared" si="2"/>
        <v>7748.6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--115.91</f>
        <v>115.91</v>
      </c>
      <c r="Q45" s="2"/>
      <c r="R45" s="19"/>
      <c r="S45" s="2"/>
      <c r="T45" s="2"/>
      <c r="U45" s="2"/>
      <c r="V45" s="19"/>
      <c r="W45" s="2"/>
      <c r="X45" s="2">
        <f t="shared" si="2"/>
        <v>115.91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>--540.62</f>
        <v>540.62</v>
      </c>
      <c r="E46" s="2"/>
      <c r="F46" s="19"/>
      <c r="G46" s="2"/>
      <c r="H46" s="2"/>
      <c r="I46" s="2"/>
      <c r="J46" s="19"/>
      <c r="K46" s="2"/>
      <c r="L46" s="2">
        <f t="shared" si="0"/>
        <v>540.62</v>
      </c>
      <c r="M46" s="2"/>
      <c r="N46" s="19">
        <f t="shared" si="1"/>
        <v>0</v>
      </c>
      <c r="O46" s="11"/>
      <c r="P46" s="2">
        <f>--12696.76</f>
        <v>12696.76</v>
      </c>
      <c r="Q46" s="2"/>
      <c r="R46" s="19"/>
      <c r="S46" s="2"/>
      <c r="T46" s="2"/>
      <c r="U46" s="2"/>
      <c r="V46" s="19"/>
      <c r="W46" s="2"/>
      <c r="X46" s="2">
        <f t="shared" si="2"/>
        <v>12696.76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6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--2054.37</f>
        <v>2054.37</v>
      </c>
      <c r="Q47" s="2"/>
      <c r="R47" s="19"/>
      <c r="S47" s="2"/>
      <c r="T47" s="2"/>
      <c r="U47" s="2"/>
      <c r="V47" s="19"/>
      <c r="W47" s="2"/>
      <c r="X47" s="2">
        <f t="shared" si="2"/>
        <v>2054.37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--80.71</f>
        <v>80.709999999999994</v>
      </c>
      <c r="Q48" s="2"/>
      <c r="R48" s="19"/>
      <c r="S48" s="2"/>
      <c r="T48" s="2"/>
      <c r="U48" s="2"/>
      <c r="V48" s="19"/>
      <c r="W48" s="2"/>
      <c r="X48" s="2">
        <f t="shared" si="2"/>
        <v>80.709999999999994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6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--45.53</f>
        <v>45.53</v>
      </c>
      <c r="Q49" s="2"/>
      <c r="R49" s="19"/>
      <c r="S49" s="2"/>
      <c r="T49" s="2"/>
      <c r="U49" s="2"/>
      <c r="V49" s="19"/>
      <c r="W49" s="2"/>
      <c r="X49" s="2">
        <f t="shared" si="2"/>
        <v>45.53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6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--68.25</f>
        <v>68.25</v>
      </c>
      <c r="Q50" s="2"/>
      <c r="R50" s="19"/>
      <c r="S50" s="2"/>
      <c r="T50" s="2"/>
      <c r="U50" s="2"/>
      <c r="V50" s="19"/>
      <c r="W50" s="2"/>
      <c r="X50" s="2">
        <f t="shared" si="2"/>
        <v>68.25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--9520.45</f>
        <v>9520.4500000000007</v>
      </c>
      <c r="E51" s="2"/>
      <c r="F51" s="19"/>
      <c r="G51" s="2"/>
      <c r="H51" s="2"/>
      <c r="I51" s="2"/>
      <c r="J51" s="19"/>
      <c r="K51" s="2"/>
      <c r="L51" s="2">
        <f t="shared" si="0"/>
        <v>9520.4500000000007</v>
      </c>
      <c r="M51" s="2"/>
      <c r="N51" s="19">
        <f t="shared" si="1"/>
        <v>0</v>
      </c>
      <c r="O51" s="11"/>
      <c r="P51" s="2">
        <f>--181046.21</f>
        <v>181046.21</v>
      </c>
      <c r="Q51" s="2"/>
      <c r="R51" s="19"/>
      <c r="S51" s="2"/>
      <c r="T51" s="2"/>
      <c r="U51" s="2"/>
      <c r="V51" s="19"/>
      <c r="W51" s="2"/>
      <c r="X51" s="2">
        <f t="shared" si="2"/>
        <v>181046.21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-25127.54</f>
        <v>-25127.54</v>
      </c>
      <c r="E52" s="2"/>
      <c r="F52" s="19"/>
      <c r="G52" s="2"/>
      <c r="H52" s="2"/>
      <c r="I52" s="2"/>
      <c r="J52" s="19"/>
      <c r="K52" s="2"/>
      <c r="L52" s="2">
        <f t="shared" si="0"/>
        <v>-25127.54</v>
      </c>
      <c r="M52" s="2"/>
      <c r="N52" s="19">
        <f t="shared" si="1"/>
        <v>0</v>
      </c>
      <c r="O52" s="11"/>
      <c r="P52" s="2">
        <f>--14028.49</f>
        <v>14028.49</v>
      </c>
      <c r="Q52" s="2"/>
      <c r="R52" s="19"/>
      <c r="S52" s="2"/>
      <c r="T52" s="2"/>
      <c r="U52" s="2"/>
      <c r="V52" s="19"/>
      <c r="W52" s="2"/>
      <c r="X52" s="2">
        <f t="shared" si="2"/>
        <v>14028.49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--54.07</f>
        <v>54.07</v>
      </c>
      <c r="E53" s="2"/>
      <c r="F53" s="19"/>
      <c r="G53" s="2"/>
      <c r="H53" s="2"/>
      <c r="I53" s="2"/>
      <c r="J53" s="19"/>
      <c r="K53" s="2"/>
      <c r="L53" s="2">
        <f t="shared" si="0"/>
        <v>54.07</v>
      </c>
      <c r="M53" s="2"/>
      <c r="N53" s="19">
        <f t="shared" si="1"/>
        <v>0</v>
      </c>
      <c r="O53" s="11"/>
      <c r="P53" s="2">
        <f>--2658.52</f>
        <v>2658.52</v>
      </c>
      <c r="Q53" s="2"/>
      <c r="R53" s="19"/>
      <c r="S53" s="2"/>
      <c r="T53" s="2"/>
      <c r="U53" s="2"/>
      <c r="V53" s="19"/>
      <c r="W53" s="2"/>
      <c r="X53" s="2">
        <f t="shared" si="2"/>
        <v>2658.52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>--9.95</f>
        <v>9.9499999999999993</v>
      </c>
      <c r="E54" s="2"/>
      <c r="F54" s="19"/>
      <c r="G54" s="2"/>
      <c r="H54" s="2"/>
      <c r="I54" s="2"/>
      <c r="J54" s="19"/>
      <c r="K54" s="2"/>
      <c r="L54" s="2">
        <f t="shared" si="0"/>
        <v>9.9499999999999993</v>
      </c>
      <c r="M54" s="2"/>
      <c r="N54" s="19">
        <f t="shared" si="1"/>
        <v>0</v>
      </c>
      <c r="O54" s="11"/>
      <c r="P54" s="2">
        <f>--2562.11</f>
        <v>2562.11</v>
      </c>
      <c r="Q54" s="2"/>
      <c r="R54" s="19"/>
      <c r="S54" s="2"/>
      <c r="T54" s="2"/>
      <c r="U54" s="2"/>
      <c r="V54" s="19"/>
      <c r="W54" s="2"/>
      <c r="X54" s="2">
        <f t="shared" si="2"/>
        <v>2562.11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--129.75</f>
        <v>129.75</v>
      </c>
      <c r="E55" s="2"/>
      <c r="F55" s="19"/>
      <c r="G55" s="2"/>
      <c r="H55" s="2"/>
      <c r="I55" s="2"/>
      <c r="J55" s="19"/>
      <c r="K55" s="2"/>
      <c r="L55" s="2">
        <f t="shared" si="0"/>
        <v>129.75</v>
      </c>
      <c r="M55" s="2"/>
      <c r="N55" s="19">
        <f t="shared" si="1"/>
        <v>0</v>
      </c>
      <c r="O55" s="11"/>
      <c r="P55" s="2">
        <f>--1003.55</f>
        <v>1003.55</v>
      </c>
      <c r="Q55" s="2"/>
      <c r="R55" s="19"/>
      <c r="S55" s="2"/>
      <c r="T55" s="2"/>
      <c r="U55" s="2"/>
      <c r="V55" s="19"/>
      <c r="W55" s="2"/>
      <c r="X55" s="2">
        <f t="shared" si="2"/>
        <v>1003.55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--30</f>
        <v>30</v>
      </c>
      <c r="E56" s="2"/>
      <c r="F56" s="19"/>
      <c r="G56" s="2"/>
      <c r="H56" s="2"/>
      <c r="I56" s="2"/>
      <c r="J56" s="19"/>
      <c r="K56" s="2"/>
      <c r="L56" s="2">
        <f t="shared" si="0"/>
        <v>30</v>
      </c>
      <c r="M56" s="2"/>
      <c r="N56" s="19">
        <f t="shared" si="1"/>
        <v>0</v>
      </c>
      <c r="O56" s="11"/>
      <c r="P56" s="2">
        <f>--74096.89</f>
        <v>74096.89</v>
      </c>
      <c r="Q56" s="2"/>
      <c r="R56" s="19"/>
      <c r="S56" s="2"/>
      <c r="T56" s="2"/>
      <c r="U56" s="2"/>
      <c r="V56" s="19"/>
      <c r="W56" s="2"/>
      <c r="X56" s="2">
        <f t="shared" si="2"/>
        <v>74096.89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--282.2</f>
        <v>282.2</v>
      </c>
      <c r="E57" s="2"/>
      <c r="F57" s="19"/>
      <c r="G57" s="2"/>
      <c r="H57" s="2"/>
      <c r="I57" s="2"/>
      <c r="J57" s="19"/>
      <c r="K57" s="2"/>
      <c r="L57" s="2">
        <f t="shared" si="0"/>
        <v>282.2</v>
      </c>
      <c r="M57" s="2"/>
      <c r="N57" s="19">
        <f t="shared" si="1"/>
        <v>0</v>
      </c>
      <c r="O57" s="11"/>
      <c r="P57" s="2">
        <f>--668.1</f>
        <v>668.1</v>
      </c>
      <c r="Q57" s="2"/>
      <c r="R57" s="19"/>
      <c r="S57" s="2"/>
      <c r="T57" s="2"/>
      <c r="U57" s="2"/>
      <c r="V57" s="19"/>
      <c r="W57" s="2"/>
      <c r="X57" s="2">
        <f t="shared" si="2"/>
        <v>668.1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>--4</f>
        <v>4</v>
      </c>
      <c r="E58" s="2"/>
      <c r="F58" s="19"/>
      <c r="G58" s="2"/>
      <c r="H58" s="2"/>
      <c r="I58" s="2"/>
      <c r="J58" s="19"/>
      <c r="K58" s="2"/>
      <c r="L58" s="2">
        <f t="shared" si="0"/>
        <v>4</v>
      </c>
      <c r="M58" s="2"/>
      <c r="N58" s="19">
        <f t="shared" si="1"/>
        <v>0</v>
      </c>
      <c r="O58" s="11"/>
      <c r="P58" s="2">
        <f>--172</f>
        <v>172</v>
      </c>
      <c r="Q58" s="2"/>
      <c r="R58" s="19"/>
      <c r="S58" s="2"/>
      <c r="T58" s="2"/>
      <c r="U58" s="2"/>
      <c r="V58" s="19"/>
      <c r="W58" s="2"/>
      <c r="X58" s="2">
        <f t="shared" si="2"/>
        <v>172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>--34.05</f>
        <v>34.049999999999997</v>
      </c>
      <c r="E59" s="2"/>
      <c r="F59" s="19"/>
      <c r="G59" s="2"/>
      <c r="H59" s="2"/>
      <c r="I59" s="2"/>
      <c r="J59" s="19"/>
      <c r="K59" s="2"/>
      <c r="L59" s="2">
        <f t="shared" si="0"/>
        <v>34.049999999999997</v>
      </c>
      <c r="M59" s="2"/>
      <c r="N59" s="19">
        <f t="shared" si="1"/>
        <v>0</v>
      </c>
      <c r="O59" s="11"/>
      <c r="P59" s="2">
        <f>--434.5</f>
        <v>434.5</v>
      </c>
      <c r="Q59" s="2"/>
      <c r="R59" s="19"/>
      <c r="S59" s="2"/>
      <c r="T59" s="2"/>
      <c r="U59" s="2"/>
      <c r="V59" s="19"/>
      <c r="W59" s="2"/>
      <c r="X59" s="2">
        <f t="shared" si="2"/>
        <v>434.5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>-1101.25</f>
        <v>-1101.25</v>
      </c>
      <c r="E60" s="2"/>
      <c r="F60" s="19"/>
      <c r="G60" s="2"/>
      <c r="H60" s="2"/>
      <c r="I60" s="2"/>
      <c r="J60" s="19"/>
      <c r="K60" s="2"/>
      <c r="L60" s="2">
        <f t="shared" si="0"/>
        <v>-1101.25</v>
      </c>
      <c r="M60" s="2"/>
      <c r="N60" s="19">
        <f t="shared" si="1"/>
        <v>0</v>
      </c>
      <c r="O60" s="11"/>
      <c r="P60" s="2">
        <f>-53397.67</f>
        <v>-53397.67</v>
      </c>
      <c r="Q60" s="2"/>
      <c r="R60" s="19"/>
      <c r="S60" s="2"/>
      <c r="T60" s="2"/>
      <c r="U60" s="2"/>
      <c r="V60" s="19"/>
      <c r="W60" s="2"/>
      <c r="X60" s="2">
        <f t="shared" si="2"/>
        <v>-53397.67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>-433.75</f>
        <v>-433.75</v>
      </c>
      <c r="E61" s="2"/>
      <c r="F61" s="19"/>
      <c r="G61" s="2"/>
      <c r="H61" s="2"/>
      <c r="I61" s="2"/>
      <c r="J61" s="19"/>
      <c r="K61" s="2"/>
      <c r="L61" s="2">
        <f t="shared" si="0"/>
        <v>-433.75</v>
      </c>
      <c r="M61" s="2"/>
      <c r="N61" s="19">
        <f t="shared" si="1"/>
        <v>0</v>
      </c>
      <c r="O61" s="11"/>
      <c r="P61" s="2">
        <f>-20889.41</f>
        <v>-20889.41</v>
      </c>
      <c r="Q61" s="2"/>
      <c r="R61" s="19"/>
      <c r="S61" s="2"/>
      <c r="T61" s="2"/>
      <c r="U61" s="2"/>
      <c r="V61" s="19"/>
      <c r="W61" s="2"/>
      <c r="X61" s="2">
        <f t="shared" si="2"/>
        <v>-20889.41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-1763.1</f>
        <v>-1763.1</v>
      </c>
      <c r="Q62" s="2"/>
      <c r="R62" s="19"/>
      <c r="S62" s="2"/>
      <c r="T62" s="2"/>
      <c r="U62" s="2"/>
      <c r="V62" s="19"/>
      <c r="W62" s="2"/>
      <c r="X62" s="2">
        <f t="shared" si="2"/>
        <v>-1763.1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"4213", " - ", "NON-TAXABLE SALES-TRADE BOOKS")</f>
        <v xml:space="preserve">          4213 - NON-TAXABLE SALES-TRADE BOOKS</v>
      </c>
      <c r="C63" s="11"/>
      <c r="D63" s="2">
        <f>-25</f>
        <v>-25</v>
      </c>
      <c r="E63" s="2"/>
      <c r="F63" s="19"/>
      <c r="G63" s="2"/>
      <c r="H63" s="2"/>
      <c r="I63" s="2"/>
      <c r="J63" s="19"/>
      <c r="K63" s="2"/>
      <c r="L63" s="2">
        <f t="shared" si="0"/>
        <v>-25</v>
      </c>
      <c r="M63" s="2"/>
      <c r="N63" s="19">
        <f t="shared" si="1"/>
        <v>0</v>
      </c>
      <c r="O63" s="11"/>
      <c r="P63" s="2">
        <f>-103.92</f>
        <v>-103.92</v>
      </c>
      <c r="Q63" s="2"/>
      <c r="R63" s="19"/>
      <c r="S63" s="2"/>
      <c r="T63" s="2"/>
      <c r="U63" s="2"/>
      <c r="V63" s="19"/>
      <c r="W63" s="2"/>
      <c r="X63" s="2">
        <f t="shared" si="2"/>
        <v>-103.92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"4218", " - ", "SALES RETURN TAXABLE-STUDY GUI")</f>
        <v xml:space="preserve">          4218 - SALES RETURN TAXABLE-STUDY GUI</v>
      </c>
      <c r="C64" s="11"/>
      <c r="D64" s="2">
        <f>-23.44</f>
        <v>-23.44</v>
      </c>
      <c r="E64" s="2"/>
      <c r="F64" s="19"/>
      <c r="G64" s="2"/>
      <c r="H64" s="2"/>
      <c r="I64" s="2"/>
      <c r="J64" s="19"/>
      <c r="K64" s="2"/>
      <c r="L64" s="2">
        <f t="shared" si="0"/>
        <v>-23.44</v>
      </c>
      <c r="M64" s="2"/>
      <c r="N64" s="19">
        <f t="shared" si="1"/>
        <v>0</v>
      </c>
      <c r="O64" s="11"/>
      <c r="P64" s="2">
        <f>-28.65</f>
        <v>-28.65</v>
      </c>
      <c r="Q64" s="2"/>
      <c r="R64" s="19"/>
      <c r="S64" s="2"/>
      <c r="T64" s="2"/>
      <c r="U64" s="2"/>
      <c r="V64" s="19"/>
      <c r="W64" s="2"/>
      <c r="X64" s="2">
        <f t="shared" si="2"/>
        <v>-28.65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"4226", " - ", "SALES RETURN TAXABLE-WRITING I")</f>
        <v xml:space="preserve">          4226 - SALES RETURN TAXABLE-WRITING I</v>
      </c>
      <c r="C65" s="11"/>
      <c r="D65" s="2">
        <f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-35.02</f>
        <v>-35.020000000000003</v>
      </c>
      <c r="Q65" s="2"/>
      <c r="R65" s="19"/>
      <c r="S65" s="2"/>
      <c r="T65" s="2"/>
      <c r="U65" s="2"/>
      <c r="V65" s="19"/>
      <c r="W65" s="2"/>
      <c r="X65" s="2">
        <f t="shared" si="2"/>
        <v>-35.020000000000003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"4227", " - ", "SALES RETURN TAXABLE-SCHOOL SU")</f>
        <v xml:space="preserve">          4227 - SALES RETURN TAXABLE-SCHOOL SU</v>
      </c>
      <c r="C66" s="11"/>
      <c r="D66" s="2">
        <f>-80.63</f>
        <v>-80.63</v>
      </c>
      <c r="E66" s="2"/>
      <c r="F66" s="19"/>
      <c r="G66" s="2"/>
      <c r="H66" s="2"/>
      <c r="I66" s="2"/>
      <c r="J66" s="19"/>
      <c r="K66" s="2"/>
      <c r="L66" s="2">
        <f t="shared" si="0"/>
        <v>-80.63</v>
      </c>
      <c r="M66" s="2"/>
      <c r="N66" s="19">
        <f t="shared" si="1"/>
        <v>0</v>
      </c>
      <c r="O66" s="11"/>
      <c r="P66" s="2">
        <f>-1565.11</f>
        <v>-1565.11</v>
      </c>
      <c r="Q66" s="2"/>
      <c r="R66" s="19"/>
      <c r="S66" s="2"/>
      <c r="T66" s="2"/>
      <c r="U66" s="2"/>
      <c r="V66" s="19"/>
      <c r="W66" s="2"/>
      <c r="X66" s="2">
        <f t="shared" si="2"/>
        <v>-1565.11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"4228", " - ", "SALES RETURN TAXABLE-ART/TECH")</f>
        <v xml:space="preserve">          4228 - SALES RETURN TAXABLE-ART/TECH</v>
      </c>
      <c r="C67" s="11"/>
      <c r="D67" s="2">
        <f>-105.6</f>
        <v>-105.6</v>
      </c>
      <c r="E67" s="2"/>
      <c r="F67" s="19"/>
      <c r="G67" s="2"/>
      <c r="H67" s="2"/>
      <c r="I67" s="2"/>
      <c r="J67" s="19"/>
      <c r="K67" s="2"/>
      <c r="L67" s="2">
        <f t="shared" si="0"/>
        <v>-105.6</v>
      </c>
      <c r="M67" s="2"/>
      <c r="N67" s="19">
        <f t="shared" si="1"/>
        <v>0</v>
      </c>
      <c r="O67" s="11"/>
      <c r="P67" s="2">
        <f>-13079.33</f>
        <v>-13079.33</v>
      </c>
      <c r="Q67" s="2"/>
      <c r="R67" s="19"/>
      <c r="S67" s="2"/>
      <c r="T67" s="2"/>
      <c r="U67" s="2"/>
      <c r="V67" s="19"/>
      <c r="W67" s="2"/>
      <c r="X67" s="2">
        <f t="shared" si="2"/>
        <v>-13079.33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"4240", " - ", "SALES RETURN TAXABLE-LOGO CLOT")</f>
        <v xml:space="preserve">          4240 - SALES RETURN TAXABLE-LOGO CLOT</v>
      </c>
      <c r="C68" s="11"/>
      <c r="D68" s="2">
        <f>-4795.71</f>
        <v>-4795.71</v>
      </c>
      <c r="E68" s="2"/>
      <c r="F68" s="19"/>
      <c r="G68" s="2"/>
      <c r="H68" s="2"/>
      <c r="I68" s="2"/>
      <c r="J68" s="19"/>
      <c r="K68" s="2"/>
      <c r="L68" s="2">
        <f t="shared" si="0"/>
        <v>-4795.71</v>
      </c>
      <c r="M68" s="2"/>
      <c r="N68" s="19">
        <f t="shared" si="1"/>
        <v>0</v>
      </c>
      <c r="O68" s="11"/>
      <c r="P68" s="2">
        <f>-51889.15</f>
        <v>-51889.15</v>
      </c>
      <c r="Q68" s="2"/>
      <c r="R68" s="19"/>
      <c r="S68" s="2"/>
      <c r="T68" s="2"/>
      <c r="U68" s="2"/>
      <c r="V68" s="19"/>
      <c r="W68" s="2"/>
      <c r="X68" s="2">
        <f t="shared" si="2"/>
        <v>-51889.15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"4241", " - ", "SALES RETURN TAXABLE-LOGO GIFT")</f>
        <v xml:space="preserve">          4241 - SALES RETURN TAXABLE-LOGO GIFT</v>
      </c>
      <c r="C69" s="11"/>
      <c r="D69" s="2">
        <f>-1907.39</f>
        <v>-1907.39</v>
      </c>
      <c r="E69" s="2"/>
      <c r="F69" s="19"/>
      <c r="G69" s="2"/>
      <c r="H69" s="2"/>
      <c r="I69" s="2"/>
      <c r="J69" s="19"/>
      <c r="K69" s="2"/>
      <c r="L69" s="2">
        <f t="shared" si="0"/>
        <v>-1907.39</v>
      </c>
      <c r="M69" s="2"/>
      <c r="N69" s="19">
        <f t="shared" si="1"/>
        <v>0</v>
      </c>
      <c r="O69" s="11"/>
      <c r="P69" s="2">
        <f>-18587.93</f>
        <v>-18587.93</v>
      </c>
      <c r="Q69" s="2"/>
      <c r="R69" s="19"/>
      <c r="S69" s="2"/>
      <c r="T69" s="2"/>
      <c r="U69" s="2"/>
      <c r="V69" s="19"/>
      <c r="W69" s="2"/>
      <c r="X69" s="2">
        <f t="shared" si="2"/>
        <v>-18587.93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"4242", " - ", "SALES RETURN TAXABLE-EVERYDAY")</f>
        <v xml:space="preserve">          4242 - SALES RETURN TAXABLE-EVERYDAY</v>
      </c>
      <c r="C70" s="11"/>
      <c r="D70" s="2">
        <f>-131.98</f>
        <v>-131.97999999999999</v>
      </c>
      <c r="E70" s="2"/>
      <c r="F70" s="19"/>
      <c r="G70" s="2"/>
      <c r="H70" s="2"/>
      <c r="I70" s="2"/>
      <c r="J70" s="19"/>
      <c r="K70" s="2"/>
      <c r="L70" s="2">
        <f t="shared" si="0"/>
        <v>-131.97999999999999</v>
      </c>
      <c r="M70" s="2"/>
      <c r="N70" s="19">
        <f t="shared" si="1"/>
        <v>0</v>
      </c>
      <c r="O70" s="11"/>
      <c r="P70" s="2">
        <f>-2875.07</f>
        <v>-2875.07</v>
      </c>
      <c r="Q70" s="2"/>
      <c r="R70" s="19"/>
      <c r="S70" s="2"/>
      <c r="T70" s="2"/>
      <c r="U70" s="2"/>
      <c r="V70" s="19"/>
      <c r="W70" s="2"/>
      <c r="X70" s="2">
        <f t="shared" si="2"/>
        <v>-2875.07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"4243", " - ", "SALES RETURN TAXABLE-CARDS")</f>
        <v xml:space="preserve">          4243 - SALES RETURN TAXABLE-CARDS</v>
      </c>
      <c r="C71" s="11"/>
      <c r="D71" s="2">
        <f>-9.99</f>
        <v>-9.99</v>
      </c>
      <c r="E71" s="2"/>
      <c r="F71" s="19"/>
      <c r="G71" s="2"/>
      <c r="H71" s="2"/>
      <c r="I71" s="2"/>
      <c r="J71" s="19"/>
      <c r="K71" s="2"/>
      <c r="L71" s="2">
        <f t="shared" si="0"/>
        <v>-9.99</v>
      </c>
      <c r="M71" s="2"/>
      <c r="N71" s="19">
        <f t="shared" si="1"/>
        <v>0</v>
      </c>
      <c r="O71" s="11"/>
      <c r="P71" s="2">
        <f>-6228.98</f>
        <v>-6228.98</v>
      </c>
      <c r="Q71" s="2"/>
      <c r="R71" s="19"/>
      <c r="S71" s="2"/>
      <c r="T71" s="2"/>
      <c r="U71" s="2"/>
      <c r="V71" s="19"/>
      <c r="W71" s="2"/>
      <c r="X71" s="2">
        <f t="shared" si="2"/>
        <v>-6228.98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"4244", " - ", "SALES RETURN TAXABLE-ACCESSORI")</f>
        <v xml:space="preserve">          4244 - SALES RETURN TAXABLE-ACCESSORI</v>
      </c>
      <c r="C72" s="11"/>
      <c r="D72" s="2">
        <f>-34.84</f>
        <v>-34.840000000000003</v>
      </c>
      <c r="E72" s="2"/>
      <c r="F72" s="19"/>
      <c r="G72" s="2"/>
      <c r="H72" s="2"/>
      <c r="I72" s="2"/>
      <c r="J72" s="19"/>
      <c r="K72" s="2"/>
      <c r="L72" s="2">
        <f t="shared" si="0"/>
        <v>-34.840000000000003</v>
      </c>
      <c r="M72" s="2"/>
      <c r="N72" s="19">
        <f t="shared" si="1"/>
        <v>0</v>
      </c>
      <c r="O72" s="11"/>
      <c r="P72" s="2">
        <f>-1302.75</f>
        <v>-1302.75</v>
      </c>
      <c r="Q72" s="2"/>
      <c r="R72" s="19"/>
      <c r="S72" s="2"/>
      <c r="T72" s="2"/>
      <c r="U72" s="2"/>
      <c r="V72" s="19"/>
      <c r="W72" s="2"/>
      <c r="X72" s="2">
        <f t="shared" si="2"/>
        <v>-1302.75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"4245", " - ", "SALES RETURN TAXABLE-SPECIAL O")</f>
        <v xml:space="preserve">          4245 - SALES RETURN TAXABLE-SPECIAL O</v>
      </c>
      <c r="C73" s="11"/>
      <c r="D73" s="2">
        <f>-3318.4</f>
        <v>-3318.4</v>
      </c>
      <c r="E73" s="2"/>
      <c r="F73" s="19"/>
      <c r="G73" s="2"/>
      <c r="H73" s="2"/>
      <c r="I73" s="2"/>
      <c r="J73" s="19"/>
      <c r="K73" s="2"/>
      <c r="L73" s="2">
        <f t="shared" si="0"/>
        <v>-3318.4</v>
      </c>
      <c r="M73" s="2"/>
      <c r="N73" s="19">
        <f t="shared" si="1"/>
        <v>0</v>
      </c>
      <c r="O73" s="11"/>
      <c r="P73" s="2">
        <f>-18779.13</f>
        <v>-18779.13</v>
      </c>
      <c r="Q73" s="2"/>
      <c r="R73" s="19"/>
      <c r="S73" s="2"/>
      <c r="T73" s="2"/>
      <c r="U73" s="2"/>
      <c r="V73" s="19"/>
      <c r="W73" s="2"/>
      <c r="X73" s="2">
        <f t="shared" si="2"/>
        <v>-18779.13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>-169.32</f>
        <v>-169.32</v>
      </c>
      <c r="E74" s="2"/>
      <c r="F74" s="19"/>
      <c r="G74" s="2"/>
      <c r="H74" s="2"/>
      <c r="I74" s="2"/>
      <c r="J74" s="19"/>
      <c r="K74" s="2"/>
      <c r="L74" s="2">
        <f t="shared" si="0"/>
        <v>-169.32</v>
      </c>
      <c r="M74" s="2"/>
      <c r="N74" s="19">
        <f t="shared" si="1"/>
        <v>0</v>
      </c>
      <c r="O74" s="11"/>
      <c r="P74" s="2">
        <f>-4965.68</f>
        <v>-4965.68</v>
      </c>
      <c r="Q74" s="2"/>
      <c r="R74" s="19"/>
      <c r="S74" s="2"/>
      <c r="T74" s="2"/>
      <c r="U74" s="2"/>
      <c r="V74" s="19"/>
      <c r="W74" s="2"/>
      <c r="X74" s="2">
        <f t="shared" si="2"/>
        <v>-4965.68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>-111.43</f>
        <v>-111.43</v>
      </c>
      <c r="E75" s="2"/>
      <c r="F75" s="19"/>
      <c r="G75" s="2"/>
      <c r="H75" s="2"/>
      <c r="I75" s="2"/>
      <c r="J75" s="19"/>
      <c r="K75" s="2"/>
      <c r="L75" s="2">
        <f t="shared" si="0"/>
        <v>-111.43</v>
      </c>
      <c r="M75" s="2"/>
      <c r="N75" s="19">
        <f t="shared" si="1"/>
        <v>0</v>
      </c>
      <c r="O75" s="11"/>
      <c r="P75" s="2">
        <f>-2688.97</f>
        <v>-2688.97</v>
      </c>
      <c r="Q75" s="2"/>
      <c r="R75" s="19"/>
      <c r="S75" s="2"/>
      <c r="T75" s="2"/>
      <c r="U75" s="2"/>
      <c r="V75" s="19"/>
      <c r="W75" s="2"/>
      <c r="X75" s="2">
        <f t="shared" si="2"/>
        <v>-2688.97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>-144.89</f>
        <v>-144.88999999999999</v>
      </c>
      <c r="E76" s="2"/>
      <c r="F76" s="19"/>
      <c r="G76" s="2"/>
      <c r="H76" s="2"/>
      <c r="I76" s="2"/>
      <c r="J76" s="19"/>
      <c r="K76" s="2"/>
      <c r="L76" s="2">
        <f t="shared" si="0"/>
        <v>-144.88999999999999</v>
      </c>
      <c r="M76" s="2"/>
      <c r="N76" s="19">
        <f t="shared" si="1"/>
        <v>0</v>
      </c>
      <c r="O76" s="11"/>
      <c r="P76" s="2">
        <f>-31026.87</f>
        <v>-31026.87</v>
      </c>
      <c r="Q76" s="2"/>
      <c r="R76" s="19"/>
      <c r="S76" s="2"/>
      <c r="T76" s="2"/>
      <c r="U76" s="2"/>
      <c r="V76" s="19"/>
      <c r="W76" s="2"/>
      <c r="X76" s="2">
        <f t="shared" si="2"/>
        <v>-31026.87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"4327", " - ", "SALES RETURN NON TAXABLE-SCHOO")</f>
        <v xml:space="preserve">          4327 - SALES RETURN NON TAXABLE-SCHOO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-17.41</f>
        <v>-17.41</v>
      </c>
      <c r="Q77" s="2"/>
      <c r="R77" s="19"/>
      <c r="S77" s="2"/>
      <c r="T77" s="2"/>
      <c r="U77" s="2"/>
      <c r="V77" s="19"/>
      <c r="W77" s="2"/>
      <c r="X77" s="2">
        <f t="shared" si="2"/>
        <v>-17.41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"4340", " - ", "SALES RETURN NON TAXABLE-LOGO")</f>
        <v xml:space="preserve">          4340 - SALES RETURN NON TAXABLE-LOGO</v>
      </c>
      <c r="C78" s="11"/>
      <c r="D78" s="2">
        <f>-286.5</f>
        <v>-286.5</v>
      </c>
      <c r="E78" s="2"/>
      <c r="F78" s="19"/>
      <c r="G78" s="2"/>
      <c r="H78" s="2"/>
      <c r="I78" s="2"/>
      <c r="J78" s="19"/>
      <c r="K78" s="2"/>
      <c r="L78" s="2">
        <f t="shared" si="0"/>
        <v>-286.5</v>
      </c>
      <c r="M78" s="2"/>
      <c r="N78" s="19">
        <f t="shared" si="1"/>
        <v>0</v>
      </c>
      <c r="O78" s="11"/>
      <c r="P78" s="2">
        <f>-3737.76</f>
        <v>-3737.76</v>
      </c>
      <c r="Q78" s="2"/>
      <c r="R78" s="19"/>
      <c r="S78" s="2"/>
      <c r="T78" s="2"/>
      <c r="U78" s="2"/>
      <c r="V78" s="19"/>
      <c r="W78" s="2"/>
      <c r="X78" s="2">
        <f t="shared" si="2"/>
        <v>-3737.76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"4341", " - ", "SALES RETURN NON TAXABLE-LOGO")</f>
        <v xml:space="preserve">          4341 - SALES RETURN NON TAXABLE-LOGO</v>
      </c>
      <c r="C79" s="11"/>
      <c r="D79" s="2">
        <f>-20.85</f>
        <v>-20.85</v>
      </c>
      <c r="E79" s="2"/>
      <c r="F79" s="19"/>
      <c r="G79" s="2"/>
      <c r="H79" s="2"/>
      <c r="I79" s="2"/>
      <c r="J79" s="19"/>
      <c r="K79" s="2"/>
      <c r="L79" s="2">
        <f t="shared" si="0"/>
        <v>-20.85</v>
      </c>
      <c r="M79" s="2"/>
      <c r="N79" s="19">
        <f t="shared" si="1"/>
        <v>0</v>
      </c>
      <c r="O79" s="11"/>
      <c r="P79" s="2">
        <f>-527.59</f>
        <v>-527.59</v>
      </c>
      <c r="Q79" s="2"/>
      <c r="R79" s="19"/>
      <c r="S79" s="2"/>
      <c r="T79" s="2"/>
      <c r="U79" s="2"/>
      <c r="V79" s="19"/>
      <c r="W79" s="2"/>
      <c r="X79" s="2">
        <f t="shared" si="2"/>
        <v>-527.59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"4342", " - ", "SALES RETURN NON TAXABLE-EVERY")</f>
        <v xml:space="preserve">          4342 - SALES RETURN NON TAXABLE-EVERY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-118.7</f>
        <v>-118.7</v>
      </c>
      <c r="Q80" s="2"/>
      <c r="R80" s="19"/>
      <c r="S80" s="2"/>
      <c r="T80" s="2"/>
      <c r="U80" s="2"/>
      <c r="V80" s="19"/>
      <c r="W80" s="2"/>
      <c r="X80" s="2">
        <f t="shared" si="2"/>
        <v>-118.7</v>
      </c>
      <c r="Y80" s="2"/>
      <c r="Z80" s="19">
        <f t="shared" si="3"/>
        <v>0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collapsed="1" x14ac:dyDescent="0.25">
      <c r="A82" s="10"/>
      <c r="B82" s="29" t="s">
        <v>257</v>
      </c>
      <c r="C82" s="10"/>
      <c r="D82" s="4">
        <f>SUM(OSRRefD16x_0)</f>
        <v>267244.33999999985</v>
      </c>
      <c r="E82" s="4"/>
      <c r="F82" s="12">
        <f t="shared" ref="F82:F132" si="7">IF(D$12=0,0,D82/D$12)</f>
        <v>1.0102295611488741</v>
      </c>
      <c r="G82" s="4"/>
      <c r="H82" s="4">
        <f>SUM(OSRRefH16x_0)</f>
        <v>172927</v>
      </c>
      <c r="I82" s="4"/>
      <c r="J82" s="12">
        <f t="shared" ref="J82:J132" si="8">IF(H$12=0,0,H82/H$12)</f>
        <v>0.4565644991379697</v>
      </c>
      <c r="K82" s="4"/>
      <c r="L82" s="4">
        <f t="shared" ref="L82:L132" si="9">+D82-H82</f>
        <v>94317.339999999851</v>
      </c>
      <c r="M82" s="4"/>
      <c r="N82" s="12">
        <f t="shared" ref="N82:N132" si="10">IF(H82=0,0,L82/H82)</f>
        <v>0.54541708350922558</v>
      </c>
      <c r="O82" s="10"/>
      <c r="P82" s="4">
        <f>SUM(OSRRefP16x_0)</f>
        <v>3488416.0000000005</v>
      </c>
      <c r="Q82" s="4"/>
      <c r="R82" s="12">
        <f t="shared" ref="R82:R132" si="11">IF(P$12=0,0,P82/P$12)</f>
        <v>0.63694223438993902</v>
      </c>
      <c r="S82" s="4"/>
      <c r="T82" s="4">
        <f>SUM(OSRRefT16x_0)</f>
        <v>5502164</v>
      </c>
      <c r="U82" s="4"/>
      <c r="V82" s="12">
        <f t="shared" ref="V82:V132" si="12">IF(T$12=0,0,T82/T$12)</f>
        <v>0.56405376701234688</v>
      </c>
      <c r="W82" s="4"/>
      <c r="X82" s="4">
        <f t="shared" ref="X82:X132" si="13">+P82-T82</f>
        <v>-2013747.9999999995</v>
      </c>
      <c r="Y82" s="4"/>
      <c r="Z82" s="12">
        <f t="shared" ref="Z82:Z132" si="14">IF(T82=0,0,X82/T82)</f>
        <v>-0.36599199878447819</v>
      </c>
    </row>
    <row r="83" spans="1:26" s="24" customFormat="1" hidden="1" outlineLevel="1" x14ac:dyDescent="0.25">
      <c r="A83" s="44"/>
      <c r="B83" s="11" t="str">
        <f>CONCATENATE("          ", "5000", " - ", "PURCHASES @ COST")</f>
        <v xml:space="preserve">          5000 - PURCHASES @ COST</v>
      </c>
      <c r="C83" s="11"/>
      <c r="D83" s="2"/>
      <c r="E83" s="2"/>
      <c r="F83" s="19">
        <f t="shared" si="7"/>
        <v>0</v>
      </c>
      <c r="G83" s="2"/>
      <c r="H83" s="2">
        <v>172927</v>
      </c>
      <c r="I83" s="2"/>
      <c r="J83" s="19">
        <f t="shared" si="8"/>
        <v>0.4565644991379697</v>
      </c>
      <c r="K83" s="2"/>
      <c r="L83" s="2">
        <f t="shared" si="9"/>
        <v>-172927</v>
      </c>
      <c r="M83" s="2"/>
      <c r="N83" s="19">
        <f t="shared" si="10"/>
        <v>-1</v>
      </c>
      <c r="O83" s="11"/>
      <c r="P83" s="2">
        <v>0</v>
      </c>
      <c r="Q83" s="2"/>
      <c r="R83" s="19">
        <f t="shared" si="11"/>
        <v>0</v>
      </c>
      <c r="S83" s="2"/>
      <c r="T83" s="2">
        <v>5502164</v>
      </c>
      <c r="U83" s="2"/>
      <c r="V83" s="19">
        <f t="shared" si="12"/>
        <v>0.56405376701234688</v>
      </c>
      <c r="W83" s="2"/>
      <c r="X83" s="2">
        <f t="shared" si="13"/>
        <v>-5502164</v>
      </c>
      <c r="Y83" s="2"/>
      <c r="Z83" s="19">
        <f t="shared" si="14"/>
        <v>-1</v>
      </c>
    </row>
    <row r="84" spans="1:26" s="24" customFormat="1" hidden="1" outlineLevel="1" x14ac:dyDescent="0.25">
      <c r="A84" s="44"/>
      <c r="B84" s="11" t="str">
        <f>CONCATENATE("          ", "5001", " - ", "PURCHASES @ COST-NEW TEXT")</f>
        <v xml:space="preserve">          5001 - PURCHASES @ COST-NEW TEXT</v>
      </c>
      <c r="C84" s="11"/>
      <c r="D84" s="2">
        <v>142777.26</v>
      </c>
      <c r="E84" s="2"/>
      <c r="F84" s="19">
        <f t="shared" si="7"/>
        <v>0.53972259510468501</v>
      </c>
      <c r="G84" s="2"/>
      <c r="H84" s="2"/>
      <c r="I84" s="2"/>
      <c r="J84" s="19">
        <f t="shared" si="8"/>
        <v>0</v>
      </c>
      <c r="K84" s="2"/>
      <c r="L84" s="2">
        <f t="shared" si="9"/>
        <v>142777.26</v>
      </c>
      <c r="M84" s="2"/>
      <c r="N84" s="19">
        <f t="shared" si="10"/>
        <v>0</v>
      </c>
      <c r="O84" s="11"/>
      <c r="P84" s="2">
        <v>1214343.74</v>
      </c>
      <c r="Q84" s="2"/>
      <c r="R84" s="19">
        <f t="shared" si="11"/>
        <v>0.22172436288362254</v>
      </c>
      <c r="S84" s="2"/>
      <c r="T84" s="2"/>
      <c r="U84" s="2"/>
      <c r="V84" s="19">
        <f t="shared" si="12"/>
        <v>0</v>
      </c>
      <c r="W84" s="2"/>
      <c r="X84" s="2">
        <f t="shared" si="13"/>
        <v>1214343.74</v>
      </c>
      <c r="Y84" s="2"/>
      <c r="Z84" s="19">
        <f t="shared" si="14"/>
        <v>0</v>
      </c>
    </row>
    <row r="85" spans="1:26" s="24" customFormat="1" hidden="1" outlineLevel="1" x14ac:dyDescent="0.25">
      <c r="A85" s="44"/>
      <c r="B85" s="11" t="str">
        <f>CONCATENATE("          ", "5002", " - ", "PURCHASES @ COST-USED TEXT")</f>
        <v xml:space="preserve">          5002 - PURCHASES @ COST-USED TEXT</v>
      </c>
      <c r="C85" s="11"/>
      <c r="D85" s="2">
        <v>-17366.759999999998</v>
      </c>
      <c r="E85" s="2"/>
      <c r="F85" s="19">
        <f t="shared" si="7"/>
        <v>-6.5649339227831088E-2</v>
      </c>
      <c r="G85" s="2"/>
      <c r="H85" s="2"/>
      <c r="I85" s="2"/>
      <c r="J85" s="19">
        <f t="shared" si="8"/>
        <v>0</v>
      </c>
      <c r="K85" s="2"/>
      <c r="L85" s="2">
        <f t="shared" si="9"/>
        <v>-17366.759999999998</v>
      </c>
      <c r="M85" s="2"/>
      <c r="N85" s="19">
        <f t="shared" si="10"/>
        <v>0</v>
      </c>
      <c r="O85" s="11"/>
      <c r="P85" s="2">
        <v>262546.52</v>
      </c>
      <c r="Q85" s="2"/>
      <c r="R85" s="19">
        <f t="shared" si="11"/>
        <v>4.7937793852597513E-2</v>
      </c>
      <c r="S85" s="2"/>
      <c r="T85" s="2"/>
      <c r="U85" s="2"/>
      <c r="V85" s="19">
        <f t="shared" si="12"/>
        <v>0</v>
      </c>
      <c r="W85" s="2"/>
      <c r="X85" s="2">
        <f t="shared" si="13"/>
        <v>262546.52</v>
      </c>
      <c r="Y85" s="2"/>
      <c r="Z85" s="19">
        <f t="shared" si="14"/>
        <v>0</v>
      </c>
    </row>
    <row r="86" spans="1:26" s="24" customFormat="1" hidden="1" outlineLevel="1" x14ac:dyDescent="0.25">
      <c r="A86" s="44"/>
      <c r="B86" s="11" t="str">
        <f>CONCATENATE("          ", "5003", " - ", "PURCHASES @ COST-RENTAL TEXT")</f>
        <v xml:space="preserve">          5003 - PURCHASES @ COST-RENTAL TEXT</v>
      </c>
      <c r="C86" s="11"/>
      <c r="D86" s="2">
        <v>6024.36</v>
      </c>
      <c r="E86" s="2"/>
      <c r="F86" s="19">
        <f t="shared" si="7"/>
        <v>2.2773116762745411E-2</v>
      </c>
      <c r="G86" s="2"/>
      <c r="H86" s="2"/>
      <c r="I86" s="2"/>
      <c r="J86" s="19">
        <f t="shared" si="8"/>
        <v>0</v>
      </c>
      <c r="K86" s="2"/>
      <c r="L86" s="2">
        <f t="shared" si="9"/>
        <v>6024.36</v>
      </c>
      <c r="M86" s="2"/>
      <c r="N86" s="19">
        <f t="shared" si="10"/>
        <v>0</v>
      </c>
      <c r="O86" s="11"/>
      <c r="P86" s="2">
        <v>13236.44</v>
      </c>
      <c r="Q86" s="2"/>
      <c r="R86" s="19">
        <f t="shared" si="11"/>
        <v>2.4168125788232723E-3</v>
      </c>
      <c r="S86" s="2"/>
      <c r="T86" s="2"/>
      <c r="U86" s="2"/>
      <c r="V86" s="19">
        <f t="shared" si="12"/>
        <v>0</v>
      </c>
      <c r="W86" s="2"/>
      <c r="X86" s="2">
        <f t="shared" si="13"/>
        <v>13236.44</v>
      </c>
      <c r="Y86" s="2"/>
      <c r="Z86" s="19">
        <f t="shared" si="14"/>
        <v>0</v>
      </c>
    </row>
    <row r="87" spans="1:26" s="24" customFormat="1" hidden="1" outlineLevel="1" x14ac:dyDescent="0.25">
      <c r="A87" s="44"/>
      <c r="B87" s="11" t="str">
        <f>CONCATENATE("          ", "5004", " - ", "PURCHASES @ COST-DIGITAL TEXT")</f>
        <v xml:space="preserve">          5004 - PURCHASES @ COST-DIGITAL TEXT</v>
      </c>
      <c r="C87" s="11"/>
      <c r="D87" s="2">
        <v>178285.37</v>
      </c>
      <c r="E87" s="2"/>
      <c r="F87" s="19">
        <f t="shared" si="7"/>
        <v>0.67394935696061797</v>
      </c>
      <c r="G87" s="2"/>
      <c r="H87" s="2"/>
      <c r="I87" s="2"/>
      <c r="J87" s="19">
        <f t="shared" si="8"/>
        <v>0</v>
      </c>
      <c r="K87" s="2"/>
      <c r="L87" s="2">
        <f t="shared" si="9"/>
        <v>178285.37</v>
      </c>
      <c r="M87" s="2"/>
      <c r="N87" s="19">
        <f t="shared" si="10"/>
        <v>0</v>
      </c>
      <c r="O87" s="11"/>
      <c r="P87" s="2">
        <v>377891.8</v>
      </c>
      <c r="Q87" s="2"/>
      <c r="R87" s="19">
        <f t="shared" si="11"/>
        <v>6.8998435808583586E-2</v>
      </c>
      <c r="S87" s="2"/>
      <c r="T87" s="2"/>
      <c r="U87" s="2"/>
      <c r="V87" s="19">
        <f t="shared" si="12"/>
        <v>0</v>
      </c>
      <c r="W87" s="2"/>
      <c r="X87" s="2">
        <f t="shared" si="13"/>
        <v>377891.8</v>
      </c>
      <c r="Y87" s="2"/>
      <c r="Z87" s="19">
        <f t="shared" si="14"/>
        <v>0</v>
      </c>
    </row>
    <row r="88" spans="1:26" s="24" customFormat="1" hidden="1" outlineLevel="1" x14ac:dyDescent="0.25">
      <c r="A88" s="44"/>
      <c r="B88" s="11" t="str">
        <f>CONCATENATE("          ", "5011", " - ", "PURCHASES @ COST-NO VALUE TEXT")</f>
        <v xml:space="preserve">          5011 - PURCHASES @ COST-NO VALUE TEXT</v>
      </c>
      <c r="C88" s="11"/>
      <c r="D88" s="2">
        <v>63.17</v>
      </c>
      <c r="E88" s="2"/>
      <c r="F88" s="19">
        <f t="shared" si="7"/>
        <v>2.3879346285790156E-4</v>
      </c>
      <c r="G88" s="2"/>
      <c r="H88" s="2"/>
      <c r="I88" s="2"/>
      <c r="J88" s="19">
        <f t="shared" si="8"/>
        <v>0</v>
      </c>
      <c r="K88" s="2"/>
      <c r="L88" s="2">
        <f t="shared" si="9"/>
        <v>63.17</v>
      </c>
      <c r="M88" s="2"/>
      <c r="N88" s="19">
        <f t="shared" si="10"/>
        <v>0</v>
      </c>
      <c r="O88" s="11"/>
      <c r="P88" s="2">
        <v>130.34</v>
      </c>
      <c r="Q88" s="2"/>
      <c r="R88" s="19">
        <f t="shared" si="11"/>
        <v>2.379849502765285E-5</v>
      </c>
      <c r="S88" s="2"/>
      <c r="T88" s="2"/>
      <c r="U88" s="2"/>
      <c r="V88" s="19">
        <f t="shared" si="12"/>
        <v>0</v>
      </c>
      <c r="W88" s="2"/>
      <c r="X88" s="2">
        <f t="shared" si="13"/>
        <v>130.34</v>
      </c>
      <c r="Y88" s="2"/>
      <c r="Z88" s="19">
        <f t="shared" si="14"/>
        <v>0</v>
      </c>
    </row>
    <row r="89" spans="1:26" s="24" customFormat="1" hidden="1" outlineLevel="1" x14ac:dyDescent="0.25">
      <c r="A89" s="44"/>
      <c r="B89" s="11" t="str">
        <f>CONCATENATE("          ", "5013", " - ", "PURCHASES @ COST-TRADE BOOKS")</f>
        <v xml:space="preserve">          5013 - PURCHASES @ COST-TRADE BOOKS</v>
      </c>
      <c r="C89" s="11"/>
      <c r="D89" s="2">
        <v>1964.92</v>
      </c>
      <c r="E89" s="2"/>
      <c r="F89" s="19">
        <f t="shared" si="7"/>
        <v>7.4277354921441817E-3</v>
      </c>
      <c r="G89" s="2"/>
      <c r="H89" s="2"/>
      <c r="I89" s="2"/>
      <c r="J89" s="19">
        <f t="shared" si="8"/>
        <v>0</v>
      </c>
      <c r="K89" s="2"/>
      <c r="L89" s="2">
        <f t="shared" si="9"/>
        <v>1964.92</v>
      </c>
      <c r="M89" s="2"/>
      <c r="N89" s="19">
        <f t="shared" si="10"/>
        <v>0</v>
      </c>
      <c r="O89" s="11"/>
      <c r="P89" s="2">
        <v>11634.94</v>
      </c>
      <c r="Q89" s="2"/>
      <c r="R89" s="19">
        <f t="shared" si="11"/>
        <v>2.1243982026779135E-3</v>
      </c>
      <c r="S89" s="2"/>
      <c r="T89" s="2"/>
      <c r="U89" s="2"/>
      <c r="V89" s="19">
        <f t="shared" si="12"/>
        <v>0</v>
      </c>
      <c r="W89" s="2"/>
      <c r="X89" s="2">
        <f t="shared" si="13"/>
        <v>11634.94</v>
      </c>
      <c r="Y89" s="2"/>
      <c r="Z89" s="19">
        <f t="shared" si="14"/>
        <v>0</v>
      </c>
    </row>
    <row r="90" spans="1:26" s="24" customFormat="1" hidden="1" outlineLevel="1" x14ac:dyDescent="0.25">
      <c r="A90" s="44"/>
      <c r="B90" s="11" t="str">
        <f>CONCATENATE("          ", "5014", " - ", "PURCHASES @ COST-REMAINDERS")</f>
        <v xml:space="preserve">          5014 - PURCHASES @ COST-REMAINDERS</v>
      </c>
      <c r="C90" s="11"/>
      <c r="D90" s="2">
        <v>-161.43</v>
      </c>
      <c r="E90" s="2"/>
      <c r="F90" s="19">
        <f t="shared" si="7"/>
        <v>-6.1023315987258268E-4</v>
      </c>
      <c r="G90" s="2"/>
      <c r="H90" s="2"/>
      <c r="I90" s="2"/>
      <c r="J90" s="19">
        <f t="shared" si="8"/>
        <v>0</v>
      </c>
      <c r="K90" s="2"/>
      <c r="L90" s="2">
        <f t="shared" si="9"/>
        <v>-161.43</v>
      </c>
      <c r="M90" s="2"/>
      <c r="N90" s="19">
        <f t="shared" si="10"/>
        <v>0</v>
      </c>
      <c r="O90" s="11"/>
      <c r="P90" s="2">
        <v>-49.86</v>
      </c>
      <c r="Q90" s="2"/>
      <c r="R90" s="19">
        <f t="shared" si="11"/>
        <v>-9.1038281577318622E-6</v>
      </c>
      <c r="S90" s="2"/>
      <c r="T90" s="2"/>
      <c r="U90" s="2"/>
      <c r="V90" s="19">
        <f t="shared" si="12"/>
        <v>0</v>
      </c>
      <c r="W90" s="2"/>
      <c r="X90" s="2">
        <f t="shared" si="13"/>
        <v>-49.86</v>
      </c>
      <c r="Y90" s="2"/>
      <c r="Z90" s="19">
        <f t="shared" si="14"/>
        <v>0</v>
      </c>
    </row>
    <row r="91" spans="1:26" s="24" customFormat="1" hidden="1" outlineLevel="1" x14ac:dyDescent="0.25">
      <c r="A91" s="44"/>
      <c r="B91" s="11" t="str">
        <f>CONCATENATE("          ", "5018", " - ", "PURCHASES @ COST-STUDY GUIDES")</f>
        <v xml:space="preserve">          5018 - PURCHASES @ COST-STUDY GUIDES</v>
      </c>
      <c r="C91" s="11"/>
      <c r="D91" s="2">
        <v>476.17</v>
      </c>
      <c r="E91" s="2"/>
      <c r="F91" s="19">
        <f t="shared" si="7"/>
        <v>1.8000044832839478E-3</v>
      </c>
      <c r="G91" s="2"/>
      <c r="H91" s="2"/>
      <c r="I91" s="2"/>
      <c r="J91" s="19">
        <f t="shared" si="8"/>
        <v>0</v>
      </c>
      <c r="K91" s="2"/>
      <c r="L91" s="2">
        <f t="shared" si="9"/>
        <v>476.17</v>
      </c>
      <c r="M91" s="2"/>
      <c r="N91" s="19">
        <f t="shared" si="10"/>
        <v>0</v>
      </c>
      <c r="O91" s="11"/>
      <c r="P91" s="2">
        <v>1443.38</v>
      </c>
      <c r="Q91" s="2"/>
      <c r="R91" s="19">
        <f t="shared" si="11"/>
        <v>2.6354359178313311E-4</v>
      </c>
      <c r="S91" s="2"/>
      <c r="T91" s="2"/>
      <c r="U91" s="2"/>
      <c r="V91" s="19">
        <f t="shared" si="12"/>
        <v>0</v>
      </c>
      <c r="W91" s="2"/>
      <c r="X91" s="2">
        <f t="shared" si="13"/>
        <v>1443.38</v>
      </c>
      <c r="Y91" s="2"/>
      <c r="Z91" s="19">
        <f t="shared" si="14"/>
        <v>0</v>
      </c>
    </row>
    <row r="92" spans="1:26" s="24" customFormat="1" hidden="1" outlineLevel="1" x14ac:dyDescent="0.25">
      <c r="A92" s="44"/>
      <c r="B92" s="11" t="str">
        <f>CONCATENATE("          ", "5025", " - ", "PURCHASES @ COST-TEST FORMS")</f>
        <v xml:space="preserve">          5025 - PURCHASES @ COST-TEST FORMS</v>
      </c>
      <c r="C92" s="11"/>
      <c r="D92" s="2">
        <v>161</v>
      </c>
      <c r="E92" s="2"/>
      <c r="F92" s="19">
        <f t="shared" si="7"/>
        <v>6.0860768592879764E-4</v>
      </c>
      <c r="G92" s="2"/>
      <c r="H92" s="2"/>
      <c r="I92" s="2"/>
      <c r="J92" s="19">
        <f t="shared" si="8"/>
        <v>0</v>
      </c>
      <c r="K92" s="2"/>
      <c r="L92" s="2">
        <f t="shared" si="9"/>
        <v>161</v>
      </c>
      <c r="M92" s="2"/>
      <c r="N92" s="19">
        <f t="shared" si="10"/>
        <v>0</v>
      </c>
      <c r="O92" s="11"/>
      <c r="P92" s="2">
        <v>760.29</v>
      </c>
      <c r="Q92" s="2"/>
      <c r="R92" s="19">
        <f t="shared" si="11"/>
        <v>1.3881968531973441E-4</v>
      </c>
      <c r="S92" s="2"/>
      <c r="T92" s="2"/>
      <c r="U92" s="2"/>
      <c r="V92" s="19">
        <f t="shared" si="12"/>
        <v>0</v>
      </c>
      <c r="W92" s="2"/>
      <c r="X92" s="2">
        <f t="shared" si="13"/>
        <v>760.29</v>
      </c>
      <c r="Y92" s="2"/>
      <c r="Z92" s="19">
        <f t="shared" si="14"/>
        <v>0</v>
      </c>
    </row>
    <row r="93" spans="1:26" s="24" customFormat="1" hidden="1" outlineLevel="1" x14ac:dyDescent="0.25">
      <c r="A93" s="44"/>
      <c r="B93" s="11" t="str">
        <f>CONCATENATE("          ", "5026", " - ", "PURCHASES @ COST-WRITING INSTR")</f>
        <v xml:space="preserve">          5026 - PURCHASES @ COST-WRITING INSTR</v>
      </c>
      <c r="C93" s="11"/>
      <c r="D93" s="2">
        <v>1361.75</v>
      </c>
      <c r="E93" s="2"/>
      <c r="F93" s="19">
        <f t="shared" si="7"/>
        <v>5.1476491696493187E-3</v>
      </c>
      <c r="G93" s="2"/>
      <c r="H93" s="2"/>
      <c r="I93" s="2"/>
      <c r="J93" s="19">
        <f t="shared" si="8"/>
        <v>0</v>
      </c>
      <c r="K93" s="2"/>
      <c r="L93" s="2">
        <f t="shared" si="9"/>
        <v>1361.75</v>
      </c>
      <c r="M93" s="2"/>
      <c r="N93" s="19">
        <f t="shared" si="10"/>
        <v>0</v>
      </c>
      <c r="O93" s="11"/>
      <c r="P93" s="2">
        <v>1944.25</v>
      </c>
      <c r="Q93" s="2"/>
      <c r="R93" s="19">
        <f t="shared" si="11"/>
        <v>3.5499634768692688E-4</v>
      </c>
      <c r="S93" s="2"/>
      <c r="T93" s="2"/>
      <c r="U93" s="2"/>
      <c r="V93" s="19">
        <f t="shared" si="12"/>
        <v>0</v>
      </c>
      <c r="W93" s="2"/>
      <c r="X93" s="2">
        <f t="shared" si="13"/>
        <v>1944.25</v>
      </c>
      <c r="Y93" s="2"/>
      <c r="Z93" s="19">
        <f t="shared" si="14"/>
        <v>0</v>
      </c>
    </row>
    <row r="94" spans="1:26" s="24" customFormat="1" hidden="1" outlineLevel="1" x14ac:dyDescent="0.25">
      <c r="A94" s="44"/>
      <c r="B94" s="11" t="str">
        <f>CONCATENATE("          ", "5027", " - ", "PURCHASES @ COST-SCHOOL SUPPLI")</f>
        <v xml:space="preserve">          5027 - PURCHASES @ COST-SCHOOL SUPPLI</v>
      </c>
      <c r="C94" s="11"/>
      <c r="D94" s="2">
        <v>-23546.66</v>
      </c>
      <c r="E94" s="2"/>
      <c r="F94" s="19">
        <f t="shared" si="7"/>
        <v>-8.9010423937591204E-2</v>
      </c>
      <c r="G94" s="2"/>
      <c r="H94" s="2"/>
      <c r="I94" s="2"/>
      <c r="J94" s="19">
        <f t="shared" si="8"/>
        <v>0</v>
      </c>
      <c r="K94" s="2"/>
      <c r="L94" s="2">
        <f t="shared" si="9"/>
        <v>-23546.66</v>
      </c>
      <c r="M94" s="2"/>
      <c r="N94" s="19">
        <f t="shared" si="10"/>
        <v>0</v>
      </c>
      <c r="O94" s="11"/>
      <c r="P94" s="2">
        <v>188.33</v>
      </c>
      <c r="Q94" s="2"/>
      <c r="R94" s="19">
        <f t="shared" si="11"/>
        <v>3.4386762072716447E-5</v>
      </c>
      <c r="S94" s="2"/>
      <c r="T94" s="2"/>
      <c r="U94" s="2"/>
      <c r="V94" s="19">
        <f t="shared" si="12"/>
        <v>0</v>
      </c>
      <c r="W94" s="2"/>
      <c r="X94" s="2">
        <f t="shared" si="13"/>
        <v>188.33</v>
      </c>
      <c r="Y94" s="2"/>
      <c r="Z94" s="19">
        <f t="shared" si="14"/>
        <v>0</v>
      </c>
    </row>
    <row r="95" spans="1:26" s="24" customFormat="1" hidden="1" outlineLevel="1" x14ac:dyDescent="0.25">
      <c r="A95" s="44"/>
      <c r="B95" s="11" t="str">
        <f>CONCATENATE("          ", "5028", " - ", "PURCHASES @ COST-ART/TECH")</f>
        <v xml:space="preserve">          5028 - PURCHASES @ COST-ART/TECH</v>
      </c>
      <c r="C95" s="11"/>
      <c r="D95" s="2">
        <v>4965.34</v>
      </c>
      <c r="E95" s="2"/>
      <c r="F95" s="19">
        <f t="shared" si="7"/>
        <v>1.8769839051240349E-2</v>
      </c>
      <c r="G95" s="2"/>
      <c r="H95" s="2"/>
      <c r="I95" s="2"/>
      <c r="J95" s="19">
        <f t="shared" si="8"/>
        <v>0</v>
      </c>
      <c r="K95" s="2"/>
      <c r="L95" s="2">
        <f t="shared" si="9"/>
        <v>4965.34</v>
      </c>
      <c r="M95" s="2"/>
      <c r="N95" s="19">
        <f t="shared" si="10"/>
        <v>0</v>
      </c>
      <c r="O95" s="11"/>
      <c r="P95" s="2">
        <v>52646.080000000002</v>
      </c>
      <c r="Q95" s="2"/>
      <c r="R95" s="19">
        <f t="shared" si="11"/>
        <v>9.612532400686007E-3</v>
      </c>
      <c r="S95" s="2"/>
      <c r="T95" s="2"/>
      <c r="U95" s="2"/>
      <c r="V95" s="19">
        <f t="shared" si="12"/>
        <v>0</v>
      </c>
      <c r="W95" s="2"/>
      <c r="X95" s="2">
        <f t="shared" si="13"/>
        <v>52646.080000000002</v>
      </c>
      <c r="Y95" s="2"/>
      <c r="Z95" s="19">
        <f t="shared" si="14"/>
        <v>0</v>
      </c>
    </row>
    <row r="96" spans="1:26" s="24" customFormat="1" hidden="1" outlineLevel="1" x14ac:dyDescent="0.25">
      <c r="A96" s="44"/>
      <c r="B96" s="11" t="str">
        <f>CONCATENATE("          ", "5031", " - ", "PURCHASES @ COST-FOOD")</f>
        <v xml:space="preserve">          5031 - PURCHASES @ COST-FOOD</v>
      </c>
      <c r="C96" s="11"/>
      <c r="D96" s="2">
        <v>75599.55</v>
      </c>
      <c r="E96" s="2"/>
      <c r="F96" s="19">
        <f t="shared" si="7"/>
        <v>0.28577929927179152</v>
      </c>
      <c r="G96" s="2"/>
      <c r="H96" s="2"/>
      <c r="I96" s="2"/>
      <c r="J96" s="19">
        <f t="shared" si="8"/>
        <v>0</v>
      </c>
      <c r="K96" s="2"/>
      <c r="L96" s="2">
        <f t="shared" si="9"/>
        <v>75599.55</v>
      </c>
      <c r="M96" s="2"/>
      <c r="N96" s="19">
        <f t="shared" si="10"/>
        <v>0</v>
      </c>
      <c r="O96" s="11"/>
      <c r="P96" s="2">
        <v>83665.64</v>
      </c>
      <c r="Q96" s="2"/>
      <c r="R96" s="19">
        <f t="shared" si="11"/>
        <v>1.5276325897847118E-2</v>
      </c>
      <c r="S96" s="2"/>
      <c r="T96" s="2"/>
      <c r="U96" s="2"/>
      <c r="V96" s="19">
        <f t="shared" si="12"/>
        <v>0</v>
      </c>
      <c r="W96" s="2"/>
      <c r="X96" s="2">
        <f t="shared" si="13"/>
        <v>83665.64</v>
      </c>
      <c r="Y96" s="2"/>
      <c r="Z96" s="19">
        <f t="shared" si="14"/>
        <v>0</v>
      </c>
    </row>
    <row r="97" spans="1:26" s="24" customFormat="1" hidden="1" outlineLevel="1" x14ac:dyDescent="0.25">
      <c r="A97" s="44"/>
      <c r="B97" s="11" t="str">
        <f>CONCATENATE("          ", "5032", " - ", "PURCHASES @ COST-JUICE")</f>
        <v xml:space="preserve">          5032 - PURCHASES @ COST-JUICE</v>
      </c>
      <c r="C97" s="11"/>
      <c r="D97" s="2">
        <v>291</v>
      </c>
      <c r="E97" s="2"/>
      <c r="F97" s="19">
        <f t="shared" si="7"/>
        <v>1.1000300410265846E-3</v>
      </c>
      <c r="G97" s="2"/>
      <c r="H97" s="2"/>
      <c r="I97" s="2"/>
      <c r="J97" s="19">
        <f t="shared" si="8"/>
        <v>0</v>
      </c>
      <c r="K97" s="2"/>
      <c r="L97" s="2">
        <f t="shared" si="9"/>
        <v>291</v>
      </c>
      <c r="M97" s="2"/>
      <c r="N97" s="19">
        <f t="shared" si="10"/>
        <v>0</v>
      </c>
      <c r="O97" s="11"/>
      <c r="P97" s="2">
        <v>291</v>
      </c>
      <c r="Q97" s="2"/>
      <c r="R97" s="19">
        <f t="shared" si="11"/>
        <v>5.3133052424788856E-5</v>
      </c>
      <c r="S97" s="2"/>
      <c r="T97" s="2"/>
      <c r="U97" s="2"/>
      <c r="V97" s="19">
        <f t="shared" si="12"/>
        <v>0</v>
      </c>
      <c r="W97" s="2"/>
      <c r="X97" s="2">
        <f t="shared" si="13"/>
        <v>291</v>
      </c>
      <c r="Y97" s="2"/>
      <c r="Z97" s="19">
        <f t="shared" si="14"/>
        <v>0</v>
      </c>
    </row>
    <row r="98" spans="1:26" s="24" customFormat="1" hidden="1" outlineLevel="1" x14ac:dyDescent="0.25">
      <c r="A98" s="44"/>
      <c r="B98" s="11" t="str">
        <f>CONCATENATE("          ", "5033", " - ", "PURCHASES @ COST-CANDY")</f>
        <v xml:space="preserve">          5033 - PURCHASES @ COST-CANDY</v>
      </c>
      <c r="C98" s="11"/>
      <c r="D98" s="2">
        <v>1266</v>
      </c>
      <c r="E98" s="2"/>
      <c r="F98" s="19">
        <f t="shared" si="7"/>
        <v>4.7856977042599865E-3</v>
      </c>
      <c r="G98" s="2"/>
      <c r="H98" s="2"/>
      <c r="I98" s="2"/>
      <c r="J98" s="19">
        <f t="shared" si="8"/>
        <v>0</v>
      </c>
      <c r="K98" s="2"/>
      <c r="L98" s="2">
        <f t="shared" si="9"/>
        <v>1266</v>
      </c>
      <c r="M98" s="2"/>
      <c r="N98" s="19">
        <f t="shared" si="10"/>
        <v>0</v>
      </c>
      <c r="O98" s="11"/>
      <c r="P98" s="2">
        <v>1266</v>
      </c>
      <c r="Q98" s="2"/>
      <c r="R98" s="19">
        <f t="shared" si="11"/>
        <v>2.3115616621918449E-4</v>
      </c>
      <c r="S98" s="2"/>
      <c r="T98" s="2"/>
      <c r="U98" s="2"/>
      <c r="V98" s="19">
        <f t="shared" si="12"/>
        <v>0</v>
      </c>
      <c r="W98" s="2"/>
      <c r="X98" s="2">
        <f t="shared" si="13"/>
        <v>1266</v>
      </c>
      <c r="Y98" s="2"/>
      <c r="Z98" s="19">
        <f t="shared" si="14"/>
        <v>0</v>
      </c>
    </row>
    <row r="99" spans="1:26" s="24" customFormat="1" hidden="1" outlineLevel="1" x14ac:dyDescent="0.25">
      <c r="A99" s="44"/>
      <c r="B99" s="11" t="str">
        <f>CONCATENATE("          ", "5034", " - ", "PURCHASES @ COST-SODA")</f>
        <v xml:space="preserve">          5034 - PURCHASES @ COST-SODA</v>
      </c>
      <c r="C99" s="11"/>
      <c r="D99" s="2">
        <v>567</v>
      </c>
      <c r="E99" s="2"/>
      <c r="F99" s="19">
        <f t="shared" si="7"/>
        <v>2.1433575026188092E-3</v>
      </c>
      <c r="G99" s="2"/>
      <c r="H99" s="2"/>
      <c r="I99" s="2"/>
      <c r="J99" s="19">
        <f t="shared" si="8"/>
        <v>0</v>
      </c>
      <c r="K99" s="2"/>
      <c r="L99" s="2">
        <f t="shared" si="9"/>
        <v>567</v>
      </c>
      <c r="M99" s="2"/>
      <c r="N99" s="19">
        <f t="shared" si="10"/>
        <v>0</v>
      </c>
      <c r="O99" s="11"/>
      <c r="P99" s="2">
        <v>567</v>
      </c>
      <c r="Q99" s="2"/>
      <c r="R99" s="19">
        <f t="shared" si="11"/>
        <v>1.0352728771427931E-4</v>
      </c>
      <c r="S99" s="2"/>
      <c r="T99" s="2"/>
      <c r="U99" s="2"/>
      <c r="V99" s="19">
        <f t="shared" si="12"/>
        <v>0</v>
      </c>
      <c r="W99" s="2"/>
      <c r="X99" s="2">
        <f t="shared" si="13"/>
        <v>567</v>
      </c>
      <c r="Y99" s="2"/>
      <c r="Z99" s="19">
        <f t="shared" si="14"/>
        <v>0</v>
      </c>
    </row>
    <row r="100" spans="1:26" s="24" customFormat="1" hidden="1" outlineLevel="1" x14ac:dyDescent="0.25">
      <c r="A100" s="44"/>
      <c r="B100" s="11" t="str">
        <f>CONCATENATE("          ", "5035", " - ", "PURCHASES @ COST-HEALTH &amp; BEAU")</f>
        <v xml:space="preserve">          5035 - PURCHASES @ COST-HEALTH &amp; BEAU</v>
      </c>
      <c r="C100" s="11"/>
      <c r="D100" s="2">
        <v>339</v>
      </c>
      <c r="E100" s="2"/>
      <c r="F100" s="19">
        <f t="shared" si="7"/>
        <v>1.2814782952165367E-3</v>
      </c>
      <c r="G100" s="2"/>
      <c r="H100" s="2"/>
      <c r="I100" s="2"/>
      <c r="J100" s="19">
        <f t="shared" si="8"/>
        <v>0</v>
      </c>
      <c r="K100" s="2"/>
      <c r="L100" s="2">
        <f t="shared" si="9"/>
        <v>339</v>
      </c>
      <c r="M100" s="2"/>
      <c r="N100" s="19">
        <f t="shared" si="10"/>
        <v>0</v>
      </c>
      <c r="O100" s="11"/>
      <c r="P100" s="2">
        <v>339</v>
      </c>
      <c r="Q100" s="2"/>
      <c r="R100" s="19">
        <f t="shared" si="11"/>
        <v>6.1897267257743721E-5</v>
      </c>
      <c r="S100" s="2"/>
      <c r="T100" s="2"/>
      <c r="U100" s="2"/>
      <c r="V100" s="19">
        <f t="shared" si="12"/>
        <v>0</v>
      </c>
      <c r="W100" s="2"/>
      <c r="X100" s="2">
        <f t="shared" si="13"/>
        <v>339</v>
      </c>
      <c r="Y100" s="2"/>
      <c r="Z100" s="19">
        <f t="shared" si="14"/>
        <v>0</v>
      </c>
    </row>
    <row r="101" spans="1:26" s="24" customFormat="1" hidden="1" outlineLevel="1" x14ac:dyDescent="0.25">
      <c r="A101" s="44"/>
      <c r="B101" s="11" t="str">
        <f>CONCATENATE("          ", "5037", " - ", "PURCHASES @ COST-WATER")</f>
        <v xml:space="preserve">          5037 - PURCHASES @ COST-WATER</v>
      </c>
      <c r="C101" s="11"/>
      <c r="D101" s="2">
        <v>190.95</v>
      </c>
      <c r="E101" s="2"/>
      <c r="F101" s="19">
        <f t="shared" si="7"/>
        <v>7.2182383619940314E-4</v>
      </c>
      <c r="G101" s="2"/>
      <c r="H101" s="2"/>
      <c r="I101" s="2"/>
      <c r="J101" s="19">
        <f t="shared" si="8"/>
        <v>0</v>
      </c>
      <c r="K101" s="2"/>
      <c r="L101" s="2">
        <f t="shared" si="9"/>
        <v>190.95</v>
      </c>
      <c r="M101" s="2"/>
      <c r="N101" s="19">
        <f t="shared" si="10"/>
        <v>0</v>
      </c>
      <c r="O101" s="11"/>
      <c r="P101" s="2">
        <v>190.95</v>
      </c>
      <c r="Q101" s="2"/>
      <c r="R101" s="19">
        <f t="shared" si="11"/>
        <v>3.486514213234856E-5</v>
      </c>
      <c r="S101" s="2"/>
      <c r="T101" s="2"/>
      <c r="U101" s="2"/>
      <c r="V101" s="19">
        <f t="shared" si="12"/>
        <v>0</v>
      </c>
      <c r="W101" s="2"/>
      <c r="X101" s="2">
        <f t="shared" si="13"/>
        <v>190.95</v>
      </c>
      <c r="Y101" s="2"/>
      <c r="Z101" s="19">
        <f t="shared" si="14"/>
        <v>0</v>
      </c>
    </row>
    <row r="102" spans="1:26" s="24" customFormat="1" hidden="1" outlineLevel="1" x14ac:dyDescent="0.25">
      <c r="A102" s="44"/>
      <c r="B102" s="11" t="str">
        <f>CONCATENATE("          ", "5040", " - ", "PURCHASES @ COST-LOGO CLOTHING")</f>
        <v xml:space="preserve">          5040 - PURCHASES @ COST-LOGO CLOTHING</v>
      </c>
      <c r="C102" s="11"/>
      <c r="D102" s="2">
        <v>65486.18</v>
      </c>
      <c r="E102" s="2"/>
      <c r="F102" s="19">
        <f t="shared" si="7"/>
        <v>0.24754902155351996</v>
      </c>
      <c r="G102" s="2"/>
      <c r="H102" s="2"/>
      <c r="I102" s="2"/>
      <c r="J102" s="19">
        <f t="shared" si="8"/>
        <v>0</v>
      </c>
      <c r="K102" s="2"/>
      <c r="L102" s="2">
        <f t="shared" si="9"/>
        <v>65486.18</v>
      </c>
      <c r="M102" s="2"/>
      <c r="N102" s="19">
        <f t="shared" si="10"/>
        <v>0</v>
      </c>
      <c r="O102" s="11"/>
      <c r="P102" s="2">
        <v>392865.16</v>
      </c>
      <c r="Q102" s="2"/>
      <c r="R102" s="19">
        <f t="shared" si="11"/>
        <v>7.1732388804649688E-2</v>
      </c>
      <c r="S102" s="2"/>
      <c r="T102" s="2"/>
      <c r="U102" s="2"/>
      <c r="V102" s="19">
        <f t="shared" si="12"/>
        <v>0</v>
      </c>
      <c r="W102" s="2"/>
      <c r="X102" s="2">
        <f t="shared" si="13"/>
        <v>392865.16</v>
      </c>
      <c r="Y102" s="2"/>
      <c r="Z102" s="19">
        <f t="shared" si="14"/>
        <v>0</v>
      </c>
    </row>
    <row r="103" spans="1:26" s="24" customFormat="1" hidden="1" outlineLevel="1" x14ac:dyDescent="0.25">
      <c r="A103" s="44"/>
      <c r="B103" s="11" t="str">
        <f>CONCATENATE("          ", "5041", " - ", "PURCHASES @ COST-LOGO GIFTS")</f>
        <v xml:space="preserve">          5041 - PURCHASES @ COST-LOGO GIFTS</v>
      </c>
      <c r="C103" s="11"/>
      <c r="D103" s="2">
        <v>115476.79</v>
      </c>
      <c r="E103" s="2"/>
      <c r="F103" s="19">
        <f t="shared" si="7"/>
        <v>0.43652212385332745</v>
      </c>
      <c r="G103" s="2"/>
      <c r="H103" s="2"/>
      <c r="I103" s="2"/>
      <c r="J103" s="19">
        <f t="shared" si="8"/>
        <v>0</v>
      </c>
      <c r="K103" s="2"/>
      <c r="L103" s="2">
        <f t="shared" si="9"/>
        <v>115476.79</v>
      </c>
      <c r="M103" s="2"/>
      <c r="N103" s="19">
        <f t="shared" si="10"/>
        <v>0</v>
      </c>
      <c r="O103" s="11"/>
      <c r="P103" s="2">
        <v>221875.64</v>
      </c>
      <c r="Q103" s="2"/>
      <c r="R103" s="19">
        <f t="shared" si="11"/>
        <v>4.0511786982486524E-2</v>
      </c>
      <c r="S103" s="2"/>
      <c r="T103" s="2"/>
      <c r="U103" s="2"/>
      <c r="V103" s="19">
        <f t="shared" si="12"/>
        <v>0</v>
      </c>
      <c r="W103" s="2"/>
      <c r="X103" s="2">
        <f t="shared" si="13"/>
        <v>221875.64</v>
      </c>
      <c r="Y103" s="2"/>
      <c r="Z103" s="19">
        <f t="shared" si="14"/>
        <v>0</v>
      </c>
    </row>
    <row r="104" spans="1:26" s="24" customFormat="1" hidden="1" outlineLevel="1" x14ac:dyDescent="0.25">
      <c r="A104" s="44"/>
      <c r="B104" s="11" t="str">
        <f>CONCATENATE("          ", "5042", " - ", "PURCHASES @ COST-EVERYDAY GIFT")</f>
        <v xml:space="preserve">          5042 - PURCHASES @ COST-EVERYDAY GIFT</v>
      </c>
      <c r="C104" s="11"/>
      <c r="D104" s="2">
        <v>-39.200000000000003</v>
      </c>
      <c r="E104" s="2"/>
      <c r="F104" s="19">
        <f t="shared" si="7"/>
        <v>-1.4818274092179423E-4</v>
      </c>
      <c r="G104" s="2"/>
      <c r="H104" s="2"/>
      <c r="I104" s="2"/>
      <c r="J104" s="19">
        <f t="shared" si="8"/>
        <v>0</v>
      </c>
      <c r="K104" s="2"/>
      <c r="L104" s="2">
        <f t="shared" si="9"/>
        <v>-39.200000000000003</v>
      </c>
      <c r="M104" s="2"/>
      <c r="N104" s="19">
        <f t="shared" si="10"/>
        <v>0</v>
      </c>
      <c r="O104" s="11"/>
      <c r="P104" s="2">
        <v>18708.87</v>
      </c>
      <c r="Q104" s="2"/>
      <c r="R104" s="19">
        <f t="shared" si="11"/>
        <v>3.4160115825380049E-3</v>
      </c>
      <c r="S104" s="2"/>
      <c r="T104" s="2"/>
      <c r="U104" s="2"/>
      <c r="V104" s="19">
        <f t="shared" si="12"/>
        <v>0</v>
      </c>
      <c r="W104" s="2"/>
      <c r="X104" s="2">
        <f t="shared" si="13"/>
        <v>18708.87</v>
      </c>
      <c r="Y104" s="2"/>
      <c r="Z104" s="19">
        <f t="shared" si="14"/>
        <v>0</v>
      </c>
    </row>
    <row r="105" spans="1:26" s="24" customFormat="1" hidden="1" outlineLevel="1" x14ac:dyDescent="0.25">
      <c r="A105" s="44"/>
      <c r="B105" s="11" t="str">
        <f>CONCATENATE("          ", "5043", " - ", "PURCHASES @ COST-CARDS")</f>
        <v xml:space="preserve">          5043 - PURCHASES @ COST-CARDS</v>
      </c>
      <c r="C105" s="11"/>
      <c r="D105" s="2">
        <v>-4615.6499999999996</v>
      </c>
      <c r="E105" s="2"/>
      <c r="F105" s="19">
        <f t="shared" si="7"/>
        <v>-1.7447950717746925E-2</v>
      </c>
      <c r="G105" s="2"/>
      <c r="H105" s="2"/>
      <c r="I105" s="2"/>
      <c r="J105" s="19">
        <f t="shared" si="8"/>
        <v>0</v>
      </c>
      <c r="K105" s="2"/>
      <c r="L105" s="2">
        <f t="shared" si="9"/>
        <v>-4615.6499999999996</v>
      </c>
      <c r="M105" s="2"/>
      <c r="N105" s="19">
        <f t="shared" si="10"/>
        <v>0</v>
      </c>
      <c r="O105" s="11"/>
      <c r="P105" s="2">
        <v>50967.68</v>
      </c>
      <c r="Q105" s="2"/>
      <c r="R105" s="19">
        <f t="shared" si="11"/>
        <v>9.3060770220270185E-3</v>
      </c>
      <c r="S105" s="2"/>
      <c r="T105" s="2"/>
      <c r="U105" s="2"/>
      <c r="V105" s="19">
        <f t="shared" si="12"/>
        <v>0</v>
      </c>
      <c r="W105" s="2"/>
      <c r="X105" s="2">
        <f t="shared" si="13"/>
        <v>50967.68</v>
      </c>
      <c r="Y105" s="2"/>
      <c r="Z105" s="19">
        <f t="shared" si="14"/>
        <v>0</v>
      </c>
    </row>
    <row r="106" spans="1:26" s="24" customFormat="1" hidden="1" outlineLevel="1" x14ac:dyDescent="0.25">
      <c r="A106" s="44"/>
      <c r="B106" s="11" t="str">
        <f>CONCATENATE("          ", "5044", " - ", "PURCHASES @ COST-ACCESSORIES")</f>
        <v xml:space="preserve">          5044 - PURCHASES @ COST-ACCESSORIES</v>
      </c>
      <c r="C106" s="11"/>
      <c r="D106" s="2">
        <v>4371.2</v>
      </c>
      <c r="E106" s="2"/>
      <c r="F106" s="19">
        <f t="shared" si="7"/>
        <v>1.6523887681564972E-2</v>
      </c>
      <c r="G106" s="2"/>
      <c r="H106" s="2"/>
      <c r="I106" s="2"/>
      <c r="J106" s="19">
        <f t="shared" si="8"/>
        <v>0</v>
      </c>
      <c r="K106" s="2"/>
      <c r="L106" s="2">
        <f t="shared" si="9"/>
        <v>4371.2</v>
      </c>
      <c r="M106" s="2"/>
      <c r="N106" s="19">
        <f t="shared" si="10"/>
        <v>0</v>
      </c>
      <c r="O106" s="11"/>
      <c r="P106" s="2">
        <v>6926.91</v>
      </c>
      <c r="Q106" s="2"/>
      <c r="R106" s="19">
        <f t="shared" si="11"/>
        <v>1.2647693201779868E-3</v>
      </c>
      <c r="S106" s="2"/>
      <c r="T106" s="2"/>
      <c r="U106" s="2"/>
      <c r="V106" s="19">
        <f t="shared" si="12"/>
        <v>0</v>
      </c>
      <c r="W106" s="2"/>
      <c r="X106" s="2">
        <f t="shared" si="13"/>
        <v>6926.91</v>
      </c>
      <c r="Y106" s="2"/>
      <c r="Z106" s="19">
        <f t="shared" si="14"/>
        <v>0</v>
      </c>
    </row>
    <row r="107" spans="1:26" s="24" customFormat="1" hidden="1" outlineLevel="1" x14ac:dyDescent="0.25">
      <c r="A107" s="44"/>
      <c r="B107" s="11" t="str">
        <f>CONCATENATE("          ", "5045", " - ", "PURCHASES @ COST-SPECIAL ORDER")</f>
        <v xml:space="preserve">          5045 - PURCHASES @ COST-SPECIAL ORDER</v>
      </c>
      <c r="C107" s="11"/>
      <c r="D107" s="2">
        <v>33785.81</v>
      </c>
      <c r="E107" s="2"/>
      <c r="F107" s="19">
        <f t="shared" si="7"/>
        <v>0.12771617168527968</v>
      </c>
      <c r="G107" s="2"/>
      <c r="H107" s="2"/>
      <c r="I107" s="2"/>
      <c r="J107" s="19">
        <f t="shared" si="8"/>
        <v>0</v>
      </c>
      <c r="K107" s="2"/>
      <c r="L107" s="2">
        <f t="shared" si="9"/>
        <v>33785.81</v>
      </c>
      <c r="M107" s="2"/>
      <c r="N107" s="19">
        <f t="shared" si="10"/>
        <v>0</v>
      </c>
      <c r="O107" s="11"/>
      <c r="P107" s="2">
        <v>172925.05</v>
      </c>
      <c r="Q107" s="2"/>
      <c r="R107" s="19">
        <f t="shared" si="11"/>
        <v>3.1574006004155442E-2</v>
      </c>
      <c r="S107" s="2"/>
      <c r="T107" s="2"/>
      <c r="U107" s="2"/>
      <c r="V107" s="19">
        <f t="shared" si="12"/>
        <v>0</v>
      </c>
      <c r="W107" s="2"/>
      <c r="X107" s="2">
        <f t="shared" si="13"/>
        <v>172925.05</v>
      </c>
      <c r="Y107" s="2"/>
      <c r="Z107" s="19">
        <f t="shared" si="14"/>
        <v>0</v>
      </c>
    </row>
    <row r="108" spans="1:26" s="24" customFormat="1" hidden="1" outlineLevel="1" x14ac:dyDescent="0.25">
      <c r="A108" s="44"/>
      <c r="B108" s="11" t="str">
        <f>CONCATENATE("          ", "5053", " - ", "PURCHASES @ COST-FOOD")</f>
        <v xml:space="preserve">          5053 - PURCHASES @ COST-FOOD</v>
      </c>
      <c r="C108" s="11"/>
      <c r="D108" s="2">
        <v>1487.52</v>
      </c>
      <c r="E108" s="2"/>
      <c r="F108" s="19">
        <f t="shared" si="7"/>
        <v>5.6230813973466159E-3</v>
      </c>
      <c r="G108" s="2"/>
      <c r="H108" s="2"/>
      <c r="I108" s="2"/>
      <c r="J108" s="19">
        <f t="shared" si="8"/>
        <v>0</v>
      </c>
      <c r="K108" s="2"/>
      <c r="L108" s="2">
        <f t="shared" si="9"/>
        <v>1487.52</v>
      </c>
      <c r="M108" s="2"/>
      <c r="N108" s="19">
        <f t="shared" si="10"/>
        <v>0</v>
      </c>
      <c r="O108" s="11"/>
      <c r="P108" s="2">
        <v>-1011.63</v>
      </c>
      <c r="Q108" s="2"/>
      <c r="R108" s="19">
        <f t="shared" si="11"/>
        <v>-1.8471130523879431E-4</v>
      </c>
      <c r="S108" s="2"/>
      <c r="T108" s="2"/>
      <c r="U108" s="2"/>
      <c r="V108" s="19">
        <f t="shared" si="12"/>
        <v>0</v>
      </c>
      <c r="W108" s="2"/>
      <c r="X108" s="2">
        <f t="shared" si="13"/>
        <v>-1011.63</v>
      </c>
      <c r="Y108" s="2"/>
      <c r="Z108" s="19">
        <f t="shared" si="14"/>
        <v>0</v>
      </c>
    </row>
    <row r="109" spans="1:26" s="24" customFormat="1" hidden="1" outlineLevel="1" x14ac:dyDescent="0.25">
      <c r="A109" s="44"/>
      <c r="B109" s="11" t="str">
        <f>CONCATENATE("          ", "5059", " - ", "PURCHASES @ COST-FOOD")</f>
        <v xml:space="preserve">          5059 - PURCHASES @ COST-FOOD</v>
      </c>
      <c r="C109" s="11"/>
      <c r="D109" s="2">
        <v>2462</v>
      </c>
      <c r="E109" s="2"/>
      <c r="F109" s="19">
        <f t="shared" si="7"/>
        <v>9.3067833711596264E-3</v>
      </c>
      <c r="G109" s="2"/>
      <c r="H109" s="2"/>
      <c r="I109" s="2"/>
      <c r="J109" s="19">
        <f t="shared" si="8"/>
        <v>0</v>
      </c>
      <c r="K109" s="2"/>
      <c r="L109" s="2">
        <f t="shared" si="9"/>
        <v>2462</v>
      </c>
      <c r="M109" s="2"/>
      <c r="N109" s="19">
        <f t="shared" si="10"/>
        <v>0</v>
      </c>
      <c r="O109" s="11"/>
      <c r="P109" s="2">
        <v>33351.99</v>
      </c>
      <c r="Q109" s="2"/>
      <c r="R109" s="19">
        <f t="shared" si="11"/>
        <v>6.0896667805533794E-3</v>
      </c>
      <c r="S109" s="2"/>
      <c r="T109" s="2"/>
      <c r="U109" s="2"/>
      <c r="V109" s="19">
        <f t="shared" si="12"/>
        <v>0</v>
      </c>
      <c r="W109" s="2"/>
      <c r="X109" s="2">
        <f t="shared" si="13"/>
        <v>33351.99</v>
      </c>
      <c r="Y109" s="2"/>
      <c r="Z109" s="19">
        <f t="shared" si="14"/>
        <v>0</v>
      </c>
    </row>
    <row r="110" spans="1:26" s="24" customFormat="1" hidden="1" outlineLevel="1" x14ac:dyDescent="0.25">
      <c r="A110" s="44"/>
      <c r="B110" s="11" t="str">
        <f>CONCATENATE("          ", "5081", " - ", "PURCHASES @ COST-ELECTRONICS")</f>
        <v xml:space="preserve">          5081 - PURCHASES @ COST-ELECTRONICS</v>
      </c>
      <c r="C110" s="11"/>
      <c r="D110" s="2">
        <v>227</v>
      </c>
      <c r="E110" s="2"/>
      <c r="F110" s="19">
        <f t="shared" si="7"/>
        <v>8.5809903543998187E-4</v>
      </c>
      <c r="G110" s="2"/>
      <c r="H110" s="2"/>
      <c r="I110" s="2"/>
      <c r="J110" s="19">
        <f t="shared" si="8"/>
        <v>0</v>
      </c>
      <c r="K110" s="2"/>
      <c r="L110" s="2">
        <f t="shared" si="9"/>
        <v>227</v>
      </c>
      <c r="M110" s="2"/>
      <c r="N110" s="19">
        <f t="shared" si="10"/>
        <v>0</v>
      </c>
      <c r="O110" s="11"/>
      <c r="P110" s="2">
        <v>227</v>
      </c>
      <c r="Q110" s="2"/>
      <c r="R110" s="19">
        <f t="shared" si="11"/>
        <v>4.1447432647515705E-5</v>
      </c>
      <c r="S110" s="2"/>
      <c r="T110" s="2"/>
      <c r="U110" s="2"/>
      <c r="V110" s="19">
        <f t="shared" si="12"/>
        <v>0</v>
      </c>
      <c r="W110" s="2"/>
      <c r="X110" s="2">
        <f t="shared" si="13"/>
        <v>227</v>
      </c>
      <c r="Y110" s="2"/>
      <c r="Z110" s="19">
        <f t="shared" si="14"/>
        <v>0</v>
      </c>
    </row>
    <row r="111" spans="1:26" s="24" customFormat="1" hidden="1" outlineLevel="1" x14ac:dyDescent="0.25">
      <c r="A111" s="44"/>
      <c r="B111" s="11" t="str">
        <f>CONCATENATE("          ", "5082", " - ", "PURCHASES @ COST-COMPUTER HARD")</f>
        <v xml:space="preserve">          5082 - PURCHASES @ COST-COMPUTER HARD</v>
      </c>
      <c r="C111" s="11"/>
      <c r="D111" s="2">
        <v>972</v>
      </c>
      <c r="E111" s="2"/>
      <c r="F111" s="19">
        <f t="shared" si="7"/>
        <v>3.6743271473465302E-3</v>
      </c>
      <c r="G111" s="2"/>
      <c r="H111" s="2"/>
      <c r="I111" s="2"/>
      <c r="J111" s="19">
        <f t="shared" si="8"/>
        <v>0</v>
      </c>
      <c r="K111" s="2"/>
      <c r="L111" s="2">
        <f t="shared" si="9"/>
        <v>972</v>
      </c>
      <c r="M111" s="2"/>
      <c r="N111" s="19">
        <f t="shared" si="10"/>
        <v>0</v>
      </c>
      <c r="O111" s="11"/>
      <c r="P111" s="2">
        <v>972</v>
      </c>
      <c r="Q111" s="2"/>
      <c r="R111" s="19">
        <f t="shared" si="11"/>
        <v>1.7747535036733596E-4</v>
      </c>
      <c r="S111" s="2"/>
      <c r="T111" s="2"/>
      <c r="U111" s="2"/>
      <c r="V111" s="19">
        <f t="shared" si="12"/>
        <v>0</v>
      </c>
      <c r="W111" s="2"/>
      <c r="X111" s="2">
        <f t="shared" si="13"/>
        <v>972</v>
      </c>
      <c r="Y111" s="2"/>
      <c r="Z111" s="19">
        <f t="shared" si="14"/>
        <v>0</v>
      </c>
    </row>
    <row r="112" spans="1:26" s="24" customFormat="1" hidden="1" outlineLevel="1" x14ac:dyDescent="0.25">
      <c r="A112" s="44"/>
      <c r="B112" s="11" t="str">
        <f>CONCATENATE("          ", "5083", " - ", "PURCHASES @ COST-COMPUTER EQUI")</f>
        <v xml:space="preserve">          5083 - PURCHASES @ COST-COMPUTER EQUI</v>
      </c>
      <c r="C112" s="11"/>
      <c r="D112" s="2">
        <v>170</v>
      </c>
      <c r="E112" s="2"/>
      <c r="F112" s="19">
        <f t="shared" si="7"/>
        <v>6.4262923358941368E-4</v>
      </c>
      <c r="G112" s="2"/>
      <c r="H112" s="2"/>
      <c r="I112" s="2"/>
      <c r="J112" s="19">
        <f t="shared" si="8"/>
        <v>0</v>
      </c>
      <c r="K112" s="2"/>
      <c r="L112" s="2">
        <f t="shared" si="9"/>
        <v>170</v>
      </c>
      <c r="M112" s="2"/>
      <c r="N112" s="19">
        <f t="shared" si="10"/>
        <v>0</v>
      </c>
      <c r="O112" s="11"/>
      <c r="P112" s="2">
        <v>170</v>
      </c>
      <c r="Q112" s="2"/>
      <c r="R112" s="19">
        <f t="shared" si="11"/>
        <v>3.1039927533381805E-5</v>
      </c>
      <c r="S112" s="2"/>
      <c r="T112" s="2"/>
      <c r="U112" s="2"/>
      <c r="V112" s="19">
        <f t="shared" si="12"/>
        <v>0</v>
      </c>
      <c r="W112" s="2"/>
      <c r="X112" s="2">
        <f t="shared" si="13"/>
        <v>170</v>
      </c>
      <c r="Y112" s="2"/>
      <c r="Z112" s="19">
        <f t="shared" si="14"/>
        <v>0</v>
      </c>
    </row>
    <row r="113" spans="1:26" s="24" customFormat="1" hidden="1" outlineLevel="1" x14ac:dyDescent="0.25">
      <c r="A113" s="44"/>
      <c r="B113" s="11" t="str">
        <f>CONCATENATE("          ", "5086", " - ", "PURCHASES @ COST-COMPUTER SUPP")</f>
        <v xml:space="preserve">          5086 - PURCHASES @ COST-COMPUTER SUPP</v>
      </c>
      <c r="C113" s="11"/>
      <c r="D113" s="2">
        <v>156.21</v>
      </c>
      <c r="E113" s="2"/>
      <c r="F113" s="19">
        <f t="shared" si="7"/>
        <v>5.9050066222942536E-4</v>
      </c>
      <c r="G113" s="2"/>
      <c r="H113" s="2"/>
      <c r="I113" s="2"/>
      <c r="J113" s="19">
        <f t="shared" si="8"/>
        <v>0</v>
      </c>
      <c r="K113" s="2"/>
      <c r="L113" s="2">
        <f t="shared" si="9"/>
        <v>156.21</v>
      </c>
      <c r="M113" s="2"/>
      <c r="N113" s="19">
        <f t="shared" si="10"/>
        <v>0</v>
      </c>
      <c r="O113" s="11"/>
      <c r="P113" s="2">
        <v>169.42</v>
      </c>
      <c r="Q113" s="2"/>
      <c r="R113" s="19">
        <f t="shared" si="11"/>
        <v>3.0934026604150265E-5</v>
      </c>
      <c r="S113" s="2"/>
      <c r="T113" s="2"/>
      <c r="U113" s="2"/>
      <c r="V113" s="19">
        <f t="shared" si="12"/>
        <v>0</v>
      </c>
      <c r="W113" s="2"/>
      <c r="X113" s="2">
        <f t="shared" si="13"/>
        <v>169.42</v>
      </c>
      <c r="Y113" s="2"/>
      <c r="Z113" s="19">
        <f t="shared" si="14"/>
        <v>0</v>
      </c>
    </row>
    <row r="114" spans="1:26" s="24" customFormat="1" hidden="1" outlineLevel="1" x14ac:dyDescent="0.25">
      <c r="A114" s="44"/>
      <c r="B114" s="11" t="str">
        <f>CONCATENATE("          ", "5092", " - ", "PURCHASES @ COST-GRAD MERCH")</f>
        <v xml:space="preserve">          5092 - PURCHASES @ COST-GRAD MERCH</v>
      </c>
      <c r="C114" s="11"/>
      <c r="D114" s="2"/>
      <c r="E114" s="2"/>
      <c r="F114" s="19">
        <f t="shared" si="7"/>
        <v>0</v>
      </c>
      <c r="G114" s="2"/>
      <c r="H114" s="2"/>
      <c r="I114" s="2"/>
      <c r="J114" s="19">
        <f t="shared" si="8"/>
        <v>0</v>
      </c>
      <c r="K114" s="2"/>
      <c r="L114" s="2">
        <f t="shared" si="9"/>
        <v>0</v>
      </c>
      <c r="M114" s="2"/>
      <c r="N114" s="19">
        <f t="shared" si="10"/>
        <v>0</v>
      </c>
      <c r="O114" s="11"/>
      <c r="P114" s="2">
        <v>0</v>
      </c>
      <c r="Q114" s="2"/>
      <c r="R114" s="19">
        <f t="shared" si="11"/>
        <v>0</v>
      </c>
      <c r="S114" s="2"/>
      <c r="T114" s="2"/>
      <c r="U114" s="2"/>
      <c r="V114" s="19">
        <f t="shared" si="12"/>
        <v>0</v>
      </c>
      <c r="W114" s="2"/>
      <c r="X114" s="2">
        <f t="shared" si="13"/>
        <v>0</v>
      </c>
      <c r="Y114" s="2"/>
      <c r="Z114" s="19">
        <f t="shared" si="14"/>
        <v>0</v>
      </c>
    </row>
    <row r="115" spans="1:26" s="24" customFormat="1" hidden="1" outlineLevel="1" x14ac:dyDescent="0.25">
      <c r="A115" s="44"/>
      <c r="B115" s="11" t="str">
        <f>CONCATENATE("          ", "5200", " - ", "PURCHASES OFFSET")</f>
        <v xml:space="preserve">          5200 - PURCHASES OFFSET</v>
      </c>
      <c r="C115" s="11"/>
      <c r="D115" s="2">
        <v>-486860.31</v>
      </c>
      <c r="E115" s="2"/>
      <c r="F115" s="19">
        <f t="shared" si="7"/>
        <v>-1.8404156934141433</v>
      </c>
      <c r="G115" s="2"/>
      <c r="H115" s="2"/>
      <c r="I115" s="2"/>
      <c r="J115" s="19">
        <f t="shared" si="8"/>
        <v>0</v>
      </c>
      <c r="K115" s="2"/>
      <c r="L115" s="2">
        <f t="shared" si="9"/>
        <v>-486860.31</v>
      </c>
      <c r="M115" s="2"/>
      <c r="N115" s="19">
        <f t="shared" si="10"/>
        <v>0</v>
      </c>
      <c r="O115" s="11"/>
      <c r="P115" s="2">
        <v>-2334827.4700000002</v>
      </c>
      <c r="Q115" s="2"/>
      <c r="R115" s="19">
        <f t="shared" si="11"/>
        <v>-0.42631103218675992</v>
      </c>
      <c r="S115" s="2"/>
      <c r="T115" s="2"/>
      <c r="U115" s="2"/>
      <c r="V115" s="19">
        <f t="shared" si="12"/>
        <v>0</v>
      </c>
      <c r="W115" s="2"/>
      <c r="X115" s="2">
        <f t="shared" si="13"/>
        <v>-2334827.4700000002</v>
      </c>
      <c r="Y115" s="2"/>
      <c r="Z115" s="19">
        <f t="shared" si="14"/>
        <v>0</v>
      </c>
    </row>
    <row r="116" spans="1:26" s="24" customFormat="1" hidden="1" outlineLevel="1" x14ac:dyDescent="0.25">
      <c r="A116" s="44"/>
      <c r="B116" s="11" t="str">
        <f>CONCATENATE("          ", "5300", " - ", "COG$ OFFSET")</f>
        <v xml:space="preserve">          5300 - COG$ OFFSET</v>
      </c>
      <c r="C116" s="11"/>
      <c r="D116" s="2">
        <v>155831</v>
      </c>
      <c r="E116" s="2"/>
      <c r="F116" s="19">
        <f t="shared" si="7"/>
        <v>0.58906797705571723</v>
      </c>
      <c r="G116" s="2"/>
      <c r="H116" s="2"/>
      <c r="I116" s="2"/>
      <c r="J116" s="19">
        <f t="shared" si="8"/>
        <v>0</v>
      </c>
      <c r="K116" s="2"/>
      <c r="L116" s="2">
        <f t="shared" si="9"/>
        <v>155831</v>
      </c>
      <c r="M116" s="2"/>
      <c r="N116" s="19">
        <f t="shared" si="10"/>
        <v>0</v>
      </c>
      <c r="O116" s="11"/>
      <c r="P116" s="2">
        <v>2797463</v>
      </c>
      <c r="Q116" s="2"/>
      <c r="R116" s="19">
        <f t="shared" si="11"/>
        <v>0.5107826399842168</v>
      </c>
      <c r="S116" s="2"/>
      <c r="T116" s="2"/>
      <c r="U116" s="2"/>
      <c r="V116" s="19">
        <f t="shared" si="12"/>
        <v>0</v>
      </c>
      <c r="W116" s="2"/>
      <c r="X116" s="2">
        <f t="shared" si="13"/>
        <v>2797463</v>
      </c>
      <c r="Y116" s="2"/>
      <c r="Z116" s="19">
        <f t="shared" si="14"/>
        <v>0</v>
      </c>
    </row>
    <row r="117" spans="1:26" s="24" customFormat="1" hidden="1" outlineLevel="1" x14ac:dyDescent="0.25">
      <c r="A117" s="44"/>
      <c r="B117" s="11" t="str">
        <f>CONCATENATE("          ", "5500", " - ", "FREIGHT-IN")</f>
        <v xml:space="preserve">          5500 - FREIGHT-IN</v>
      </c>
      <c r="C117" s="11"/>
      <c r="D117" s="2">
        <v>65</v>
      </c>
      <c r="E117" s="2"/>
      <c r="F117" s="19">
        <f t="shared" si="7"/>
        <v>2.4571117754889347E-4</v>
      </c>
      <c r="G117" s="2"/>
      <c r="H117" s="2"/>
      <c r="I117" s="2"/>
      <c r="J117" s="19">
        <f t="shared" si="8"/>
        <v>0</v>
      </c>
      <c r="K117" s="2"/>
      <c r="L117" s="2">
        <f t="shared" si="9"/>
        <v>65</v>
      </c>
      <c r="M117" s="2"/>
      <c r="N117" s="19">
        <f t="shared" si="10"/>
        <v>0</v>
      </c>
      <c r="O117" s="11"/>
      <c r="P117" s="2">
        <v>65</v>
      </c>
      <c r="Q117" s="2"/>
      <c r="R117" s="19">
        <f t="shared" si="11"/>
        <v>1.1868207586293043E-5</v>
      </c>
      <c r="S117" s="2"/>
      <c r="T117" s="2"/>
      <c r="U117" s="2"/>
      <c r="V117" s="19">
        <f t="shared" si="12"/>
        <v>0</v>
      </c>
      <c r="W117" s="2"/>
      <c r="X117" s="2">
        <f t="shared" si="13"/>
        <v>65</v>
      </c>
      <c r="Y117" s="2"/>
      <c r="Z117" s="19">
        <f t="shared" si="14"/>
        <v>0</v>
      </c>
    </row>
    <row r="118" spans="1:26" s="24" customFormat="1" hidden="1" outlineLevel="1" x14ac:dyDescent="0.25">
      <c r="A118" s="44"/>
      <c r="B118" s="11" t="str">
        <f>CONCATENATE("          ", "5501", " - ", "FREIGHT-IN-NEW TEXT")</f>
        <v xml:space="preserve">          5501 - FREIGHT-IN-NEW TEXT</v>
      </c>
      <c r="C118" s="11"/>
      <c r="D118" s="2">
        <v>1565.85</v>
      </c>
      <c r="E118" s="2"/>
      <c r="F118" s="19">
        <f t="shared" si="7"/>
        <v>5.9191822671528435E-3</v>
      </c>
      <c r="G118" s="2"/>
      <c r="H118" s="2"/>
      <c r="I118" s="2"/>
      <c r="J118" s="19">
        <f t="shared" si="8"/>
        <v>0</v>
      </c>
      <c r="K118" s="2"/>
      <c r="L118" s="2">
        <f t="shared" si="9"/>
        <v>1565.85</v>
      </c>
      <c r="M118" s="2"/>
      <c r="N118" s="19">
        <f t="shared" si="10"/>
        <v>0</v>
      </c>
      <c r="O118" s="11"/>
      <c r="P118" s="2">
        <v>53401.99</v>
      </c>
      <c r="Q118" s="2"/>
      <c r="R118" s="19">
        <f t="shared" si="11"/>
        <v>9.7505523514022328E-3</v>
      </c>
      <c r="S118" s="2"/>
      <c r="T118" s="2"/>
      <c r="U118" s="2"/>
      <c r="V118" s="19">
        <f t="shared" si="12"/>
        <v>0</v>
      </c>
      <c r="W118" s="2"/>
      <c r="X118" s="2">
        <f t="shared" si="13"/>
        <v>53401.99</v>
      </c>
      <c r="Y118" s="2"/>
      <c r="Z118" s="19">
        <f t="shared" si="14"/>
        <v>0</v>
      </c>
    </row>
    <row r="119" spans="1:26" s="24" customFormat="1" hidden="1" outlineLevel="1" x14ac:dyDescent="0.25">
      <c r="A119" s="44"/>
      <c r="B119" s="11" t="str">
        <f>CONCATENATE("          ", "5502", " - ", "FREIGHT-IN-USED TEXT")</f>
        <v xml:space="preserve">          5502 - FREIGHT-IN-USED TEXT</v>
      </c>
      <c r="C119" s="11"/>
      <c r="D119" s="2">
        <v>149.80000000000001</v>
      </c>
      <c r="E119" s="2"/>
      <c r="F119" s="19">
        <f t="shared" si="7"/>
        <v>5.6626975995114227E-4</v>
      </c>
      <c r="G119" s="2"/>
      <c r="H119" s="2"/>
      <c r="I119" s="2"/>
      <c r="J119" s="19">
        <f t="shared" si="8"/>
        <v>0</v>
      </c>
      <c r="K119" s="2"/>
      <c r="L119" s="2">
        <f t="shared" si="9"/>
        <v>149.80000000000001</v>
      </c>
      <c r="M119" s="2"/>
      <c r="N119" s="19">
        <f t="shared" si="10"/>
        <v>0</v>
      </c>
      <c r="O119" s="11"/>
      <c r="P119" s="2">
        <v>18142.669999999998</v>
      </c>
      <c r="Q119" s="2"/>
      <c r="R119" s="19">
        <f t="shared" si="11"/>
        <v>3.3126303650709414E-3</v>
      </c>
      <c r="S119" s="2"/>
      <c r="T119" s="2"/>
      <c r="U119" s="2"/>
      <c r="V119" s="19">
        <f t="shared" si="12"/>
        <v>0</v>
      </c>
      <c r="W119" s="2"/>
      <c r="X119" s="2">
        <f t="shared" si="13"/>
        <v>18142.669999999998</v>
      </c>
      <c r="Y119" s="2"/>
      <c r="Z119" s="19">
        <f t="shared" si="14"/>
        <v>0</v>
      </c>
    </row>
    <row r="120" spans="1:26" s="24" customFormat="1" hidden="1" outlineLevel="1" x14ac:dyDescent="0.25">
      <c r="A120" s="44"/>
      <c r="B120" s="11" t="str">
        <f>CONCATENATE("          ", "5504", " - ", "FREIGHT-IN-DIGITAL TEXT")</f>
        <v xml:space="preserve">          5504 - FREIGHT-IN-DIGITAL TEXT</v>
      </c>
      <c r="C120" s="11"/>
      <c r="D120" s="2">
        <v>4.28</v>
      </c>
      <c r="E120" s="2"/>
      <c r="F120" s="19">
        <f t="shared" si="7"/>
        <v>1.6179135998604063E-5</v>
      </c>
      <c r="G120" s="2"/>
      <c r="H120" s="2"/>
      <c r="I120" s="2"/>
      <c r="J120" s="19">
        <f t="shared" si="8"/>
        <v>0</v>
      </c>
      <c r="K120" s="2"/>
      <c r="L120" s="2">
        <f t="shared" si="9"/>
        <v>4.28</v>
      </c>
      <c r="M120" s="2"/>
      <c r="N120" s="19">
        <f t="shared" si="10"/>
        <v>0</v>
      </c>
      <c r="O120" s="11"/>
      <c r="P120" s="2">
        <v>33.200000000000003</v>
      </c>
      <c r="Q120" s="2"/>
      <c r="R120" s="19">
        <f t="shared" si="11"/>
        <v>6.061915259460447E-6</v>
      </c>
      <c r="S120" s="2"/>
      <c r="T120" s="2"/>
      <c r="U120" s="2"/>
      <c r="V120" s="19">
        <f t="shared" si="12"/>
        <v>0</v>
      </c>
      <c r="W120" s="2"/>
      <c r="X120" s="2">
        <f t="shared" si="13"/>
        <v>33.200000000000003</v>
      </c>
      <c r="Y120" s="2"/>
      <c r="Z120" s="19">
        <f t="shared" si="14"/>
        <v>0</v>
      </c>
    </row>
    <row r="121" spans="1:26" s="24" customFormat="1" hidden="1" outlineLevel="1" x14ac:dyDescent="0.25">
      <c r="A121" s="44"/>
      <c r="B121" s="11" t="str">
        <f>CONCATENATE("          ", "5513", " - ", "FREIGHT-IN-TRADE BOOKS")</f>
        <v xml:space="preserve">          5513 - FREIGHT-IN-TRADE BOOKS</v>
      </c>
      <c r="C121" s="11"/>
      <c r="D121" s="2"/>
      <c r="E121" s="2"/>
      <c r="F121" s="19">
        <f t="shared" si="7"/>
        <v>0</v>
      </c>
      <c r="G121" s="2"/>
      <c r="H121" s="2"/>
      <c r="I121" s="2"/>
      <c r="J121" s="19">
        <f t="shared" si="8"/>
        <v>0</v>
      </c>
      <c r="K121" s="2"/>
      <c r="L121" s="2">
        <f t="shared" si="9"/>
        <v>0</v>
      </c>
      <c r="M121" s="2"/>
      <c r="N121" s="19">
        <f t="shared" si="10"/>
        <v>0</v>
      </c>
      <c r="O121" s="11"/>
      <c r="P121" s="2">
        <v>85.28</v>
      </c>
      <c r="Q121" s="2"/>
      <c r="R121" s="19">
        <f t="shared" si="11"/>
        <v>1.5571088353216471E-5</v>
      </c>
      <c r="S121" s="2"/>
      <c r="T121" s="2"/>
      <c r="U121" s="2"/>
      <c r="V121" s="19">
        <f t="shared" si="12"/>
        <v>0</v>
      </c>
      <c r="W121" s="2"/>
      <c r="X121" s="2">
        <f t="shared" si="13"/>
        <v>85.28</v>
      </c>
      <c r="Y121" s="2"/>
      <c r="Z121" s="19">
        <f t="shared" si="14"/>
        <v>0</v>
      </c>
    </row>
    <row r="122" spans="1:26" s="24" customFormat="1" hidden="1" outlineLevel="1" x14ac:dyDescent="0.25">
      <c r="A122" s="44"/>
      <c r="B122" s="11" t="str">
        <f>CONCATENATE("          ", "5525", " - ", "FREIGHT-IN-TEST FORMS")</f>
        <v xml:space="preserve">          5525 - FREIGHT-IN-TEST FORMS</v>
      </c>
      <c r="C122" s="11"/>
      <c r="D122" s="2"/>
      <c r="E122" s="2"/>
      <c r="F122" s="19">
        <f t="shared" si="7"/>
        <v>0</v>
      </c>
      <c r="G122" s="2"/>
      <c r="H122" s="2"/>
      <c r="I122" s="2"/>
      <c r="J122" s="19">
        <f t="shared" si="8"/>
        <v>0</v>
      </c>
      <c r="K122" s="2"/>
      <c r="L122" s="2">
        <f t="shared" si="9"/>
        <v>0</v>
      </c>
      <c r="M122" s="2"/>
      <c r="N122" s="19">
        <f t="shared" si="10"/>
        <v>0</v>
      </c>
      <c r="O122" s="11"/>
      <c r="P122" s="2">
        <v>48.14</v>
      </c>
      <c r="Q122" s="2"/>
      <c r="R122" s="19">
        <f t="shared" si="11"/>
        <v>8.7897771262176472E-6</v>
      </c>
      <c r="S122" s="2"/>
      <c r="T122" s="2"/>
      <c r="U122" s="2"/>
      <c r="V122" s="19">
        <f t="shared" si="12"/>
        <v>0</v>
      </c>
      <c r="W122" s="2"/>
      <c r="X122" s="2">
        <f t="shared" si="13"/>
        <v>48.14</v>
      </c>
      <c r="Y122" s="2"/>
      <c r="Z122" s="19">
        <f t="shared" si="14"/>
        <v>0</v>
      </c>
    </row>
    <row r="123" spans="1:26" s="24" customFormat="1" hidden="1" outlineLevel="1" x14ac:dyDescent="0.25">
      <c r="A123" s="44"/>
      <c r="B123" s="11" t="str">
        <f>CONCATENATE("          ", "5526", " - ", "FREIGHT-IN-WRITING INSTRUMENTS")</f>
        <v xml:space="preserve">          5526 - FREIGHT-IN-WRITING INSTRUMENTS</v>
      </c>
      <c r="C123" s="11"/>
      <c r="D123" s="2"/>
      <c r="E123" s="2"/>
      <c r="F123" s="19">
        <f t="shared" si="7"/>
        <v>0</v>
      </c>
      <c r="G123" s="2"/>
      <c r="H123" s="2"/>
      <c r="I123" s="2"/>
      <c r="J123" s="19">
        <f t="shared" si="8"/>
        <v>0</v>
      </c>
      <c r="K123" s="2"/>
      <c r="L123" s="2">
        <f t="shared" si="9"/>
        <v>0</v>
      </c>
      <c r="M123" s="2"/>
      <c r="N123" s="19">
        <f t="shared" si="10"/>
        <v>0</v>
      </c>
      <c r="O123" s="11"/>
      <c r="P123" s="2">
        <v>0</v>
      </c>
      <c r="Q123" s="2"/>
      <c r="R123" s="19">
        <f t="shared" si="11"/>
        <v>0</v>
      </c>
      <c r="S123" s="2"/>
      <c r="T123" s="2"/>
      <c r="U123" s="2"/>
      <c r="V123" s="19">
        <f t="shared" si="12"/>
        <v>0</v>
      </c>
      <c r="W123" s="2"/>
      <c r="X123" s="2">
        <f t="shared" si="13"/>
        <v>0</v>
      </c>
      <c r="Y123" s="2"/>
      <c r="Z123" s="19">
        <f t="shared" si="14"/>
        <v>0</v>
      </c>
    </row>
    <row r="124" spans="1:26" s="24" customFormat="1" hidden="1" outlineLevel="1" x14ac:dyDescent="0.25">
      <c r="A124" s="44"/>
      <c r="B124" s="11" t="str">
        <f>CONCATENATE("          ", "5527", " - ", "FREIGHT-IN-SCHOOL SUPPLIES")</f>
        <v xml:space="preserve">          5527 - FREIGHT-IN-SCHOOL SUPPLIES</v>
      </c>
      <c r="C124" s="11"/>
      <c r="D124" s="2">
        <v>58.29</v>
      </c>
      <c r="E124" s="2"/>
      <c r="F124" s="19">
        <f t="shared" si="7"/>
        <v>2.2034622368192309E-4</v>
      </c>
      <c r="G124" s="2"/>
      <c r="H124" s="2"/>
      <c r="I124" s="2"/>
      <c r="J124" s="19">
        <f t="shared" si="8"/>
        <v>0</v>
      </c>
      <c r="K124" s="2"/>
      <c r="L124" s="2">
        <f t="shared" si="9"/>
        <v>58.29</v>
      </c>
      <c r="M124" s="2"/>
      <c r="N124" s="19">
        <f t="shared" si="10"/>
        <v>0</v>
      </c>
      <c r="O124" s="11"/>
      <c r="P124" s="2">
        <v>276.91000000000003</v>
      </c>
      <c r="Q124" s="2"/>
      <c r="R124" s="19">
        <f t="shared" si="11"/>
        <v>5.0560390195698564E-5</v>
      </c>
      <c r="S124" s="2"/>
      <c r="T124" s="2"/>
      <c r="U124" s="2"/>
      <c r="V124" s="19">
        <f t="shared" si="12"/>
        <v>0</v>
      </c>
      <c r="W124" s="2"/>
      <c r="X124" s="2">
        <f t="shared" si="13"/>
        <v>276.91000000000003</v>
      </c>
      <c r="Y124" s="2"/>
      <c r="Z124" s="19">
        <f t="shared" si="14"/>
        <v>0</v>
      </c>
    </row>
    <row r="125" spans="1:26" s="24" customFormat="1" hidden="1" outlineLevel="1" x14ac:dyDescent="0.25">
      <c r="A125" s="44"/>
      <c r="B125" s="11" t="str">
        <f>CONCATENATE("          ", "5528", " - ", "FREIGHT-IN-ART/TECH")</f>
        <v xml:space="preserve">          5528 - FREIGHT-IN-ART/TECH</v>
      </c>
      <c r="C125" s="11"/>
      <c r="D125" s="2">
        <v>102.68</v>
      </c>
      <c r="E125" s="2"/>
      <c r="F125" s="19">
        <f t="shared" si="7"/>
        <v>3.8814805708800592E-4</v>
      </c>
      <c r="G125" s="2"/>
      <c r="H125" s="2"/>
      <c r="I125" s="2"/>
      <c r="J125" s="19">
        <f t="shared" si="8"/>
        <v>0</v>
      </c>
      <c r="K125" s="2"/>
      <c r="L125" s="2">
        <f t="shared" si="9"/>
        <v>102.68</v>
      </c>
      <c r="M125" s="2"/>
      <c r="N125" s="19">
        <f t="shared" si="10"/>
        <v>0</v>
      </c>
      <c r="O125" s="11"/>
      <c r="P125" s="2">
        <v>675.64</v>
      </c>
      <c r="Q125" s="2"/>
      <c r="R125" s="19">
        <f t="shared" si="11"/>
        <v>1.2336362728620047E-4</v>
      </c>
      <c r="S125" s="2"/>
      <c r="T125" s="2"/>
      <c r="U125" s="2"/>
      <c r="V125" s="19">
        <f t="shared" si="12"/>
        <v>0</v>
      </c>
      <c r="W125" s="2"/>
      <c r="X125" s="2">
        <f t="shared" si="13"/>
        <v>675.64</v>
      </c>
      <c r="Y125" s="2"/>
      <c r="Z125" s="19">
        <f t="shared" si="14"/>
        <v>0</v>
      </c>
    </row>
    <row r="126" spans="1:26" s="24" customFormat="1" hidden="1" outlineLevel="1" x14ac:dyDescent="0.25">
      <c r="A126" s="44"/>
      <c r="B126" s="11" t="str">
        <f>CONCATENATE("          ", "5540", " - ", "FREIGHT-IN-LOGO CLOTHING")</f>
        <v xml:space="preserve">          5540 - FREIGHT-IN-LOGO CLOTHING</v>
      </c>
      <c r="C126" s="11"/>
      <c r="D126" s="2">
        <v>1384.09</v>
      </c>
      <c r="E126" s="2"/>
      <c r="F126" s="19">
        <f t="shared" si="7"/>
        <v>5.2320982112868918E-3</v>
      </c>
      <c r="G126" s="2"/>
      <c r="H126" s="2"/>
      <c r="I126" s="2"/>
      <c r="J126" s="19">
        <f t="shared" si="8"/>
        <v>0</v>
      </c>
      <c r="K126" s="2"/>
      <c r="L126" s="2">
        <f t="shared" si="9"/>
        <v>1384.09</v>
      </c>
      <c r="M126" s="2"/>
      <c r="N126" s="19">
        <f t="shared" si="10"/>
        <v>0</v>
      </c>
      <c r="O126" s="11"/>
      <c r="P126" s="2">
        <v>11883.79</v>
      </c>
      <c r="Q126" s="2"/>
      <c r="R126" s="19">
        <f t="shared" si="11"/>
        <v>2.169835178952514E-3</v>
      </c>
      <c r="S126" s="2"/>
      <c r="T126" s="2"/>
      <c r="U126" s="2"/>
      <c r="V126" s="19">
        <f t="shared" si="12"/>
        <v>0</v>
      </c>
      <c r="W126" s="2"/>
      <c r="X126" s="2">
        <f t="shared" si="13"/>
        <v>11883.79</v>
      </c>
      <c r="Y126" s="2"/>
      <c r="Z126" s="19">
        <f t="shared" si="14"/>
        <v>0</v>
      </c>
    </row>
    <row r="127" spans="1:26" s="24" customFormat="1" hidden="1" outlineLevel="1" x14ac:dyDescent="0.25">
      <c r="A127" s="44"/>
      <c r="B127" s="11" t="str">
        <f>CONCATENATE("          ", "5541", " - ", "FREIGHT-IN-LOGO GIFTS")</f>
        <v xml:space="preserve">          5541 - FREIGHT-IN-LOGO GIFTS</v>
      </c>
      <c r="C127" s="11"/>
      <c r="D127" s="2">
        <v>1606.81</v>
      </c>
      <c r="E127" s="2"/>
      <c r="F127" s="19">
        <f t="shared" si="7"/>
        <v>6.074018110728269E-3</v>
      </c>
      <c r="G127" s="2"/>
      <c r="H127" s="2"/>
      <c r="I127" s="2"/>
      <c r="J127" s="19">
        <f t="shared" si="8"/>
        <v>0</v>
      </c>
      <c r="K127" s="2"/>
      <c r="L127" s="2">
        <f t="shared" si="9"/>
        <v>1606.81</v>
      </c>
      <c r="M127" s="2"/>
      <c r="N127" s="19">
        <f t="shared" si="10"/>
        <v>0</v>
      </c>
      <c r="O127" s="11"/>
      <c r="P127" s="2">
        <v>7584.01</v>
      </c>
      <c r="Q127" s="2"/>
      <c r="R127" s="19">
        <f t="shared" si="11"/>
        <v>1.3847477694849586E-3</v>
      </c>
      <c r="S127" s="2"/>
      <c r="T127" s="2"/>
      <c r="U127" s="2"/>
      <c r="V127" s="19">
        <f t="shared" si="12"/>
        <v>0</v>
      </c>
      <c r="W127" s="2"/>
      <c r="X127" s="2">
        <f t="shared" si="13"/>
        <v>7584.01</v>
      </c>
      <c r="Y127" s="2"/>
      <c r="Z127" s="19">
        <f t="shared" si="14"/>
        <v>0</v>
      </c>
    </row>
    <row r="128" spans="1:26" s="24" customFormat="1" hidden="1" outlineLevel="1" x14ac:dyDescent="0.25">
      <c r="A128" s="44"/>
      <c r="B128" s="11" t="str">
        <f>CONCATENATE("          ", "5542", " - ", "FREIGHT-IN-EVERYDAY GIFTS")</f>
        <v xml:space="preserve">          5542 - FREIGHT-IN-EVERYDAY GIFTS</v>
      </c>
      <c r="C128" s="11"/>
      <c r="D128" s="2"/>
      <c r="E128" s="2"/>
      <c r="F128" s="19">
        <f t="shared" si="7"/>
        <v>0</v>
      </c>
      <c r="G128" s="2"/>
      <c r="H128" s="2"/>
      <c r="I128" s="2"/>
      <c r="J128" s="19">
        <f t="shared" si="8"/>
        <v>0</v>
      </c>
      <c r="K128" s="2"/>
      <c r="L128" s="2">
        <f t="shared" si="9"/>
        <v>0</v>
      </c>
      <c r="M128" s="2"/>
      <c r="N128" s="19">
        <f t="shared" si="10"/>
        <v>0</v>
      </c>
      <c r="O128" s="11"/>
      <c r="P128" s="2">
        <v>681.72</v>
      </c>
      <c r="Q128" s="2"/>
      <c r="R128" s="19">
        <f t="shared" si="11"/>
        <v>1.2447376116504145E-4</v>
      </c>
      <c r="S128" s="2"/>
      <c r="T128" s="2"/>
      <c r="U128" s="2"/>
      <c r="V128" s="19">
        <f t="shared" si="12"/>
        <v>0</v>
      </c>
      <c r="W128" s="2"/>
      <c r="X128" s="2">
        <f t="shared" si="13"/>
        <v>681.72</v>
      </c>
      <c r="Y128" s="2"/>
      <c r="Z128" s="19">
        <f t="shared" si="14"/>
        <v>0</v>
      </c>
    </row>
    <row r="129" spans="1:26" s="24" customFormat="1" hidden="1" outlineLevel="1" x14ac:dyDescent="0.25">
      <c r="A129" s="44"/>
      <c r="B129" s="11" t="str">
        <f>CONCATENATE("          ", "5543", " - ", "FREIGHT-IN-CARDS")</f>
        <v xml:space="preserve">          5543 - FREIGHT-IN-CARDS</v>
      </c>
      <c r="C129" s="11"/>
      <c r="D129" s="2"/>
      <c r="E129" s="2"/>
      <c r="F129" s="19">
        <f t="shared" si="7"/>
        <v>0</v>
      </c>
      <c r="G129" s="2"/>
      <c r="H129" s="2"/>
      <c r="I129" s="2"/>
      <c r="J129" s="19">
        <f t="shared" si="8"/>
        <v>0</v>
      </c>
      <c r="K129" s="2"/>
      <c r="L129" s="2">
        <f t="shared" si="9"/>
        <v>0</v>
      </c>
      <c r="M129" s="2"/>
      <c r="N129" s="19">
        <f t="shared" si="10"/>
        <v>0</v>
      </c>
      <c r="O129" s="11"/>
      <c r="P129" s="2">
        <v>9110.5300000000007</v>
      </c>
      <c r="Q129" s="2"/>
      <c r="R129" s="19">
        <f t="shared" si="11"/>
        <v>1.6634717117100055E-3</v>
      </c>
      <c r="S129" s="2"/>
      <c r="T129" s="2"/>
      <c r="U129" s="2"/>
      <c r="V129" s="19">
        <f t="shared" si="12"/>
        <v>0</v>
      </c>
      <c r="W129" s="2"/>
      <c r="X129" s="2">
        <f t="shared" si="13"/>
        <v>9110.5300000000007</v>
      </c>
      <c r="Y129" s="2"/>
      <c r="Z129" s="19">
        <f t="shared" si="14"/>
        <v>0</v>
      </c>
    </row>
    <row r="130" spans="1:26" s="24" customFormat="1" hidden="1" outlineLevel="1" x14ac:dyDescent="0.25">
      <c r="A130" s="44"/>
      <c r="B130" s="11" t="str">
        <f>CONCATENATE("          ", "5544", " - ", "FREIGHT-IN-ACCESSORIES")</f>
        <v xml:space="preserve">          5544 - FREIGHT-IN-ACCESSORIES</v>
      </c>
      <c r="C130" s="11"/>
      <c r="D130" s="2">
        <v>48.59</v>
      </c>
      <c r="E130" s="2"/>
      <c r="F130" s="19">
        <f t="shared" si="7"/>
        <v>1.836785556477036E-4</v>
      </c>
      <c r="G130" s="2"/>
      <c r="H130" s="2"/>
      <c r="I130" s="2"/>
      <c r="J130" s="19">
        <f t="shared" si="8"/>
        <v>0</v>
      </c>
      <c r="K130" s="2"/>
      <c r="L130" s="2">
        <f t="shared" si="9"/>
        <v>48.59</v>
      </c>
      <c r="M130" s="2"/>
      <c r="N130" s="19">
        <f t="shared" si="10"/>
        <v>0</v>
      </c>
      <c r="O130" s="11"/>
      <c r="P130" s="2">
        <v>48.59</v>
      </c>
      <c r="Q130" s="2"/>
      <c r="R130" s="19">
        <f t="shared" si="11"/>
        <v>8.8719416402766003E-6</v>
      </c>
      <c r="S130" s="2"/>
      <c r="T130" s="2"/>
      <c r="U130" s="2"/>
      <c r="V130" s="19">
        <f t="shared" si="12"/>
        <v>0</v>
      </c>
      <c r="W130" s="2"/>
      <c r="X130" s="2">
        <f t="shared" si="13"/>
        <v>48.59</v>
      </c>
      <c r="Y130" s="2"/>
      <c r="Z130" s="19">
        <f t="shared" si="14"/>
        <v>0</v>
      </c>
    </row>
    <row r="131" spans="1:26" s="24" customFormat="1" hidden="1" outlineLevel="1" x14ac:dyDescent="0.25">
      <c r="A131" s="44"/>
      <c r="B131" s="11" t="str">
        <f>CONCATENATE("          ", "5545", " - ", "FREIGHT-IN-SPECIAL ORDERS")</f>
        <v xml:space="preserve">          5545 - FREIGHT-IN-SPECIAL ORDERS</v>
      </c>
      <c r="C131" s="11"/>
      <c r="D131" s="2">
        <v>90.41</v>
      </c>
      <c r="E131" s="2"/>
      <c r="F131" s="19">
        <f t="shared" si="7"/>
        <v>3.4176534711069935E-4</v>
      </c>
      <c r="G131" s="2"/>
      <c r="H131" s="2"/>
      <c r="I131" s="2"/>
      <c r="J131" s="19">
        <f t="shared" si="8"/>
        <v>0</v>
      </c>
      <c r="K131" s="2"/>
      <c r="L131" s="2">
        <f t="shared" si="9"/>
        <v>90.41</v>
      </c>
      <c r="M131" s="2"/>
      <c r="N131" s="19">
        <f t="shared" si="10"/>
        <v>0</v>
      </c>
      <c r="O131" s="11"/>
      <c r="P131" s="2">
        <v>2559.0700000000002</v>
      </c>
      <c r="Q131" s="2"/>
      <c r="R131" s="19">
        <f t="shared" si="11"/>
        <v>4.672549844285375E-4</v>
      </c>
      <c r="S131" s="2"/>
      <c r="T131" s="2"/>
      <c r="U131" s="2"/>
      <c r="V131" s="19">
        <f t="shared" si="12"/>
        <v>0</v>
      </c>
      <c r="W131" s="2"/>
      <c r="X131" s="2">
        <f t="shared" si="13"/>
        <v>2559.0700000000002</v>
      </c>
      <c r="Y131" s="2"/>
      <c r="Z131" s="19">
        <f t="shared" si="14"/>
        <v>0</v>
      </c>
    </row>
    <row r="132" spans="1:26" s="24" customFormat="1" hidden="1" outlineLevel="1" x14ac:dyDescent="0.25">
      <c r="A132" s="44"/>
      <c r="B132" s="11" t="str">
        <f>CONCATENATE("          ", "5592", " - ", "FREIGHT-IN-GRAD MERCH")</f>
        <v xml:space="preserve">          5592 - FREIGHT-IN-GRAD MERCH</v>
      </c>
      <c r="C132" s="11"/>
      <c r="D132" s="2"/>
      <c r="E132" s="2"/>
      <c r="F132" s="19">
        <f t="shared" si="7"/>
        <v>0</v>
      </c>
      <c r="G132" s="2"/>
      <c r="H132" s="2"/>
      <c r="I132" s="2"/>
      <c r="J132" s="19">
        <f t="shared" si="8"/>
        <v>0</v>
      </c>
      <c r="K132" s="2"/>
      <c r="L132" s="2">
        <f t="shared" si="9"/>
        <v>0</v>
      </c>
      <c r="M132" s="2"/>
      <c r="N132" s="19">
        <f t="shared" si="10"/>
        <v>0</v>
      </c>
      <c r="O132" s="11"/>
      <c r="P132" s="2">
        <v>0</v>
      </c>
      <c r="Q132" s="2"/>
      <c r="R132" s="19">
        <f t="shared" si="11"/>
        <v>0</v>
      </c>
      <c r="S132" s="2"/>
      <c r="T132" s="2"/>
      <c r="U132" s="2"/>
      <c r="V132" s="19">
        <f t="shared" si="12"/>
        <v>0</v>
      </c>
      <c r="W132" s="2"/>
      <c r="X132" s="2">
        <f t="shared" si="13"/>
        <v>0</v>
      </c>
      <c r="Y132" s="2"/>
      <c r="Z132" s="19">
        <f t="shared" si="14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8" t="s">
        <v>108</v>
      </c>
      <c r="C134" s="28"/>
      <c r="D134" s="20">
        <f>D12-D82</f>
        <v>-2706.1099999999278</v>
      </c>
      <c r="E134" s="14"/>
      <c r="F134" s="22">
        <f>IF(D$12=0,0,D134/D$12)</f>
        <v>-1.022956114887413E-2</v>
      </c>
      <c r="G134" s="14"/>
      <c r="H134" s="20">
        <f>H12-H82</f>
        <v>205830</v>
      </c>
      <c r="I134" s="14"/>
      <c r="J134" s="22">
        <f>IF(H$12=0,0,H134/H$12)</f>
        <v>0.5434355008620303</v>
      </c>
      <c r="K134" s="16"/>
      <c r="L134" s="20">
        <f>+D134-H134</f>
        <v>-208536.10999999993</v>
      </c>
      <c r="M134" s="16"/>
      <c r="N134" s="22">
        <f>IF(H134=0,0,L134/H134)</f>
        <v>-1.0131473060292471</v>
      </c>
      <c r="O134" s="29"/>
      <c r="P134" s="20">
        <f>P12-P82</f>
        <v>1988400.9099999978</v>
      </c>
      <c r="Q134" s="14"/>
      <c r="R134" s="22">
        <f>IF(P$12=0,0,P134/P$12)</f>
        <v>0.36305776561006098</v>
      </c>
      <c r="S134" s="14"/>
      <c r="T134" s="20">
        <f>T12-T82</f>
        <v>4252516</v>
      </c>
      <c r="U134" s="14"/>
      <c r="V134" s="22">
        <f>IF(T$12=0,0,T134/T$12)</f>
        <v>0.43594623298765312</v>
      </c>
      <c r="W134" s="16"/>
      <c r="X134" s="20">
        <f>+P134-T134</f>
        <v>-2264115.0900000022</v>
      </c>
      <c r="Y134" s="16"/>
      <c r="Z134" s="22">
        <f>IF(T134=0,0,X134/T134)</f>
        <v>-0.53241777103249044</v>
      </c>
    </row>
    <row r="135" spans="1:26" x14ac:dyDescent="0.25">
      <c r="A135" s="9"/>
      <c r="B135" s="10"/>
      <c r="C135" s="9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x14ac:dyDescent="0.25">
      <c r="A136" s="10"/>
      <c r="B136" s="29" t="s">
        <v>295</v>
      </c>
      <c r="C136" s="10"/>
      <c r="D136" s="21">
        <f>SUM(OSRRefD22x_0)</f>
        <v>256966.23999999996</v>
      </c>
      <c r="E136" s="21"/>
      <c r="F136" s="30">
        <f t="shared" ref="F136:F147" si="15">IF(D$12=0,0,D136/D$12)</f>
        <v>0.97137657570325486</v>
      </c>
      <c r="G136" s="21"/>
      <c r="H136" s="21">
        <f>SUM(OSRRefH22x_0)</f>
        <v>379816.35166100343</v>
      </c>
      <c r="I136" s="21"/>
      <c r="J136" s="30">
        <f t="shared" ref="J136:J147" si="16">IF(H$12=0,0,H136/H$12)</f>
        <v>1.0027969163896731</v>
      </c>
      <c r="K136" s="4"/>
      <c r="L136" s="21">
        <f t="shared" ref="L136:L147" si="17">+D136-H136</f>
        <v>-122850.11166100347</v>
      </c>
      <c r="M136" s="4"/>
      <c r="N136" s="30">
        <f t="shared" ref="N136:N147" si="18">IF(H136=0,0,L136/H136)</f>
        <v>-0.3234460842029534</v>
      </c>
      <c r="O136" s="10"/>
      <c r="P136" s="21">
        <f>SUM(OSRRefP22x_0)</f>
        <v>3374060.5100000016</v>
      </c>
      <c r="Q136" s="21"/>
      <c r="R136" s="30">
        <f t="shared" ref="R136:R147" si="19">IF(P$12=0,0,P136/P$12)</f>
        <v>0.6160623160214429</v>
      </c>
      <c r="S136" s="21"/>
      <c r="T136" s="21">
        <f>SUM(OSRRefT22x_0)</f>
        <v>5080637.0974322846</v>
      </c>
      <c r="U136" s="21"/>
      <c r="V136" s="30">
        <f t="shared" ref="V136:V147" si="20">IF(T$12=0,0,T136/T$12)</f>
        <v>0.52084098068130213</v>
      </c>
      <c r="W136" s="4"/>
      <c r="X136" s="21">
        <f t="shared" ref="X136:X147" si="21">+P136-T136</f>
        <v>-1706576.587432283</v>
      </c>
      <c r="Y136" s="4"/>
      <c r="Z136" s="30">
        <f t="shared" ref="Z136:Z147" si="22">IF(T136=0,0,X136/T136)</f>
        <v>-0.33589814716244421</v>
      </c>
    </row>
    <row r="137" spans="1:26" s="27" customFormat="1" outlineLevel="1" collapsed="1" x14ac:dyDescent="0.25">
      <c r="A137" s="25"/>
      <c r="B137" s="13" t="str">
        <f>CONCATENATE("     ","*Benefits                                         ")</f>
        <v xml:space="preserve">     *Benefits                                         </v>
      </c>
      <c r="C137" s="13"/>
      <c r="D137" s="1">
        <f>SUM(OSRRefD22_0x_0)</f>
        <v>53691.33</v>
      </c>
      <c r="E137" s="1"/>
      <c r="F137" s="5">
        <f t="shared" si="15"/>
        <v>0.20296246028409587</v>
      </c>
      <c r="G137" s="1"/>
      <c r="H137" s="1">
        <f>SUM(OSRRefH22_0x_0)</f>
        <v>52164.241517311122</v>
      </c>
      <c r="I137" s="1"/>
      <c r="J137" s="5">
        <f t="shared" si="16"/>
        <v>0.13772482493342994</v>
      </c>
      <c r="K137" s="1"/>
      <c r="L137" s="1">
        <f t="shared" si="17"/>
        <v>1527.0884826888796</v>
      </c>
      <c r="M137" s="1"/>
      <c r="N137" s="5">
        <f t="shared" si="18"/>
        <v>2.9274622581871589E-2</v>
      </c>
      <c r="O137" s="13"/>
      <c r="P137" s="1">
        <f>SUM(OSRRefP22_0x_0)</f>
        <v>600219.56000000006</v>
      </c>
      <c r="Q137" s="1"/>
      <c r="R137" s="5">
        <f t="shared" si="19"/>
        <v>0.10959277439128419</v>
      </c>
      <c r="S137" s="1"/>
      <c r="T137" s="1">
        <f>SUM(OSRRefT22_0x_0)</f>
        <v>633630.84701428493</v>
      </c>
      <c r="U137" s="1"/>
      <c r="V137" s="5">
        <f t="shared" si="20"/>
        <v>6.4956600012946092E-2</v>
      </c>
      <c r="W137" s="1"/>
      <c r="X137" s="1">
        <f t="shared" si="21"/>
        <v>-33411.28701428487</v>
      </c>
      <c r="Y137" s="1"/>
      <c r="Z137" s="5">
        <f t="shared" si="22"/>
        <v>-5.2729893394113159E-2</v>
      </c>
    </row>
    <row r="138" spans="1:26" s="24" customFormat="1" hidden="1" outlineLevel="2" x14ac:dyDescent="0.25">
      <c r="A138" s="26"/>
      <c r="B138" s="11" t="str">
        <f>CONCATENATE("          ", "6111", " - ", "F.I.C.A.")</f>
        <v xml:space="preserve">          6111 - F.I.C.A.</v>
      </c>
      <c r="C138" s="11"/>
      <c r="D138" s="6">
        <v>9383.11</v>
      </c>
      <c r="E138" s="2"/>
      <c r="F138" s="7">
        <f t="shared" si="15"/>
        <v>3.5469769341089204E-2</v>
      </c>
      <c r="G138" s="2"/>
      <c r="H138" s="6">
        <v>11329.691474184199</v>
      </c>
      <c r="I138" s="2"/>
      <c r="J138" s="7">
        <f t="shared" si="16"/>
        <v>2.9912823985257565E-2</v>
      </c>
      <c r="K138" s="2"/>
      <c r="L138" s="6">
        <f t="shared" si="17"/>
        <v>-1946.5814741841987</v>
      </c>
      <c r="M138" s="2"/>
      <c r="N138" s="7">
        <f t="shared" si="18"/>
        <v>-0.17181239918312632</v>
      </c>
      <c r="O138" s="11"/>
      <c r="P138" s="6">
        <v>110770.73</v>
      </c>
      <c r="Q138" s="2"/>
      <c r="R138" s="7">
        <f t="shared" si="19"/>
        <v>2.0225384894234127E-2</v>
      </c>
      <c r="S138" s="2"/>
      <c r="T138" s="6">
        <v>112312.36924896001</v>
      </c>
      <c r="U138" s="2"/>
      <c r="V138" s="7">
        <f t="shared" si="20"/>
        <v>1.1513690787289794E-2</v>
      </c>
      <c r="W138" s="2"/>
      <c r="X138" s="6">
        <f t="shared" si="21"/>
        <v>-1541.6392489600112</v>
      </c>
      <c r="Y138" s="2"/>
      <c r="Z138" s="7">
        <f t="shared" si="22"/>
        <v>-1.372635319928741E-2</v>
      </c>
    </row>
    <row r="139" spans="1:26" s="24" customFormat="1" hidden="1" outlineLevel="2" x14ac:dyDescent="0.25">
      <c r="A139" s="26"/>
      <c r="B139" s="11" t="str">
        <f>CONCATENATE("          ", "6112", " - ", "COMPENSATION INSURANCE")</f>
        <v xml:space="preserve">          6112 - COMPENSATION INSURANCE</v>
      </c>
      <c r="C139" s="11"/>
      <c r="D139" s="6">
        <v>1986.74</v>
      </c>
      <c r="E139" s="2"/>
      <c r="F139" s="7">
        <f t="shared" si="15"/>
        <v>7.5102188443613637E-3</v>
      </c>
      <c r="G139" s="2"/>
      <c r="H139" s="6">
        <v>2941.25480598077</v>
      </c>
      <c r="I139" s="2"/>
      <c r="J139" s="7">
        <f t="shared" si="16"/>
        <v>7.7655457350775565E-3</v>
      </c>
      <c r="K139" s="2"/>
      <c r="L139" s="6">
        <f t="shared" si="17"/>
        <v>-954.51480598077001</v>
      </c>
      <c r="M139" s="2"/>
      <c r="N139" s="7">
        <f t="shared" si="18"/>
        <v>-0.32452639058671567</v>
      </c>
      <c r="O139" s="11"/>
      <c r="P139" s="6">
        <v>27109.43</v>
      </c>
      <c r="Q139" s="2"/>
      <c r="R139" s="7">
        <f t="shared" si="19"/>
        <v>4.9498514274781569E-3</v>
      </c>
      <c r="S139" s="2"/>
      <c r="T139" s="6">
        <v>43687.979598874997</v>
      </c>
      <c r="U139" s="2"/>
      <c r="V139" s="7">
        <f t="shared" si="20"/>
        <v>4.4786686594409037E-3</v>
      </c>
      <c r="W139" s="2"/>
      <c r="X139" s="6">
        <f t="shared" si="21"/>
        <v>-16578.549598874997</v>
      </c>
      <c r="Y139" s="2"/>
      <c r="Z139" s="7">
        <f t="shared" si="22"/>
        <v>-0.37947622552226951</v>
      </c>
    </row>
    <row r="140" spans="1:26" s="24" customFormat="1" hidden="1" outlineLevel="2" x14ac:dyDescent="0.25">
      <c r="A140" s="26"/>
      <c r="B140" s="11" t="str">
        <f>CONCATENATE("          ", "6113", " - ", "GROUP INSURANCE")</f>
        <v xml:space="preserve">          6113 - GROUP INSURANCE</v>
      </c>
      <c r="C140" s="11"/>
      <c r="D140" s="6">
        <v>18284.05</v>
      </c>
      <c r="E140" s="2"/>
      <c r="F140" s="7">
        <f t="shared" si="15"/>
        <v>6.9116853167120698E-2</v>
      </c>
      <c r="G140" s="2"/>
      <c r="H140" s="6">
        <v>21247.5</v>
      </c>
      <c r="I140" s="2"/>
      <c r="J140" s="7">
        <f t="shared" si="16"/>
        <v>5.6097973106767667E-2</v>
      </c>
      <c r="K140" s="2"/>
      <c r="L140" s="6">
        <f t="shared" si="17"/>
        <v>-2963.4500000000007</v>
      </c>
      <c r="M140" s="2"/>
      <c r="N140" s="7">
        <f t="shared" si="18"/>
        <v>-0.13947287916225443</v>
      </c>
      <c r="O140" s="11"/>
      <c r="P140" s="6">
        <v>219505.96</v>
      </c>
      <c r="Q140" s="2"/>
      <c r="R140" s="7">
        <f t="shared" si="19"/>
        <v>4.0079112303208264E-2</v>
      </c>
      <c r="S140" s="2"/>
      <c r="T140" s="6">
        <v>258090</v>
      </c>
      <c r="U140" s="2"/>
      <c r="V140" s="7">
        <f t="shared" si="20"/>
        <v>2.6458069357477642E-2</v>
      </c>
      <c r="W140" s="2"/>
      <c r="X140" s="6">
        <f t="shared" si="21"/>
        <v>-38584.040000000008</v>
      </c>
      <c r="Y140" s="2"/>
      <c r="Z140" s="7">
        <f t="shared" si="22"/>
        <v>-0.1494983920337867</v>
      </c>
    </row>
    <row r="141" spans="1:26" s="24" customFormat="1" hidden="1" outlineLevel="2" x14ac:dyDescent="0.25">
      <c r="A141" s="26"/>
      <c r="B141" s="11" t="str">
        <f>CONCATENATE("          ", "6114", " - ", "STATE UNEMPLOYMENT INSURANCE")</f>
        <v xml:space="preserve">          6114 - STATE UNEMPLOYMENT INSURANCE</v>
      </c>
      <c r="C141" s="11"/>
      <c r="D141" s="6">
        <v>346.7</v>
      </c>
      <c r="E141" s="2"/>
      <c r="F141" s="7">
        <f t="shared" si="15"/>
        <v>1.3105856193261749E-3</v>
      </c>
      <c r="G141" s="2"/>
      <c r="H141" s="6">
        <v>413.36554030000002</v>
      </c>
      <c r="I141" s="2"/>
      <c r="J141" s="7">
        <f t="shared" si="16"/>
        <v>1.0913739952000889E-3</v>
      </c>
      <c r="K141" s="2"/>
      <c r="L141" s="6">
        <f t="shared" si="17"/>
        <v>-66.665540300000032</v>
      </c>
      <c r="M141" s="2"/>
      <c r="N141" s="7">
        <f t="shared" si="18"/>
        <v>-0.16127503093658344</v>
      </c>
      <c r="O141" s="11"/>
      <c r="P141" s="6">
        <v>4493.8500000000004</v>
      </c>
      <c r="Q141" s="2"/>
      <c r="R141" s="7">
        <f t="shared" si="19"/>
        <v>8.2052222556404603E-4</v>
      </c>
      <c r="S141" s="2"/>
      <c r="T141" s="6">
        <v>6185.1864119499996</v>
      </c>
      <c r="U141" s="2"/>
      <c r="V141" s="7">
        <f t="shared" si="20"/>
        <v>6.3407373813902654E-4</v>
      </c>
      <c r="W141" s="2"/>
      <c r="X141" s="6">
        <f t="shared" si="21"/>
        <v>-1691.3364119499993</v>
      </c>
      <c r="Y141" s="2"/>
      <c r="Z141" s="7">
        <f t="shared" si="22"/>
        <v>-0.27344954530105631</v>
      </c>
    </row>
    <row r="142" spans="1:26" s="24" customFormat="1" hidden="1" outlineLevel="2" x14ac:dyDescent="0.25">
      <c r="A142" s="26"/>
      <c r="B142" s="11" t="str">
        <f>CONCATENATE("          ", "6115", " - ", "P.E.R.S.")</f>
        <v xml:space="preserve">          6115 - P.E.R.S.</v>
      </c>
      <c r="C142" s="11"/>
      <c r="D142" s="6">
        <v>11653.4</v>
      </c>
      <c r="E142" s="2"/>
      <c r="F142" s="7">
        <f t="shared" si="15"/>
        <v>4.4051855945358077E-2</v>
      </c>
      <c r="G142" s="2"/>
      <c r="H142" s="6">
        <v>5604.8280141538498</v>
      </c>
      <c r="I142" s="2"/>
      <c r="J142" s="7">
        <f t="shared" si="16"/>
        <v>1.4797952286436555E-2</v>
      </c>
      <c r="K142" s="2"/>
      <c r="L142" s="6">
        <f t="shared" si="17"/>
        <v>6048.5719858461498</v>
      </c>
      <c r="M142" s="2"/>
      <c r="N142" s="7">
        <f t="shared" si="18"/>
        <v>1.0791717373970646</v>
      </c>
      <c r="O142" s="11"/>
      <c r="P142" s="6">
        <v>91879.33</v>
      </c>
      <c r="Q142" s="2"/>
      <c r="R142" s="7">
        <f t="shared" si="19"/>
        <v>1.6776045558915723E-2</v>
      </c>
      <c r="S142" s="2"/>
      <c r="T142" s="6">
        <v>72371.128242000006</v>
      </c>
      <c r="U142" s="2"/>
      <c r="V142" s="7">
        <f t="shared" si="20"/>
        <v>7.4191186427437911E-3</v>
      </c>
      <c r="W142" s="2"/>
      <c r="X142" s="6">
        <f t="shared" si="21"/>
        <v>19508.201757999996</v>
      </c>
      <c r="Y142" s="2"/>
      <c r="Z142" s="7">
        <f t="shared" si="22"/>
        <v>0.26955779510258576</v>
      </c>
    </row>
    <row r="143" spans="1:26" s="24" customFormat="1" hidden="1" outlineLevel="2" x14ac:dyDescent="0.25">
      <c r="A143" s="26"/>
      <c r="B143" s="11" t="str">
        <f>CONCATENATE("          ", "6116", " - ", "EDUCATIONAL BENEFITS")</f>
        <v xml:space="preserve">          6116 - EDUCATIONAL BENEFITS</v>
      </c>
      <c r="C143" s="11"/>
      <c r="D143" s="6"/>
      <c r="E143" s="2"/>
      <c r="F143" s="7">
        <f t="shared" si="15"/>
        <v>0</v>
      </c>
      <c r="G143" s="2"/>
      <c r="H143" s="6">
        <v>0</v>
      </c>
      <c r="I143" s="2"/>
      <c r="J143" s="7">
        <f t="shared" si="16"/>
        <v>0</v>
      </c>
      <c r="K143" s="2"/>
      <c r="L143" s="6">
        <f t="shared" si="17"/>
        <v>0</v>
      </c>
      <c r="M143" s="2"/>
      <c r="N143" s="7">
        <f t="shared" si="18"/>
        <v>0</v>
      </c>
      <c r="O143" s="11"/>
      <c r="P143" s="6">
        <v>0</v>
      </c>
      <c r="Q143" s="2"/>
      <c r="R143" s="7">
        <f t="shared" si="19"/>
        <v>0</v>
      </c>
      <c r="S143" s="2"/>
      <c r="T143" s="6">
        <v>0</v>
      </c>
      <c r="U143" s="2"/>
      <c r="V143" s="7">
        <f t="shared" si="20"/>
        <v>0</v>
      </c>
      <c r="W143" s="2"/>
      <c r="X143" s="6">
        <f t="shared" si="21"/>
        <v>0</v>
      </c>
      <c r="Y143" s="2"/>
      <c r="Z143" s="7">
        <f t="shared" si="22"/>
        <v>0</v>
      </c>
    </row>
    <row r="144" spans="1:26" s="24" customFormat="1" hidden="1" outlineLevel="2" x14ac:dyDescent="0.25">
      <c r="A144" s="26"/>
      <c r="B144" s="11" t="str">
        <f>CONCATENATE("          ", "6117", " - ", "RETIREMENT STAFF HOURLY")</f>
        <v xml:space="preserve">          6117 - RETIREMENT STAFF HOURLY</v>
      </c>
      <c r="C144" s="11"/>
      <c r="D144" s="6">
        <v>530.78</v>
      </c>
      <c r="E144" s="2"/>
      <c r="F144" s="7">
        <f t="shared" si="15"/>
        <v>2.0064396741446412E-3</v>
      </c>
      <c r="G144" s="2"/>
      <c r="H144" s="6"/>
      <c r="I144" s="2"/>
      <c r="J144" s="7">
        <f t="shared" si="16"/>
        <v>0</v>
      </c>
      <c r="K144" s="2"/>
      <c r="L144" s="6">
        <f t="shared" si="17"/>
        <v>530.78</v>
      </c>
      <c r="M144" s="2"/>
      <c r="N144" s="7">
        <f t="shared" si="18"/>
        <v>0</v>
      </c>
      <c r="O144" s="11"/>
      <c r="P144" s="6">
        <v>4769.1000000000004</v>
      </c>
      <c r="Q144" s="2"/>
      <c r="R144" s="7">
        <f t="shared" si="19"/>
        <v>8.7077951999677157E-4</v>
      </c>
      <c r="S144" s="2"/>
      <c r="T144" s="6"/>
      <c r="U144" s="2"/>
      <c r="V144" s="7">
        <f t="shared" si="20"/>
        <v>0</v>
      </c>
      <c r="W144" s="2"/>
      <c r="X144" s="6">
        <f t="shared" si="21"/>
        <v>4769.1000000000004</v>
      </c>
      <c r="Y144" s="2"/>
      <c r="Z144" s="7">
        <f t="shared" si="22"/>
        <v>0</v>
      </c>
    </row>
    <row r="145" spans="1:26" s="24" customFormat="1" hidden="1" outlineLevel="2" x14ac:dyDescent="0.25">
      <c r="A145" s="26"/>
      <c r="B145" s="11" t="str">
        <f>CONCATENATE("          ", "6118", " - ", "VACATION")</f>
        <v xml:space="preserve">          6118 - VACATION</v>
      </c>
      <c r="C145" s="11"/>
      <c r="D145" s="6">
        <v>5732.87</v>
      </c>
      <c r="E145" s="2"/>
      <c r="F145" s="7">
        <f t="shared" si="15"/>
        <v>2.1671234437457308E-2</v>
      </c>
      <c r="G145" s="2"/>
      <c r="H145" s="6">
        <v>4370.4580123076903</v>
      </c>
      <c r="I145" s="2"/>
      <c r="J145" s="7">
        <f t="shared" si="16"/>
        <v>1.1538949807680625E-2</v>
      </c>
      <c r="K145" s="2"/>
      <c r="L145" s="6">
        <f t="shared" si="17"/>
        <v>1362.4119876923096</v>
      </c>
      <c r="M145" s="2"/>
      <c r="N145" s="7">
        <f t="shared" si="18"/>
        <v>0.31173208479651504</v>
      </c>
      <c r="O145" s="11"/>
      <c r="P145" s="6">
        <v>72243.600000000006</v>
      </c>
      <c r="Q145" s="2"/>
      <c r="R145" s="7">
        <f t="shared" si="19"/>
        <v>1.319080063970954E-2</v>
      </c>
      <c r="S145" s="2"/>
      <c r="T145" s="6">
        <v>56492.67931</v>
      </c>
      <c r="U145" s="2"/>
      <c r="V145" s="7">
        <f t="shared" si="20"/>
        <v>5.7913411111384485E-3</v>
      </c>
      <c r="W145" s="2"/>
      <c r="X145" s="6">
        <f t="shared" si="21"/>
        <v>15750.920690000006</v>
      </c>
      <c r="Y145" s="2"/>
      <c r="Z145" s="7">
        <f t="shared" si="22"/>
        <v>0.27881348313412124</v>
      </c>
    </row>
    <row r="146" spans="1:26" s="24" customFormat="1" hidden="1" outlineLevel="2" x14ac:dyDescent="0.25">
      <c r="A146" s="26"/>
      <c r="B146" s="11" t="str">
        <f>CONCATENATE("          ", "6119", " - ", "SICK LEAVE")</f>
        <v xml:space="preserve">          6119 - SICK LEAVE</v>
      </c>
      <c r="C146" s="11"/>
      <c r="D146" s="6">
        <v>4267.55</v>
      </c>
      <c r="E146" s="2"/>
      <c r="F146" s="7">
        <f t="shared" si="15"/>
        <v>1.6132072857673544E-2</v>
      </c>
      <c r="G146" s="2"/>
      <c r="H146" s="6">
        <v>4457.1436703846102</v>
      </c>
      <c r="I146" s="2"/>
      <c r="J146" s="7">
        <f t="shared" si="16"/>
        <v>1.1767818602387837E-2</v>
      </c>
      <c r="K146" s="2"/>
      <c r="L146" s="6">
        <f t="shared" si="17"/>
        <v>-189.59367038461005</v>
      </c>
      <c r="M146" s="2"/>
      <c r="N146" s="7">
        <f t="shared" si="18"/>
        <v>-4.2537033671218832E-2</v>
      </c>
      <c r="O146" s="11"/>
      <c r="P146" s="6">
        <v>51243.31</v>
      </c>
      <c r="Q146" s="2"/>
      <c r="R146" s="7">
        <f t="shared" si="19"/>
        <v>9.3564036998271712E-3</v>
      </c>
      <c r="S146" s="2"/>
      <c r="T146" s="6">
        <v>62891.5042025</v>
      </c>
      <c r="U146" s="2"/>
      <c r="V146" s="7">
        <f t="shared" si="20"/>
        <v>6.4473159757675287E-3</v>
      </c>
      <c r="W146" s="2"/>
      <c r="X146" s="6">
        <f t="shared" si="21"/>
        <v>-11648.194202500003</v>
      </c>
      <c r="Y146" s="2"/>
      <c r="Z146" s="7">
        <f t="shared" si="22"/>
        <v>-0.18521093349897927</v>
      </c>
    </row>
    <row r="147" spans="1:26" s="24" customFormat="1" hidden="1" outlineLevel="2" x14ac:dyDescent="0.25">
      <c r="A147" s="26"/>
      <c r="B147" s="11" t="str">
        <f>CONCATENATE("          ", "6156", " - ", "EMPLOYEE MEALS")</f>
        <v xml:space="preserve">          6156 - EMPLOYEE MEALS</v>
      </c>
      <c r="C147" s="11"/>
      <c r="D147" s="6">
        <v>1506.13</v>
      </c>
      <c r="E147" s="2"/>
      <c r="F147" s="7">
        <f t="shared" si="15"/>
        <v>5.6934303975648458E-3</v>
      </c>
      <c r="G147" s="2"/>
      <c r="H147" s="6">
        <v>1800</v>
      </c>
      <c r="I147" s="2"/>
      <c r="J147" s="7">
        <f t="shared" si="16"/>
        <v>4.7523874146220401E-3</v>
      </c>
      <c r="K147" s="2"/>
      <c r="L147" s="6">
        <f t="shared" si="17"/>
        <v>-293.86999999999989</v>
      </c>
      <c r="M147" s="2"/>
      <c r="N147" s="7">
        <f t="shared" si="18"/>
        <v>-0.16326111111111105</v>
      </c>
      <c r="O147" s="11"/>
      <c r="P147" s="6">
        <v>18204.25</v>
      </c>
      <c r="Q147" s="2"/>
      <c r="R147" s="7">
        <f t="shared" si="19"/>
        <v>3.3238741223503864E-3</v>
      </c>
      <c r="S147" s="2"/>
      <c r="T147" s="6">
        <v>21600</v>
      </c>
      <c r="U147" s="2"/>
      <c r="V147" s="7">
        <f t="shared" si="20"/>
        <v>2.2143217409489597E-3</v>
      </c>
      <c r="W147" s="2"/>
      <c r="X147" s="6">
        <f t="shared" si="21"/>
        <v>-3395.75</v>
      </c>
      <c r="Y147" s="2"/>
      <c r="Z147" s="7">
        <f t="shared" si="22"/>
        <v>-0.15721064814814814</v>
      </c>
    </row>
    <row r="148" spans="1:26" s="27" customFormat="1" outlineLevel="1" collapsed="1" x14ac:dyDescent="0.25">
      <c r="A148" s="25"/>
      <c r="B148" s="13" t="str">
        <f>CONCATENATE("     ","*Payroll                                          ")</f>
        <v xml:space="preserve">     *Payroll                                          </v>
      </c>
      <c r="C148" s="13"/>
      <c r="D148" s="1">
        <f>SUM(OSRRefD22_1x_0)</f>
        <v>126856.57</v>
      </c>
      <c r="E148" s="1"/>
      <c r="F148" s="5">
        <f t="shared" ref="F148:F158" si="23">IF(D$12=0,0,D148/D$12)</f>
        <v>0.4795396491463636</v>
      </c>
      <c r="G148" s="1"/>
      <c r="H148" s="1">
        <f>SUM(OSRRefH22_1x_0)</f>
        <v>146998.11014369229</v>
      </c>
      <c r="I148" s="1"/>
      <c r="J148" s="5">
        <f t="shared" ref="J148:J158" si="24">IF(H$12=0,0,H148/H$12)</f>
        <v>0.38810664923339316</v>
      </c>
      <c r="K148" s="1"/>
      <c r="L148" s="1">
        <f t="shared" ref="L148:L158" si="25">+D148-H148</f>
        <v>-20141.540143692284</v>
      </c>
      <c r="M148" s="1"/>
      <c r="N148" s="5">
        <f t="shared" ref="N148:N158" si="26">IF(H148=0,0,L148/H148)</f>
        <v>-0.13701904142851704</v>
      </c>
      <c r="O148" s="13"/>
      <c r="P148" s="1">
        <f>SUM(OSRRefP22_1x_0)</f>
        <v>1540187.6600000001</v>
      </c>
      <c r="Q148" s="1"/>
      <c r="R148" s="5">
        <f t="shared" ref="R148:R158" si="27">IF(P$12=0,0,P148/P$12)</f>
        <v>0.28121949031887589</v>
      </c>
      <c r="S148" s="1"/>
      <c r="T148" s="1">
        <f>SUM(OSRRefT22_1x_0)</f>
        <v>2218566.2504179999</v>
      </c>
      <c r="U148" s="1"/>
      <c r="V148" s="5">
        <f t="shared" ref="V148:V158" si="28">IF(T$12=0,0,T148/T$12)</f>
        <v>0.22743608713130517</v>
      </c>
      <c r="W148" s="1"/>
      <c r="X148" s="1">
        <f t="shared" ref="X148:X158" si="29">+P148-T148</f>
        <v>-678378.59041799977</v>
      </c>
      <c r="Y148" s="1"/>
      <c r="Z148" s="5">
        <f t="shared" ref="Z148:Z158" si="30">IF(T148=0,0,X148/T148)</f>
        <v>-0.30577342023939402</v>
      </c>
    </row>
    <row r="149" spans="1:26" s="24" customFormat="1" hidden="1" outlineLevel="2" x14ac:dyDescent="0.25">
      <c r="A149" s="26"/>
      <c r="B149" s="11" t="str">
        <f>CONCATENATE("          ", "6001", " - ", "ADMINISTRATIVE SALARIES")</f>
        <v xml:space="preserve">          6001 - ADMINISTRATIVE SALARIES</v>
      </c>
      <c r="C149" s="11"/>
      <c r="D149" s="6">
        <v>3583.28</v>
      </c>
      <c r="E149" s="2"/>
      <c r="F149" s="7">
        <f t="shared" si="23"/>
        <v>1.3545414589036908E-2</v>
      </c>
      <c r="G149" s="2"/>
      <c r="H149" s="6">
        <v>13047.3923076923</v>
      </c>
      <c r="I149" s="2"/>
      <c r="J149" s="7">
        <f t="shared" si="24"/>
        <v>3.4447923887062949E-2</v>
      </c>
      <c r="K149" s="2"/>
      <c r="L149" s="6">
        <f t="shared" si="25"/>
        <v>-9464.1123076922995</v>
      </c>
      <c r="M149" s="2"/>
      <c r="N149" s="7">
        <f t="shared" si="26"/>
        <v>-0.72536427850893848</v>
      </c>
      <c r="O149" s="11"/>
      <c r="P149" s="6">
        <v>50981.81</v>
      </c>
      <c r="Q149" s="2"/>
      <c r="R149" s="7">
        <f t="shared" si="27"/>
        <v>9.3086569877684697E-3</v>
      </c>
      <c r="S149" s="2"/>
      <c r="T149" s="6">
        <v>169616.1</v>
      </c>
      <c r="U149" s="2"/>
      <c r="V149" s="7">
        <f t="shared" si="28"/>
        <v>1.7388176752082079E-2</v>
      </c>
      <c r="W149" s="2"/>
      <c r="X149" s="6">
        <f t="shared" si="29"/>
        <v>-118634.29000000001</v>
      </c>
      <c r="Y149" s="2"/>
      <c r="Z149" s="7">
        <f t="shared" si="30"/>
        <v>-0.69942823823917666</v>
      </c>
    </row>
    <row r="150" spans="1:26" s="24" customFormat="1" hidden="1" outlineLevel="2" x14ac:dyDescent="0.25">
      <c r="A150" s="26"/>
      <c r="B150" s="11" t="str">
        <f>CONCATENATE("          ", "6002", " - ", "STAFF SALARIES")</f>
        <v xml:space="preserve">          6002 - STAFF SALARIES</v>
      </c>
      <c r="C150" s="11"/>
      <c r="D150" s="6">
        <v>56900.92</v>
      </c>
      <c r="E150" s="2"/>
      <c r="F150" s="7">
        <f t="shared" si="23"/>
        <v>0.21509526241254437</v>
      </c>
      <c r="G150" s="2"/>
      <c r="H150" s="6">
        <v>45742.818055999996</v>
      </c>
      <c r="I150" s="2"/>
      <c r="J150" s="7">
        <f t="shared" si="24"/>
        <v>0.12077088491037788</v>
      </c>
      <c r="K150" s="2"/>
      <c r="L150" s="6">
        <f t="shared" si="25"/>
        <v>11158.101944000002</v>
      </c>
      <c r="M150" s="2"/>
      <c r="N150" s="7">
        <f t="shared" si="26"/>
        <v>0.24393123157256849</v>
      </c>
      <c r="O150" s="11"/>
      <c r="P150" s="6">
        <v>763460.06</v>
      </c>
      <c r="Q150" s="2"/>
      <c r="R150" s="7">
        <f t="shared" si="27"/>
        <v>0.13939849962959602</v>
      </c>
      <c r="S150" s="2"/>
      <c r="T150" s="6">
        <v>589511.60742799996</v>
      </c>
      <c r="U150" s="2"/>
      <c r="V150" s="7">
        <f t="shared" si="28"/>
        <v>6.0433720780999477E-2</v>
      </c>
      <c r="W150" s="2"/>
      <c r="X150" s="6">
        <f t="shared" si="29"/>
        <v>173948.4525720001</v>
      </c>
      <c r="Y150" s="2"/>
      <c r="Z150" s="7">
        <f t="shared" si="30"/>
        <v>0.29507214171901663</v>
      </c>
    </row>
    <row r="151" spans="1:26" s="24" customFormat="1" hidden="1" outlineLevel="2" x14ac:dyDescent="0.25">
      <c r="A151" s="26"/>
      <c r="B151" s="11" t="str">
        <f>CONCATENATE("          ", "6003", " - ", "STAFF HOURLY-9 MONTH")</f>
        <v xml:space="preserve">          6003 - STAFF HOURLY-9 MONTH</v>
      </c>
      <c r="C151" s="11"/>
      <c r="D151" s="6"/>
      <c r="E151" s="2"/>
      <c r="F151" s="7">
        <f t="shared" si="23"/>
        <v>0</v>
      </c>
      <c r="G151" s="2"/>
      <c r="H151" s="6">
        <v>0</v>
      </c>
      <c r="I151" s="2"/>
      <c r="J151" s="7">
        <f t="shared" si="24"/>
        <v>0</v>
      </c>
      <c r="K151" s="2"/>
      <c r="L151" s="6">
        <f t="shared" si="25"/>
        <v>0</v>
      </c>
      <c r="M151" s="2"/>
      <c r="N151" s="7">
        <f t="shared" si="26"/>
        <v>0</v>
      </c>
      <c r="O151" s="11"/>
      <c r="P151" s="6"/>
      <c r="Q151" s="2"/>
      <c r="R151" s="7">
        <f t="shared" si="27"/>
        <v>0</v>
      </c>
      <c r="S151" s="2"/>
      <c r="T151" s="6">
        <v>0</v>
      </c>
      <c r="U151" s="2"/>
      <c r="V151" s="7">
        <f t="shared" si="28"/>
        <v>0</v>
      </c>
      <c r="W151" s="2"/>
      <c r="X151" s="6">
        <f t="shared" si="29"/>
        <v>0</v>
      </c>
      <c r="Y151" s="2"/>
      <c r="Z151" s="7">
        <f t="shared" si="30"/>
        <v>0</v>
      </c>
    </row>
    <row r="152" spans="1:26" s="24" customFormat="1" hidden="1" outlineLevel="2" x14ac:dyDescent="0.25">
      <c r="A152" s="26"/>
      <c r="B152" s="11" t="str">
        <f>CONCATENATE("          ", "6004", " - ", "STAFF HOURLY")</f>
        <v xml:space="preserve">          6004 - STAFF HOURLY</v>
      </c>
      <c r="C152" s="11"/>
      <c r="D152" s="6">
        <v>17280.169999999998</v>
      </c>
      <c r="E152" s="2"/>
      <c r="F152" s="7">
        <f t="shared" si="23"/>
        <v>6.5322014137616347E-2</v>
      </c>
      <c r="G152" s="2"/>
      <c r="H152" s="6">
        <v>25793.10008</v>
      </c>
      <c r="I152" s="2"/>
      <c r="J152" s="7">
        <f t="shared" si="24"/>
        <v>6.8099335669043734E-2</v>
      </c>
      <c r="K152" s="2"/>
      <c r="L152" s="6">
        <f t="shared" si="25"/>
        <v>-8512.9300800000019</v>
      </c>
      <c r="M152" s="2"/>
      <c r="N152" s="7">
        <f t="shared" si="26"/>
        <v>-0.33004679753873162</v>
      </c>
      <c r="O152" s="11"/>
      <c r="P152" s="6">
        <v>185624.67</v>
      </c>
      <c r="Q152" s="2"/>
      <c r="R152" s="7">
        <f t="shared" si="27"/>
        <v>3.3892801795340655E-2</v>
      </c>
      <c r="S152" s="2"/>
      <c r="T152" s="6">
        <v>376009.58604000002</v>
      </c>
      <c r="U152" s="2"/>
      <c r="V152" s="7">
        <f t="shared" si="28"/>
        <v>3.8546583387666228E-2</v>
      </c>
      <c r="W152" s="2"/>
      <c r="X152" s="6">
        <f t="shared" si="29"/>
        <v>-190384.91604000001</v>
      </c>
      <c r="Y152" s="2"/>
      <c r="Z152" s="7">
        <f t="shared" si="30"/>
        <v>-0.50632995303408779</v>
      </c>
    </row>
    <row r="153" spans="1:26" s="24" customFormat="1" hidden="1" outlineLevel="2" x14ac:dyDescent="0.25">
      <c r="A153" s="26"/>
      <c r="B153" s="11" t="str">
        <f>CONCATENATE("          ", "6005", " - ", "TEMPORARY WAGES-HOURLY")</f>
        <v xml:space="preserve">          6005 - TEMPORARY WAGES-HOURLY</v>
      </c>
      <c r="C153" s="11"/>
      <c r="D153" s="6">
        <v>9126.32</v>
      </c>
      <c r="E153" s="2"/>
      <c r="F153" s="7">
        <f t="shared" si="23"/>
        <v>3.4499058982892579E-2</v>
      </c>
      <c r="G153" s="2"/>
      <c r="H153" s="6">
        <v>6551.9</v>
      </c>
      <c r="I153" s="2"/>
      <c r="J153" s="7">
        <f t="shared" si="24"/>
        <v>1.7298426167701188E-2</v>
      </c>
      <c r="K153" s="2"/>
      <c r="L153" s="6">
        <f t="shared" si="25"/>
        <v>2574.42</v>
      </c>
      <c r="M153" s="2"/>
      <c r="N153" s="7">
        <f t="shared" si="26"/>
        <v>0.39292724247928085</v>
      </c>
      <c r="O153" s="11"/>
      <c r="P153" s="6">
        <v>171098.04</v>
      </c>
      <c r="Q153" s="2"/>
      <c r="R153" s="7">
        <f t="shared" si="27"/>
        <v>3.124041625119801E-2</v>
      </c>
      <c r="S153" s="2"/>
      <c r="T153" s="6">
        <v>107108.182</v>
      </c>
      <c r="U153" s="2"/>
      <c r="V153" s="7">
        <f t="shared" si="28"/>
        <v>1.0980184075746207E-2</v>
      </c>
      <c r="W153" s="2"/>
      <c r="X153" s="6">
        <f t="shared" si="29"/>
        <v>63989.858000000007</v>
      </c>
      <c r="Y153" s="2"/>
      <c r="Z153" s="7">
        <f t="shared" si="30"/>
        <v>0.59743202438073317</v>
      </c>
    </row>
    <row r="154" spans="1:26" s="24" customFormat="1" hidden="1" outlineLevel="2" x14ac:dyDescent="0.25">
      <c r="A154" s="26"/>
      <c r="B154" s="11" t="str">
        <f>CONCATENATE("          ", "6006", " - ", "TEMPORARY PART TIME")</f>
        <v xml:space="preserve">          6006 - TEMPORARY PART TIME</v>
      </c>
      <c r="C154" s="11"/>
      <c r="D154" s="6">
        <v>4232.72</v>
      </c>
      <c r="E154" s="2"/>
      <c r="F154" s="7">
        <f t="shared" si="23"/>
        <v>1.6000409468226961E-2</v>
      </c>
      <c r="G154" s="2"/>
      <c r="H154" s="6">
        <v>0</v>
      </c>
      <c r="I154" s="2"/>
      <c r="J154" s="7">
        <f t="shared" si="24"/>
        <v>0</v>
      </c>
      <c r="K154" s="2"/>
      <c r="L154" s="6">
        <f t="shared" si="25"/>
        <v>4232.72</v>
      </c>
      <c r="M154" s="2"/>
      <c r="N154" s="7">
        <f t="shared" si="26"/>
        <v>0</v>
      </c>
      <c r="O154" s="11"/>
      <c r="P154" s="6">
        <v>23949.45</v>
      </c>
      <c r="Q154" s="2"/>
      <c r="R154" s="7">
        <f t="shared" si="27"/>
        <v>4.3728776027314757E-3</v>
      </c>
      <c r="S154" s="2"/>
      <c r="T154" s="6">
        <v>0</v>
      </c>
      <c r="U154" s="2"/>
      <c r="V154" s="7">
        <f t="shared" si="28"/>
        <v>0</v>
      </c>
      <c r="W154" s="2"/>
      <c r="X154" s="6">
        <f t="shared" si="29"/>
        <v>23949.45</v>
      </c>
      <c r="Y154" s="2"/>
      <c r="Z154" s="7">
        <f t="shared" si="30"/>
        <v>0</v>
      </c>
    </row>
    <row r="155" spans="1:26" s="24" customFormat="1" hidden="1" outlineLevel="2" x14ac:dyDescent="0.25">
      <c r="A155" s="26"/>
      <c r="B155" s="11" t="str">
        <f>CONCATENATE("          ", "6007", " - ", "STUDENT HOURLY")</f>
        <v xml:space="preserve">          6007 - STUDENT HOURLY</v>
      </c>
      <c r="C155" s="11"/>
      <c r="D155" s="6">
        <v>28915.24</v>
      </c>
      <c r="E155" s="2"/>
      <c r="F155" s="7">
        <f t="shared" si="23"/>
        <v>0.10930457953090565</v>
      </c>
      <c r="G155" s="2"/>
      <c r="H155" s="6">
        <v>51526.699699999997</v>
      </c>
      <c r="I155" s="2"/>
      <c r="J155" s="7">
        <f t="shared" si="24"/>
        <v>0.13604157731738289</v>
      </c>
      <c r="K155" s="2"/>
      <c r="L155" s="6">
        <f t="shared" si="25"/>
        <v>-22611.459699999996</v>
      </c>
      <c r="M155" s="2"/>
      <c r="N155" s="7">
        <f t="shared" si="26"/>
        <v>-0.43882996255628609</v>
      </c>
      <c r="O155" s="11"/>
      <c r="P155" s="6">
        <v>325714.3</v>
      </c>
      <c r="Q155" s="2"/>
      <c r="R155" s="7">
        <f t="shared" si="27"/>
        <v>5.9471460403448119E-2</v>
      </c>
      <c r="S155" s="2"/>
      <c r="T155" s="6">
        <v>205035.53719999999</v>
      </c>
      <c r="U155" s="2"/>
      <c r="V155" s="7">
        <f t="shared" si="28"/>
        <v>2.1019196652273576E-2</v>
      </c>
      <c r="W155" s="2"/>
      <c r="X155" s="6">
        <f t="shared" si="29"/>
        <v>120678.7628</v>
      </c>
      <c r="Y155" s="2"/>
      <c r="Z155" s="7">
        <f t="shared" si="30"/>
        <v>0.58857486096317557</v>
      </c>
    </row>
    <row r="156" spans="1:26" s="24" customFormat="1" hidden="1" outlineLevel="2" x14ac:dyDescent="0.25">
      <c r="A156" s="26"/>
      <c r="B156" s="11" t="str">
        <f>CONCATENATE("          ", "6008", " - ", "STUDENT HOURLY-FICA EXEMPT")</f>
        <v xml:space="preserve">          6008 - STUDENT HOURLY-FICA EXEMPT</v>
      </c>
      <c r="C156" s="11"/>
      <c r="D156" s="6">
        <v>6817.92</v>
      </c>
      <c r="E156" s="2"/>
      <c r="F156" s="7">
        <f t="shared" si="23"/>
        <v>2.5772910025140799E-2</v>
      </c>
      <c r="G156" s="2"/>
      <c r="H156" s="6">
        <v>4336.2</v>
      </c>
      <c r="I156" s="2"/>
      <c r="J156" s="7">
        <f t="shared" si="24"/>
        <v>1.1448501281824494E-2</v>
      </c>
      <c r="K156" s="2"/>
      <c r="L156" s="6">
        <f t="shared" si="25"/>
        <v>2481.7200000000003</v>
      </c>
      <c r="M156" s="2"/>
      <c r="N156" s="7">
        <f t="shared" si="26"/>
        <v>0.57232599972326004</v>
      </c>
      <c r="O156" s="11"/>
      <c r="P156" s="6">
        <v>19359.330000000002</v>
      </c>
      <c r="Q156" s="2"/>
      <c r="R156" s="7">
        <f t="shared" si="27"/>
        <v>3.5347776487930846E-3</v>
      </c>
      <c r="S156" s="2"/>
      <c r="T156" s="6">
        <v>771285.23774999997</v>
      </c>
      <c r="U156" s="2"/>
      <c r="V156" s="7">
        <f t="shared" si="28"/>
        <v>7.9068225482537613E-2</v>
      </c>
      <c r="W156" s="2"/>
      <c r="X156" s="6">
        <f t="shared" si="29"/>
        <v>-751925.90775000001</v>
      </c>
      <c r="Y156" s="2"/>
      <c r="Z156" s="7">
        <f t="shared" si="30"/>
        <v>-0.97489990855202269</v>
      </c>
    </row>
    <row r="157" spans="1:26" s="24" customFormat="1" hidden="1" outlineLevel="2" x14ac:dyDescent="0.25">
      <c r="A157" s="26"/>
      <c r="B157" s="11" t="str">
        <f>CONCATENATE("          ", "6009", " - ", "TEMPORARY-SEASONAL")</f>
        <v xml:space="preserve">          6009 - TEMPORARY-SEASONAL</v>
      </c>
      <c r="C157" s="11"/>
      <c r="D157" s="6"/>
      <c r="E157" s="2"/>
      <c r="F157" s="7">
        <f t="shared" si="23"/>
        <v>0</v>
      </c>
      <c r="G157" s="2"/>
      <c r="H157" s="6">
        <v>0</v>
      </c>
      <c r="I157" s="2"/>
      <c r="J157" s="7">
        <f t="shared" si="24"/>
        <v>0</v>
      </c>
      <c r="K157" s="2"/>
      <c r="L157" s="6">
        <f t="shared" si="25"/>
        <v>0</v>
      </c>
      <c r="M157" s="2"/>
      <c r="N157" s="7">
        <f t="shared" si="26"/>
        <v>0</v>
      </c>
      <c r="O157" s="11"/>
      <c r="P157" s="6"/>
      <c r="Q157" s="2"/>
      <c r="R157" s="7">
        <f t="shared" si="27"/>
        <v>0</v>
      </c>
      <c r="S157" s="2"/>
      <c r="T157" s="6">
        <v>0</v>
      </c>
      <c r="U157" s="2"/>
      <c r="V157" s="7">
        <f t="shared" si="28"/>
        <v>0</v>
      </c>
      <c r="W157" s="2"/>
      <c r="X157" s="6">
        <f t="shared" si="29"/>
        <v>0</v>
      </c>
      <c r="Y157" s="2"/>
      <c r="Z157" s="7">
        <f t="shared" si="30"/>
        <v>0</v>
      </c>
    </row>
    <row r="158" spans="1:26" s="24" customFormat="1" hidden="1" outlineLevel="2" x14ac:dyDescent="0.25">
      <c r="A158" s="26"/>
      <c r="B158" s="11" t="str">
        <f>CONCATENATE("          ", "6010", " - ", "GRATUITY")</f>
        <v xml:space="preserve">          6010 - GRATUITY</v>
      </c>
      <c r="C158" s="11"/>
      <c r="D158" s="6"/>
      <c r="E158" s="2"/>
      <c r="F158" s="7">
        <f t="shared" si="23"/>
        <v>0</v>
      </c>
      <c r="G158" s="2"/>
      <c r="H158" s="6">
        <v>0</v>
      </c>
      <c r="I158" s="2"/>
      <c r="J158" s="7">
        <f t="shared" si="24"/>
        <v>0</v>
      </c>
      <c r="K158" s="2"/>
      <c r="L158" s="6">
        <f t="shared" si="25"/>
        <v>0</v>
      </c>
      <c r="M158" s="2"/>
      <c r="N158" s="7">
        <f t="shared" si="26"/>
        <v>0</v>
      </c>
      <c r="O158" s="11"/>
      <c r="P158" s="6"/>
      <c r="Q158" s="2"/>
      <c r="R158" s="7">
        <f t="shared" si="27"/>
        <v>0</v>
      </c>
      <c r="S158" s="2"/>
      <c r="T158" s="6">
        <v>0</v>
      </c>
      <c r="U158" s="2"/>
      <c r="V158" s="7">
        <f t="shared" si="28"/>
        <v>0</v>
      </c>
      <c r="W158" s="2"/>
      <c r="X158" s="6">
        <f t="shared" si="29"/>
        <v>0</v>
      </c>
      <c r="Y158" s="2"/>
      <c r="Z158" s="7">
        <f t="shared" si="30"/>
        <v>0</v>
      </c>
    </row>
    <row r="159" spans="1:26" s="27" customFormat="1" outlineLevel="1" collapsed="1" x14ac:dyDescent="0.25">
      <c r="A159" s="25"/>
      <c r="B159" s="13" t="str">
        <f>CONCATENATE("     ","Advertising/Promo                                 ")</f>
        <v xml:space="preserve">     Advertising/Promo                                 </v>
      </c>
      <c r="C159" s="13"/>
      <c r="D159" s="1">
        <f>SUM(OSRRefD22_2x_0)</f>
        <v>1324.8</v>
      </c>
      <c r="E159" s="1"/>
      <c r="F159" s="5">
        <f t="shared" ref="F159:F163" si="31">IF(D$12=0,0,D159/D$12)</f>
        <v>5.0079718156426783E-3</v>
      </c>
      <c r="G159" s="1"/>
      <c r="H159" s="1">
        <f>SUM(OSRRefH22_2x_0)</f>
        <v>980</v>
      </c>
      <c r="I159" s="1"/>
      <c r="J159" s="5">
        <f t="shared" ref="J159:J163" si="32">IF(H$12=0,0,H159/H$12)</f>
        <v>2.5874109257386663E-3</v>
      </c>
      <c r="K159" s="1"/>
      <c r="L159" s="1">
        <f t="shared" ref="L159:L163" si="33">+D159-H159</f>
        <v>344.79999999999995</v>
      </c>
      <c r="M159" s="1"/>
      <c r="N159" s="5">
        <f t="shared" ref="N159:N163" si="34">IF(H159=0,0,L159/H159)</f>
        <v>0.3518367346938775</v>
      </c>
      <c r="O159" s="13"/>
      <c r="P159" s="1">
        <f>SUM(OSRRefP22_2x_0)</f>
        <v>18868.32</v>
      </c>
      <c r="Q159" s="1"/>
      <c r="R159" s="5">
        <f t="shared" ref="R159:R163" si="35">IF(P$12=0,0,P159/P$12)</f>
        <v>3.4451252086862266E-3</v>
      </c>
      <c r="S159" s="1"/>
      <c r="T159" s="1">
        <f>SUM(OSRRefT22_2x_0)</f>
        <v>18909</v>
      </c>
      <c r="U159" s="1"/>
      <c r="V159" s="5">
        <f t="shared" ref="V159:V163" si="36">IF(T$12=0,0,T159/T$12)</f>
        <v>1.9384541573890686E-3</v>
      </c>
      <c r="W159" s="1"/>
      <c r="X159" s="1">
        <f t="shared" ref="X159:X163" si="37">+P159-T159</f>
        <v>-40.680000000000291</v>
      </c>
      <c r="Y159" s="1"/>
      <c r="Z159" s="5">
        <f t="shared" ref="Z159:Z163" si="38">IF(T159=0,0,X159/T159)</f>
        <v>-2.1513564969062506E-3</v>
      </c>
    </row>
    <row r="160" spans="1:26" s="24" customFormat="1" hidden="1" outlineLevel="2" x14ac:dyDescent="0.25">
      <c r="A160" s="26"/>
      <c r="B160" s="11" t="str">
        <f>CONCATENATE("          ", "6362", " - ", "ADVERTISING EXPENSE")</f>
        <v xml:space="preserve">          6362 - ADVERTISING EXPENSE</v>
      </c>
      <c r="C160" s="11"/>
      <c r="D160" s="6">
        <v>1324.8</v>
      </c>
      <c r="E160" s="2"/>
      <c r="F160" s="7">
        <f t="shared" si="31"/>
        <v>5.0079718156426783E-3</v>
      </c>
      <c r="G160" s="2"/>
      <c r="H160" s="6">
        <v>980</v>
      </c>
      <c r="I160" s="2"/>
      <c r="J160" s="7">
        <f t="shared" si="32"/>
        <v>2.5874109257386663E-3</v>
      </c>
      <c r="K160" s="2"/>
      <c r="L160" s="6">
        <f t="shared" si="33"/>
        <v>344.79999999999995</v>
      </c>
      <c r="M160" s="2"/>
      <c r="N160" s="7">
        <f t="shared" si="34"/>
        <v>0.3518367346938775</v>
      </c>
      <c r="O160" s="11"/>
      <c r="P160" s="6">
        <v>18868.32</v>
      </c>
      <c r="Q160" s="2"/>
      <c r="R160" s="7">
        <f t="shared" si="35"/>
        <v>3.4451252086862266E-3</v>
      </c>
      <c r="S160" s="2"/>
      <c r="T160" s="6">
        <v>18909</v>
      </c>
      <c r="U160" s="2"/>
      <c r="V160" s="7">
        <f t="shared" si="36"/>
        <v>1.9384541573890686E-3</v>
      </c>
      <c r="W160" s="2"/>
      <c r="X160" s="6">
        <f t="shared" si="37"/>
        <v>-40.680000000000291</v>
      </c>
      <c r="Y160" s="2"/>
      <c r="Z160" s="7">
        <f t="shared" si="38"/>
        <v>-2.1513564969062506E-3</v>
      </c>
    </row>
    <row r="161" spans="1:26" s="27" customFormat="1" outlineLevel="1" collapsed="1" x14ac:dyDescent="0.25">
      <c r="A161" s="25"/>
      <c r="B161" s="13" t="str">
        <f>CONCATENATE("     ","Bad Debts/Over/Short                              ")</f>
        <v xml:space="preserve">     Bad Debts/Over/Short                              </v>
      </c>
      <c r="C161" s="13"/>
      <c r="D161" s="1">
        <f>SUM(OSRRefD22_3x_0)</f>
        <v>10.39</v>
      </c>
      <c r="E161" s="1"/>
      <c r="F161" s="5">
        <f t="shared" si="31"/>
        <v>3.9275986688200049E-5</v>
      </c>
      <c r="G161" s="1"/>
      <c r="H161" s="1">
        <f>SUM(OSRRefH22_3x_0)</f>
        <v>115</v>
      </c>
      <c r="I161" s="1"/>
      <c r="J161" s="5">
        <f t="shared" si="32"/>
        <v>3.0362475148974143E-4</v>
      </c>
      <c r="K161" s="1"/>
      <c r="L161" s="1">
        <f t="shared" si="33"/>
        <v>-104.61</v>
      </c>
      <c r="M161" s="1"/>
      <c r="N161" s="5">
        <f t="shared" si="34"/>
        <v>-0.90965217391304343</v>
      </c>
      <c r="O161" s="13"/>
      <c r="P161" s="1">
        <f>SUM(OSRRefP22_3x_0)</f>
        <v>5217.96</v>
      </c>
      <c r="Q161" s="1"/>
      <c r="R161" s="5">
        <f t="shared" si="35"/>
        <v>9.5273588395344074E-4</v>
      </c>
      <c r="S161" s="1"/>
      <c r="T161" s="1">
        <f>SUM(OSRRefT22_3x_0)</f>
        <v>1409</v>
      </c>
      <c r="U161" s="1"/>
      <c r="V161" s="5">
        <f t="shared" si="36"/>
        <v>1.4444348763875391E-4</v>
      </c>
      <c r="W161" s="1"/>
      <c r="X161" s="1">
        <f t="shared" si="37"/>
        <v>3808.96</v>
      </c>
      <c r="Y161" s="1"/>
      <c r="Z161" s="5">
        <f t="shared" si="38"/>
        <v>2.7033073101490417</v>
      </c>
    </row>
    <row r="162" spans="1:26" s="24" customFormat="1" hidden="1" outlineLevel="2" x14ac:dyDescent="0.25">
      <c r="A162" s="26"/>
      <c r="B162" s="11" t="str">
        <f>CONCATENATE("          ", "6272", " - ", "CASH (OVER/SHORT)")</f>
        <v xml:space="preserve">          6272 - CASH (OVER/SHORT)</v>
      </c>
      <c r="C162" s="11"/>
      <c r="D162" s="6">
        <v>10.39</v>
      </c>
      <c r="E162" s="2"/>
      <c r="F162" s="7">
        <f t="shared" si="31"/>
        <v>3.9275986688200049E-5</v>
      </c>
      <c r="G162" s="2"/>
      <c r="H162" s="6">
        <v>65</v>
      </c>
      <c r="I162" s="2"/>
      <c r="J162" s="7">
        <f t="shared" si="32"/>
        <v>1.7161398997246255E-4</v>
      </c>
      <c r="K162" s="2"/>
      <c r="L162" s="6">
        <f t="shared" si="33"/>
        <v>-54.61</v>
      </c>
      <c r="M162" s="2"/>
      <c r="N162" s="7">
        <f t="shared" si="34"/>
        <v>-0.84015384615384614</v>
      </c>
      <c r="O162" s="11"/>
      <c r="P162" s="6">
        <v>-131.46</v>
      </c>
      <c r="Q162" s="2"/>
      <c r="R162" s="7">
        <f t="shared" si="35"/>
        <v>-2.4002993373755129E-5</v>
      </c>
      <c r="S162" s="2"/>
      <c r="T162" s="6">
        <v>809</v>
      </c>
      <c r="U162" s="2"/>
      <c r="V162" s="7">
        <f t="shared" si="36"/>
        <v>8.2934550390171687E-5</v>
      </c>
      <c r="W162" s="2"/>
      <c r="X162" s="6">
        <f t="shared" si="37"/>
        <v>-940.46</v>
      </c>
      <c r="Y162" s="2"/>
      <c r="Z162" s="7">
        <f t="shared" si="38"/>
        <v>-1.1624969097651423</v>
      </c>
    </row>
    <row r="163" spans="1:26" s="24" customFormat="1" hidden="1" outlineLevel="2" x14ac:dyDescent="0.25">
      <c r="A163" s="26"/>
      <c r="B163" s="11" t="str">
        <f>CONCATENATE("          ", "6342", " - ", "BAD DEBT")</f>
        <v xml:space="preserve">          6342 - BAD DEBT</v>
      </c>
      <c r="C163" s="11"/>
      <c r="D163" s="6"/>
      <c r="E163" s="2"/>
      <c r="F163" s="7">
        <f t="shared" si="31"/>
        <v>0</v>
      </c>
      <c r="G163" s="2"/>
      <c r="H163" s="6">
        <v>50</v>
      </c>
      <c r="I163" s="2"/>
      <c r="J163" s="7">
        <f t="shared" si="32"/>
        <v>1.320107615172789E-4</v>
      </c>
      <c r="K163" s="2"/>
      <c r="L163" s="6">
        <f t="shared" si="33"/>
        <v>-50</v>
      </c>
      <c r="M163" s="2"/>
      <c r="N163" s="7">
        <f t="shared" si="34"/>
        <v>-1</v>
      </c>
      <c r="O163" s="11"/>
      <c r="P163" s="6">
        <v>5349.42</v>
      </c>
      <c r="Q163" s="2"/>
      <c r="R163" s="7">
        <f t="shared" si="35"/>
        <v>9.7673887732719592E-4</v>
      </c>
      <c r="S163" s="2"/>
      <c r="T163" s="6">
        <v>600</v>
      </c>
      <c r="U163" s="2"/>
      <c r="V163" s="7">
        <f t="shared" si="36"/>
        <v>6.1508937248582219E-5</v>
      </c>
      <c r="W163" s="2"/>
      <c r="X163" s="6">
        <f t="shared" si="37"/>
        <v>4749.42</v>
      </c>
      <c r="Y163" s="2"/>
      <c r="Z163" s="7">
        <f t="shared" si="38"/>
        <v>7.9157000000000002</v>
      </c>
    </row>
    <row r="164" spans="1:26" s="27" customFormat="1" outlineLevel="1" collapsed="1" x14ac:dyDescent="0.25">
      <c r="A164" s="25"/>
      <c r="B164" s="13" t="str">
        <f>CONCATENATE("     ","Bank/card Fees                                    ")</f>
        <v xml:space="preserve">     Bank/card Fees                                    </v>
      </c>
      <c r="C164" s="13"/>
      <c r="D164" s="1">
        <f>SUM(OSRRefD22_4x_0)</f>
        <v>10372.459999999999</v>
      </c>
      <c r="E164" s="1"/>
      <c r="F164" s="5">
        <f t="shared" ref="F164:F168" si="39">IF(D$12=0,0,D164/D$12)</f>
        <v>3.920968247198147E-2</v>
      </c>
      <c r="G164" s="1"/>
      <c r="H164" s="1">
        <f>SUM(OSRRefH22_4x_0)</f>
        <v>2414</v>
      </c>
      <c r="I164" s="1"/>
      <c r="J164" s="5">
        <f t="shared" ref="J164:J168" si="40">IF(H$12=0,0,H164/H$12)</f>
        <v>6.3734795660542248E-3</v>
      </c>
      <c r="K164" s="1"/>
      <c r="L164" s="1">
        <f t="shared" ref="L164:L168" si="41">+D164-H164</f>
        <v>7958.4599999999991</v>
      </c>
      <c r="M164" s="1"/>
      <c r="N164" s="5">
        <f t="shared" ref="N164:N168" si="42">IF(H164=0,0,L164/H164)</f>
        <v>3.2967937033968515</v>
      </c>
      <c r="O164" s="13"/>
      <c r="P164" s="1">
        <f>SUM(OSRRefP22_4x_0)</f>
        <v>91443.71</v>
      </c>
      <c r="Q164" s="1"/>
      <c r="R164" s="5">
        <f t="shared" ref="R164:R168" si="43">IF(P$12=0,0,P164/P$12)</f>
        <v>1.6696506657550479E-2</v>
      </c>
      <c r="S164" s="1"/>
      <c r="T164" s="1">
        <f>SUM(OSRRefT22_4x_0)</f>
        <v>246647</v>
      </c>
      <c r="U164" s="1"/>
      <c r="V164" s="5">
        <f t="shared" ref="V164:V168" si="44">IF(T$12=0,0,T164/T$12)</f>
        <v>2.5284991409251764E-2</v>
      </c>
      <c r="W164" s="1"/>
      <c r="X164" s="1">
        <f t="shared" ref="X164:X168" si="45">+P164-T164</f>
        <v>-155203.28999999998</v>
      </c>
      <c r="Y164" s="1"/>
      <c r="Z164" s="5">
        <f t="shared" ref="Z164:Z168" si="46">IF(T164=0,0,X164/T164)</f>
        <v>-0.62925269717450438</v>
      </c>
    </row>
    <row r="165" spans="1:26" s="24" customFormat="1" hidden="1" outlineLevel="2" x14ac:dyDescent="0.25">
      <c r="A165" s="26"/>
      <c r="B165" s="11" t="str">
        <f>CONCATENATE("          ", "6381", " - ", "BANK/CREDIT CARD FEES")</f>
        <v xml:space="preserve">          6381 - BANK/CREDIT CARD FEES</v>
      </c>
      <c r="C165" s="11"/>
      <c r="D165" s="6">
        <v>10372.459999999999</v>
      </c>
      <c r="E165" s="2"/>
      <c r="F165" s="7">
        <f t="shared" si="39"/>
        <v>3.920968247198147E-2</v>
      </c>
      <c r="G165" s="2"/>
      <c r="H165" s="6">
        <v>2414</v>
      </c>
      <c r="I165" s="2"/>
      <c r="J165" s="7">
        <f t="shared" si="40"/>
        <v>6.3734795660542248E-3</v>
      </c>
      <c r="K165" s="2"/>
      <c r="L165" s="6">
        <f t="shared" si="41"/>
        <v>7958.4599999999991</v>
      </c>
      <c r="M165" s="2"/>
      <c r="N165" s="7">
        <f t="shared" si="42"/>
        <v>3.2967937033968515</v>
      </c>
      <c r="O165" s="11"/>
      <c r="P165" s="6">
        <v>91443.71</v>
      </c>
      <c r="Q165" s="2"/>
      <c r="R165" s="7">
        <f t="shared" si="43"/>
        <v>1.6696506657550479E-2</v>
      </c>
      <c r="S165" s="2"/>
      <c r="T165" s="6">
        <v>246647</v>
      </c>
      <c r="U165" s="2"/>
      <c r="V165" s="7">
        <f t="shared" si="44"/>
        <v>2.5284991409251764E-2</v>
      </c>
      <c r="W165" s="2"/>
      <c r="X165" s="6">
        <f t="shared" si="45"/>
        <v>-155203.28999999998</v>
      </c>
      <c r="Y165" s="2"/>
      <c r="Z165" s="7">
        <f t="shared" si="46"/>
        <v>-0.62925269717450438</v>
      </c>
    </row>
    <row r="166" spans="1:26" s="27" customFormat="1" outlineLevel="1" collapsed="1" x14ac:dyDescent="0.25">
      <c r="A166" s="25"/>
      <c r="B166" s="13" t="str">
        <f>CONCATENATE("     ","Depreciation                                      ")</f>
        <v xml:space="preserve">     Depreciation                                      </v>
      </c>
      <c r="C166" s="13"/>
      <c r="D166" s="1">
        <f>SUM(OSRRefD22_5x_0)</f>
        <v>37979.25</v>
      </c>
      <c r="E166" s="1"/>
      <c r="F166" s="5">
        <f t="shared" si="39"/>
        <v>0.14356809599882789</v>
      </c>
      <c r="G166" s="1"/>
      <c r="H166" s="1">
        <f>SUM(OSRRefH22_5x_0)</f>
        <v>38440</v>
      </c>
      <c r="I166" s="1"/>
      <c r="J166" s="5">
        <f t="shared" si="40"/>
        <v>0.10148987345448401</v>
      </c>
      <c r="K166" s="1"/>
      <c r="L166" s="1">
        <f t="shared" si="41"/>
        <v>-460.75</v>
      </c>
      <c r="M166" s="1"/>
      <c r="N166" s="5">
        <f t="shared" si="42"/>
        <v>-1.198621227887617E-2</v>
      </c>
      <c r="O166" s="13"/>
      <c r="P166" s="1">
        <f>SUM(OSRRefP22_5x_0)</f>
        <v>477223.36</v>
      </c>
      <c r="Q166" s="1"/>
      <c r="R166" s="5">
        <f t="shared" si="43"/>
        <v>8.7135167715511622E-2</v>
      </c>
      <c r="S166" s="1"/>
      <c r="T166" s="1">
        <f>SUM(OSRRefT22_5x_0)</f>
        <v>467323</v>
      </c>
      <c r="U166" s="1"/>
      <c r="V166" s="5">
        <f t="shared" si="44"/>
        <v>4.7907568469698646E-2</v>
      </c>
      <c r="W166" s="1"/>
      <c r="X166" s="1">
        <f t="shared" si="45"/>
        <v>9900.359999999986</v>
      </c>
      <c r="Y166" s="1"/>
      <c r="Z166" s="5">
        <f t="shared" si="46"/>
        <v>2.1185261585669839E-2</v>
      </c>
    </row>
    <row r="167" spans="1:26" s="24" customFormat="1" hidden="1" outlineLevel="2" x14ac:dyDescent="0.25">
      <c r="A167" s="26"/>
      <c r="B167" s="11" t="str">
        <f>CONCATENATE("          ", "6321", " - ", "BUILDING DEPRECIATION")</f>
        <v xml:space="preserve">          6321 - BUILDING DEPRECIATION</v>
      </c>
      <c r="C167" s="11"/>
      <c r="D167" s="6">
        <v>21476.73</v>
      </c>
      <c r="E167" s="2"/>
      <c r="F167" s="7">
        <f t="shared" si="39"/>
        <v>8.1185732587686882E-2</v>
      </c>
      <c r="G167" s="2"/>
      <c r="H167" s="6"/>
      <c r="I167" s="2"/>
      <c r="J167" s="7">
        <f t="shared" si="40"/>
        <v>0</v>
      </c>
      <c r="K167" s="2"/>
      <c r="L167" s="6">
        <f t="shared" si="41"/>
        <v>21476.73</v>
      </c>
      <c r="M167" s="2"/>
      <c r="N167" s="7">
        <f t="shared" si="42"/>
        <v>0</v>
      </c>
      <c r="O167" s="11"/>
      <c r="P167" s="6">
        <v>257724.06</v>
      </c>
      <c r="Q167" s="2"/>
      <c r="R167" s="7">
        <f t="shared" si="43"/>
        <v>4.7057271447111436E-2</v>
      </c>
      <c r="S167" s="2"/>
      <c r="T167" s="6"/>
      <c r="U167" s="2"/>
      <c r="V167" s="7">
        <f t="shared" si="44"/>
        <v>0</v>
      </c>
      <c r="W167" s="2"/>
      <c r="X167" s="6">
        <f t="shared" si="45"/>
        <v>257724.06</v>
      </c>
      <c r="Y167" s="2"/>
      <c r="Z167" s="7">
        <f t="shared" si="46"/>
        <v>0</v>
      </c>
    </row>
    <row r="168" spans="1:26" s="24" customFormat="1" hidden="1" outlineLevel="2" x14ac:dyDescent="0.25">
      <c r="A168" s="26"/>
      <c r="B168" s="11" t="str">
        <f>CONCATENATE("          ", "6322", " - ", "EQUIPMENT DEPRECIATION EXPENSE")</f>
        <v xml:space="preserve">          6322 - EQUIPMENT DEPRECIATION EXPENSE</v>
      </c>
      <c r="C168" s="11"/>
      <c r="D168" s="6">
        <v>16502.52</v>
      </c>
      <c r="E168" s="2"/>
      <c r="F168" s="7">
        <f t="shared" si="39"/>
        <v>6.2382363411141013E-2</v>
      </c>
      <c r="G168" s="2"/>
      <c r="H168" s="6">
        <v>38440</v>
      </c>
      <c r="I168" s="2"/>
      <c r="J168" s="7">
        <f t="shared" si="40"/>
        <v>0.10148987345448401</v>
      </c>
      <c r="K168" s="2"/>
      <c r="L168" s="6">
        <f t="shared" si="41"/>
        <v>-21937.48</v>
      </c>
      <c r="M168" s="2"/>
      <c r="N168" s="7">
        <f t="shared" si="42"/>
        <v>-0.57069406867845995</v>
      </c>
      <c r="O168" s="11"/>
      <c r="P168" s="6">
        <v>219499.3</v>
      </c>
      <c r="Q168" s="2"/>
      <c r="R168" s="7">
        <f t="shared" si="43"/>
        <v>4.0077896268400193E-2</v>
      </c>
      <c r="S168" s="2"/>
      <c r="T168" s="6">
        <v>467323</v>
      </c>
      <c r="U168" s="2"/>
      <c r="V168" s="7">
        <f t="shared" si="44"/>
        <v>4.7907568469698646E-2</v>
      </c>
      <c r="W168" s="2"/>
      <c r="X168" s="6">
        <f t="shared" si="45"/>
        <v>-247823.7</v>
      </c>
      <c r="Y168" s="2"/>
      <c r="Z168" s="7">
        <f t="shared" si="46"/>
        <v>-0.53030494968148367</v>
      </c>
    </row>
    <row r="169" spans="1:26" s="27" customFormat="1" outlineLevel="1" collapsed="1" x14ac:dyDescent="0.25">
      <c r="A169" s="25"/>
      <c r="B169" s="13" t="str">
        <f>CONCATENATE("     ","Discounts and Markdowns                           ")</f>
        <v xml:space="preserve">     Discounts and Markdowns                           </v>
      </c>
      <c r="C169" s="13"/>
      <c r="D169" s="1">
        <f>SUM(OSRRefD22_6x_0)</f>
        <v>0</v>
      </c>
      <c r="E169" s="1"/>
      <c r="F169" s="5">
        <f t="shared" ref="F169:F171" si="47">IF(D$12=0,0,D169/D$12)</f>
        <v>0</v>
      </c>
      <c r="G169" s="1"/>
      <c r="H169" s="1">
        <f>SUM(OSRRefH22_6x_0)</f>
        <v>27752</v>
      </c>
      <c r="I169" s="1"/>
      <c r="J169" s="5">
        <f t="shared" ref="J169:J171" si="48">IF(H$12=0,0,H169/H$12)</f>
        <v>7.3271253072550474E-2</v>
      </c>
      <c r="K169" s="1"/>
      <c r="L169" s="1">
        <f t="shared" ref="L169:L171" si="49">+D169-H169</f>
        <v>-27752</v>
      </c>
      <c r="M169" s="1"/>
      <c r="N169" s="5">
        <f t="shared" ref="N169:N171" si="50">IF(H169=0,0,L169/H169)</f>
        <v>-1</v>
      </c>
      <c r="O169" s="13"/>
      <c r="P169" s="1">
        <f>SUM(OSRRefP22_6x_0)</f>
        <v>-15.43</v>
      </c>
      <c r="Q169" s="1"/>
      <c r="R169" s="5">
        <f t="shared" ref="R169:R171" si="51">IF(P$12=0,0,P169/P$12)</f>
        <v>-2.8173298931769486E-6</v>
      </c>
      <c r="S169" s="1"/>
      <c r="T169" s="1">
        <f>SUM(OSRRefT22_6x_0)</f>
        <v>346785</v>
      </c>
      <c r="U169" s="1"/>
      <c r="V169" s="5">
        <f t="shared" ref="V169:V171" si="52">IF(T$12=0,0,T169/T$12)</f>
        <v>3.5550628006249307E-2</v>
      </c>
      <c r="W169" s="1"/>
      <c r="X169" s="1">
        <f t="shared" ref="X169:X171" si="53">+P169-T169</f>
        <v>-346800.43</v>
      </c>
      <c r="Y169" s="1"/>
      <c r="Z169" s="5">
        <f t="shared" ref="Z169:Z171" si="54">IF(T169=0,0,X169/T169)</f>
        <v>-1.000044494427383</v>
      </c>
    </row>
    <row r="170" spans="1:26" s="24" customFormat="1" hidden="1" outlineLevel="2" x14ac:dyDescent="0.25">
      <c r="A170" s="26"/>
      <c r="B170" s="11" t="str">
        <f>CONCATENATE("          ", "6382", " - ", "DISCOUNTS/MARK DOWNS")</f>
        <v xml:space="preserve">          6382 - DISCOUNTS/MARK DOWNS</v>
      </c>
      <c r="C170" s="11"/>
      <c r="D170" s="6">
        <v>0</v>
      </c>
      <c r="E170" s="2"/>
      <c r="F170" s="7">
        <f t="shared" si="47"/>
        <v>0</v>
      </c>
      <c r="G170" s="2"/>
      <c r="H170" s="6">
        <v>27752</v>
      </c>
      <c r="I170" s="2"/>
      <c r="J170" s="7">
        <f t="shared" si="48"/>
        <v>7.3271253072550474E-2</v>
      </c>
      <c r="K170" s="2"/>
      <c r="L170" s="6">
        <f t="shared" si="49"/>
        <v>-27752</v>
      </c>
      <c r="M170" s="2"/>
      <c r="N170" s="7">
        <f t="shared" si="50"/>
        <v>-1</v>
      </c>
      <c r="O170" s="11"/>
      <c r="P170" s="6">
        <v>0</v>
      </c>
      <c r="Q170" s="2"/>
      <c r="R170" s="7">
        <f t="shared" si="51"/>
        <v>0</v>
      </c>
      <c r="S170" s="2"/>
      <c r="T170" s="6">
        <v>346785</v>
      </c>
      <c r="U170" s="2"/>
      <c r="V170" s="7">
        <f t="shared" si="52"/>
        <v>3.5550628006249307E-2</v>
      </c>
      <c r="W170" s="2"/>
      <c r="X170" s="6">
        <f t="shared" si="53"/>
        <v>-346785</v>
      </c>
      <c r="Y170" s="2"/>
      <c r="Z170" s="7">
        <f t="shared" si="54"/>
        <v>-1</v>
      </c>
    </row>
    <row r="171" spans="1:26" s="24" customFormat="1" hidden="1" outlineLevel="2" x14ac:dyDescent="0.25">
      <c r="A171" s="26"/>
      <c r="B171" s="11" t="str">
        <f>CONCATENATE("          ", "9175", " - ", "EARNED DISCOUNTS")</f>
        <v xml:space="preserve">          9175 - EARNED DISCOUNTS</v>
      </c>
      <c r="C171" s="11"/>
      <c r="D171" s="6">
        <v>0</v>
      </c>
      <c r="E171" s="2"/>
      <c r="F171" s="7">
        <f t="shared" si="47"/>
        <v>0</v>
      </c>
      <c r="G171" s="2"/>
      <c r="H171" s="6"/>
      <c r="I171" s="2"/>
      <c r="J171" s="7">
        <f t="shared" si="48"/>
        <v>0</v>
      </c>
      <c r="K171" s="2"/>
      <c r="L171" s="6">
        <f t="shared" si="49"/>
        <v>0</v>
      </c>
      <c r="M171" s="2"/>
      <c r="N171" s="7">
        <f t="shared" si="50"/>
        <v>0</v>
      </c>
      <c r="O171" s="11"/>
      <c r="P171" s="6">
        <v>-15.43</v>
      </c>
      <c r="Q171" s="2"/>
      <c r="R171" s="7">
        <f t="shared" si="51"/>
        <v>-2.8173298931769486E-6</v>
      </c>
      <c r="S171" s="2"/>
      <c r="T171" s="6"/>
      <c r="U171" s="2"/>
      <c r="V171" s="7">
        <f t="shared" si="52"/>
        <v>0</v>
      </c>
      <c r="W171" s="2"/>
      <c r="X171" s="6">
        <f t="shared" si="53"/>
        <v>-15.43</v>
      </c>
      <c r="Y171" s="2"/>
      <c r="Z171" s="7">
        <f t="shared" si="54"/>
        <v>0</v>
      </c>
    </row>
    <row r="172" spans="1:26" s="27" customFormat="1" outlineLevel="1" collapsed="1" x14ac:dyDescent="0.25">
      <c r="A172" s="25"/>
      <c r="B172" s="13" t="str">
        <f>CONCATENATE("     ","Donations                                         ")</f>
        <v xml:space="preserve">     Donations                                         </v>
      </c>
      <c r="C172" s="13"/>
      <c r="D172" s="1">
        <f>SUM(OSRRefD22_7x_0)</f>
        <v>0</v>
      </c>
      <c r="E172" s="1"/>
      <c r="F172" s="5">
        <f t="shared" ref="F172:F174" si="55">IF(D$12=0,0,D172/D$12)</f>
        <v>0</v>
      </c>
      <c r="G172" s="1"/>
      <c r="H172" s="1">
        <f>SUM(OSRRefH22_7x_0)</f>
        <v>1000</v>
      </c>
      <c r="I172" s="1"/>
      <c r="J172" s="5">
        <f t="shared" ref="J172:J174" si="56">IF(H$12=0,0,H172/H$12)</f>
        <v>2.6402152303455777E-3</v>
      </c>
      <c r="K172" s="1"/>
      <c r="L172" s="1">
        <f t="shared" ref="L172:L174" si="57">+D172-H172</f>
        <v>-1000</v>
      </c>
      <c r="M172" s="1"/>
      <c r="N172" s="5">
        <f t="shared" ref="N172:N174" si="58">IF(H172=0,0,L172/H172)</f>
        <v>-1</v>
      </c>
      <c r="O172" s="13"/>
      <c r="P172" s="1">
        <f>SUM(OSRRefP22_7x_0)</f>
        <v>360.9</v>
      </c>
      <c r="Q172" s="1"/>
      <c r="R172" s="5">
        <f t="shared" ref="R172:R174" si="59">IF(P$12=0,0,P172/P$12)</f>
        <v>6.5895940275279368E-5</v>
      </c>
      <c r="S172" s="1"/>
      <c r="T172" s="1">
        <f>SUM(OSRRefT22_7x_0)</f>
        <v>12000</v>
      </c>
      <c r="U172" s="1"/>
      <c r="V172" s="5">
        <f t="shared" ref="V172:V174" si="60">IF(T$12=0,0,T172/T$12)</f>
        <v>1.2301787449716444E-3</v>
      </c>
      <c r="W172" s="1"/>
      <c r="X172" s="1">
        <f t="shared" ref="X172:X174" si="61">+P172-T172</f>
        <v>-11639.1</v>
      </c>
      <c r="Y172" s="1"/>
      <c r="Z172" s="5">
        <f t="shared" ref="Z172:Z174" si="62">IF(T172=0,0,X172/T172)</f>
        <v>-0.96992500000000004</v>
      </c>
    </row>
    <row r="173" spans="1:26" s="24" customFormat="1" hidden="1" outlineLevel="2" x14ac:dyDescent="0.25">
      <c r="A173" s="26"/>
      <c r="B173" s="11" t="str">
        <f>CONCATENATE("          ", "6395", " - ", "DONATION-OFF CAMPUS")</f>
        <v xml:space="preserve">          6395 - DONATION-OFF CAMPUS</v>
      </c>
      <c r="C173" s="11"/>
      <c r="D173" s="6"/>
      <c r="E173" s="2"/>
      <c r="F173" s="7">
        <f t="shared" si="55"/>
        <v>0</v>
      </c>
      <c r="G173" s="2"/>
      <c r="H173" s="6"/>
      <c r="I173" s="2"/>
      <c r="J173" s="7">
        <f t="shared" si="56"/>
        <v>0</v>
      </c>
      <c r="K173" s="2"/>
      <c r="L173" s="6">
        <f t="shared" si="57"/>
        <v>0</v>
      </c>
      <c r="M173" s="2"/>
      <c r="N173" s="7">
        <f t="shared" si="58"/>
        <v>0</v>
      </c>
      <c r="O173" s="11"/>
      <c r="P173" s="6"/>
      <c r="Q173" s="2"/>
      <c r="R173" s="7">
        <f t="shared" si="59"/>
        <v>0</v>
      </c>
      <c r="S173" s="2"/>
      <c r="T173" s="6">
        <v>0</v>
      </c>
      <c r="U173" s="2"/>
      <c r="V173" s="7">
        <f t="shared" si="60"/>
        <v>0</v>
      </c>
      <c r="W173" s="2"/>
      <c r="X173" s="6">
        <f t="shared" si="61"/>
        <v>0</v>
      </c>
      <c r="Y173" s="2"/>
      <c r="Z173" s="7">
        <f t="shared" si="62"/>
        <v>0</v>
      </c>
    </row>
    <row r="174" spans="1:26" s="24" customFormat="1" hidden="1" outlineLevel="2" x14ac:dyDescent="0.25">
      <c r="A174" s="26"/>
      <c r="B174" s="11" t="str">
        <f>CONCATENATE("          ", "6399", " - ", "DONATION-ON CAMPUS")</f>
        <v xml:space="preserve">          6399 - DONATION-ON CAMPUS</v>
      </c>
      <c r="C174" s="11"/>
      <c r="D174" s="6"/>
      <c r="E174" s="2"/>
      <c r="F174" s="7">
        <f t="shared" si="55"/>
        <v>0</v>
      </c>
      <c r="G174" s="2"/>
      <c r="H174" s="6">
        <v>1000</v>
      </c>
      <c r="I174" s="2"/>
      <c r="J174" s="7">
        <f t="shared" si="56"/>
        <v>2.6402152303455777E-3</v>
      </c>
      <c r="K174" s="2"/>
      <c r="L174" s="6">
        <f t="shared" si="57"/>
        <v>-1000</v>
      </c>
      <c r="M174" s="2"/>
      <c r="N174" s="7">
        <f t="shared" si="58"/>
        <v>-1</v>
      </c>
      <c r="O174" s="11"/>
      <c r="P174" s="6">
        <v>360.9</v>
      </c>
      <c r="Q174" s="2"/>
      <c r="R174" s="7">
        <f t="shared" si="59"/>
        <v>6.5895940275279368E-5</v>
      </c>
      <c r="S174" s="2"/>
      <c r="T174" s="6">
        <v>12000</v>
      </c>
      <c r="U174" s="2"/>
      <c r="V174" s="7">
        <f t="shared" si="60"/>
        <v>1.2301787449716444E-3</v>
      </c>
      <c r="W174" s="2"/>
      <c r="X174" s="6">
        <f t="shared" si="61"/>
        <v>-11639.1</v>
      </c>
      <c r="Y174" s="2"/>
      <c r="Z174" s="7">
        <f t="shared" si="62"/>
        <v>-0.96992500000000004</v>
      </c>
    </row>
    <row r="175" spans="1:26" s="27" customFormat="1" outlineLevel="1" collapsed="1" x14ac:dyDescent="0.25">
      <c r="A175" s="25"/>
      <c r="B175" s="13" t="str">
        <f>CONCATENATE("     ","Employees' Appreciation                           ")</f>
        <v xml:space="preserve">     Employees' Appreciation                           </v>
      </c>
      <c r="C175" s="13"/>
      <c r="D175" s="1">
        <f>SUM(OSRRefD22_8x_0)</f>
        <v>522.86</v>
      </c>
      <c r="E175" s="1"/>
      <c r="F175" s="5">
        <f t="shared" ref="F175:F181" si="63">IF(D$12=0,0,D175/D$12)</f>
        <v>1.9765007122032993E-3</v>
      </c>
      <c r="G175" s="1"/>
      <c r="H175" s="1">
        <f>SUM(OSRRefH22_8x_0)</f>
        <v>400</v>
      </c>
      <c r="I175" s="1"/>
      <c r="J175" s="5">
        <f t="shared" ref="J175:J181" si="64">IF(H$12=0,0,H175/H$12)</f>
        <v>1.0560860921382312E-3</v>
      </c>
      <c r="K175" s="1"/>
      <c r="L175" s="1">
        <f t="shared" ref="L175:L181" si="65">+D175-H175</f>
        <v>122.86000000000001</v>
      </c>
      <c r="M175" s="1"/>
      <c r="N175" s="5">
        <f t="shared" ref="N175:N181" si="66">IF(H175=0,0,L175/H175)</f>
        <v>0.30715000000000003</v>
      </c>
      <c r="O175" s="13"/>
      <c r="P175" s="1">
        <f>SUM(OSRRefP22_8x_0)</f>
        <v>708.89</v>
      </c>
      <c r="Q175" s="1"/>
      <c r="R175" s="5">
        <f t="shared" ref="R175:R181" si="67">IF(P$12=0,0,P175/P$12)</f>
        <v>1.2943467193611192E-4</v>
      </c>
      <c r="S175" s="1"/>
      <c r="T175" s="1">
        <f>SUM(OSRRefT22_8x_0)</f>
        <v>5050</v>
      </c>
      <c r="U175" s="1"/>
      <c r="V175" s="5">
        <f t="shared" ref="V175:V181" si="68">IF(T$12=0,0,T175/T$12)</f>
        <v>5.1770022184223366E-4</v>
      </c>
      <c r="W175" s="1"/>
      <c r="X175" s="1">
        <f t="shared" ref="X175:X181" si="69">+P175-T175</f>
        <v>-4341.1099999999997</v>
      </c>
      <c r="Y175" s="1"/>
      <c r="Z175" s="5">
        <f t="shared" ref="Z175:Z181" si="70">IF(T175=0,0,X175/T175)</f>
        <v>-0.85962574257425739</v>
      </c>
    </row>
    <row r="176" spans="1:26" s="24" customFormat="1" hidden="1" outlineLevel="2" x14ac:dyDescent="0.25">
      <c r="A176" s="26"/>
      <c r="B176" s="11" t="str">
        <f>CONCATENATE("          ", "6277", " - ", "EMPLOYEE APPRECIATION")</f>
        <v xml:space="preserve">          6277 - EMPLOYEE APPRECIATION</v>
      </c>
      <c r="C176" s="11"/>
      <c r="D176" s="6">
        <v>522.86</v>
      </c>
      <c r="E176" s="2"/>
      <c r="F176" s="7">
        <f t="shared" si="63"/>
        <v>1.9765007122032993E-3</v>
      </c>
      <c r="G176" s="2"/>
      <c r="H176" s="6">
        <v>400</v>
      </c>
      <c r="I176" s="2"/>
      <c r="J176" s="7">
        <f t="shared" si="64"/>
        <v>1.0560860921382312E-3</v>
      </c>
      <c r="K176" s="2"/>
      <c r="L176" s="6">
        <f t="shared" si="65"/>
        <v>122.86000000000001</v>
      </c>
      <c r="M176" s="2"/>
      <c r="N176" s="7">
        <f t="shared" si="66"/>
        <v>0.30715000000000003</v>
      </c>
      <c r="O176" s="11"/>
      <c r="P176" s="6">
        <v>708.89</v>
      </c>
      <c r="Q176" s="2"/>
      <c r="R176" s="7">
        <f t="shared" si="67"/>
        <v>1.2943467193611192E-4</v>
      </c>
      <c r="S176" s="2"/>
      <c r="T176" s="6">
        <v>5050</v>
      </c>
      <c r="U176" s="2"/>
      <c r="V176" s="7">
        <f t="shared" si="68"/>
        <v>5.1770022184223366E-4</v>
      </c>
      <c r="W176" s="2"/>
      <c r="X176" s="6">
        <f t="shared" si="69"/>
        <v>-4341.1099999999997</v>
      </c>
      <c r="Y176" s="2"/>
      <c r="Z176" s="7">
        <f t="shared" si="70"/>
        <v>-0.85962574257425739</v>
      </c>
    </row>
    <row r="177" spans="1:26" s="27" customFormat="1" outlineLevel="1" collapsed="1" x14ac:dyDescent="0.25">
      <c r="A177" s="25"/>
      <c r="B177" s="13" t="str">
        <f>CONCATENATE("     ","Equipment Rental                                  ")</f>
        <v xml:space="preserve">     Equipment Rental                                  </v>
      </c>
      <c r="C177" s="13"/>
      <c r="D177" s="1">
        <f>SUM(OSRRefD22_9x_0)</f>
        <v>2220.81</v>
      </c>
      <c r="E177" s="1"/>
      <c r="F177" s="5">
        <f t="shared" si="63"/>
        <v>8.3950436955747398E-3</v>
      </c>
      <c r="G177" s="1"/>
      <c r="H177" s="1">
        <f>SUM(OSRRefH22_9x_0)</f>
        <v>3152</v>
      </c>
      <c r="I177" s="1"/>
      <c r="J177" s="5">
        <f t="shared" si="64"/>
        <v>8.321958406049261E-3</v>
      </c>
      <c r="K177" s="1"/>
      <c r="L177" s="1">
        <f t="shared" si="65"/>
        <v>-931.19</v>
      </c>
      <c r="M177" s="1"/>
      <c r="N177" s="5">
        <f t="shared" si="66"/>
        <v>-0.2954282994923858</v>
      </c>
      <c r="O177" s="13"/>
      <c r="P177" s="1">
        <f>SUM(OSRRefP22_9x_0)</f>
        <v>19384.38</v>
      </c>
      <c r="Q177" s="1"/>
      <c r="R177" s="5">
        <f t="shared" si="67"/>
        <v>3.5393514734090329E-3</v>
      </c>
      <c r="S177" s="1"/>
      <c r="T177" s="1">
        <f>SUM(OSRRefT22_9x_0)</f>
        <v>37386</v>
      </c>
      <c r="U177" s="1"/>
      <c r="V177" s="5">
        <f t="shared" si="68"/>
        <v>3.8326218799591581E-3</v>
      </c>
      <c r="W177" s="1"/>
      <c r="X177" s="1">
        <f t="shared" si="69"/>
        <v>-18001.62</v>
      </c>
      <c r="Y177" s="1"/>
      <c r="Z177" s="5">
        <f t="shared" si="70"/>
        <v>-0.48150698122291763</v>
      </c>
    </row>
    <row r="178" spans="1:26" s="24" customFormat="1" hidden="1" outlineLevel="2" x14ac:dyDescent="0.25">
      <c r="A178" s="26"/>
      <c r="B178" s="11" t="str">
        <f>CONCATENATE("          ", "6351", " - ", "EQUIPMENT RENTAL")</f>
        <v xml:space="preserve">          6351 - EQUIPMENT RENTAL</v>
      </c>
      <c r="C178" s="11"/>
      <c r="D178" s="6">
        <v>2220.81</v>
      </c>
      <c r="E178" s="2"/>
      <c r="F178" s="7">
        <f t="shared" si="63"/>
        <v>8.3950436955747398E-3</v>
      </c>
      <c r="G178" s="2"/>
      <c r="H178" s="6">
        <v>3152</v>
      </c>
      <c r="I178" s="2"/>
      <c r="J178" s="7">
        <f t="shared" si="64"/>
        <v>8.321958406049261E-3</v>
      </c>
      <c r="K178" s="2"/>
      <c r="L178" s="6">
        <f t="shared" si="65"/>
        <v>-931.19</v>
      </c>
      <c r="M178" s="2"/>
      <c r="N178" s="7">
        <f t="shared" si="66"/>
        <v>-0.2954282994923858</v>
      </c>
      <c r="O178" s="11"/>
      <c r="P178" s="6">
        <v>19384.38</v>
      </c>
      <c r="Q178" s="2"/>
      <c r="R178" s="7">
        <f t="shared" si="67"/>
        <v>3.5393514734090329E-3</v>
      </c>
      <c r="S178" s="2"/>
      <c r="T178" s="6">
        <v>37386</v>
      </c>
      <c r="U178" s="2"/>
      <c r="V178" s="7">
        <f t="shared" si="68"/>
        <v>3.8326218799591581E-3</v>
      </c>
      <c r="W178" s="2"/>
      <c r="X178" s="6">
        <f t="shared" si="69"/>
        <v>-18001.62</v>
      </c>
      <c r="Y178" s="2"/>
      <c r="Z178" s="7">
        <f t="shared" si="70"/>
        <v>-0.48150698122291763</v>
      </c>
    </row>
    <row r="179" spans="1:26" s="27" customFormat="1" outlineLevel="1" collapsed="1" x14ac:dyDescent="0.25">
      <c r="A179" s="25"/>
      <c r="B179" s="13" t="str">
        <f>CONCATENATE("     ","Freight out/Postage                               ")</f>
        <v xml:space="preserve">     Freight out/Postage                               </v>
      </c>
      <c r="C179" s="13"/>
      <c r="D179" s="1">
        <f>SUM(OSRRefD22_10x_0)</f>
        <v>-7501.3200000000006</v>
      </c>
      <c r="E179" s="1"/>
      <c r="F179" s="5">
        <f t="shared" si="63"/>
        <v>-2.8356279544170242E-2</v>
      </c>
      <c r="G179" s="1"/>
      <c r="H179" s="1">
        <f>SUM(OSRRefH22_10x_0)</f>
        <v>268</v>
      </c>
      <c r="I179" s="1"/>
      <c r="J179" s="5">
        <f t="shared" si="64"/>
        <v>7.0757768173261484E-4</v>
      </c>
      <c r="K179" s="1"/>
      <c r="L179" s="1">
        <f t="shared" si="65"/>
        <v>-7769.3200000000006</v>
      </c>
      <c r="M179" s="1"/>
      <c r="N179" s="5">
        <f t="shared" si="66"/>
        <v>-28.990000000000002</v>
      </c>
      <c r="O179" s="13"/>
      <c r="P179" s="1">
        <f>SUM(OSRRefP22_10x_0)</f>
        <v>-75107.989999999991</v>
      </c>
      <c r="Q179" s="1"/>
      <c r="R179" s="5">
        <f t="shared" si="67"/>
        <v>-1.3713803333988028E-2</v>
      </c>
      <c r="S179" s="1"/>
      <c r="T179" s="1">
        <f>SUM(OSRRefT22_10x_0)</f>
        <v>35383</v>
      </c>
      <c r="U179" s="1"/>
      <c r="V179" s="5">
        <f t="shared" si="68"/>
        <v>3.6272845444443079E-3</v>
      </c>
      <c r="W179" s="1"/>
      <c r="X179" s="1">
        <f t="shared" si="69"/>
        <v>-110490.98999999999</v>
      </c>
      <c r="Y179" s="1"/>
      <c r="Z179" s="5">
        <f t="shared" si="70"/>
        <v>-3.1227140152050419</v>
      </c>
    </row>
    <row r="180" spans="1:26" s="24" customFormat="1" hidden="1" outlineLevel="2" x14ac:dyDescent="0.25">
      <c r="A180" s="26"/>
      <c r="B180" s="11" t="str">
        <f>CONCATENATE("          ", "6305", " - ", "FREIGHT OUT")</f>
        <v xml:space="preserve">          6305 - FREIGHT OUT</v>
      </c>
      <c r="C180" s="11"/>
      <c r="D180" s="6">
        <v>7012.69</v>
      </c>
      <c r="E180" s="2"/>
      <c r="F180" s="7">
        <f t="shared" si="63"/>
        <v>2.650917411823615E-2</v>
      </c>
      <c r="G180" s="2"/>
      <c r="H180" s="6">
        <v>2248</v>
      </c>
      <c r="I180" s="2"/>
      <c r="J180" s="7">
        <f t="shared" si="64"/>
        <v>5.9352038378168584E-3</v>
      </c>
      <c r="K180" s="2"/>
      <c r="L180" s="6">
        <f t="shared" si="65"/>
        <v>4764.6899999999996</v>
      </c>
      <c r="M180" s="2"/>
      <c r="N180" s="7">
        <f t="shared" si="66"/>
        <v>2.119524021352313</v>
      </c>
      <c r="O180" s="11"/>
      <c r="P180" s="6">
        <v>231676.43</v>
      </c>
      <c r="Q180" s="2"/>
      <c r="R180" s="7">
        <f t="shared" si="67"/>
        <v>4.2301291755250603E-2</v>
      </c>
      <c r="S180" s="2"/>
      <c r="T180" s="6">
        <v>66685</v>
      </c>
      <c r="U180" s="2"/>
      <c r="V180" s="7">
        <f t="shared" si="68"/>
        <v>6.8362058007028423E-3</v>
      </c>
      <c r="W180" s="2"/>
      <c r="X180" s="6">
        <f t="shared" si="69"/>
        <v>164991.43</v>
      </c>
      <c r="Y180" s="2"/>
      <c r="Z180" s="7">
        <f t="shared" si="70"/>
        <v>2.474191047461948</v>
      </c>
    </row>
    <row r="181" spans="1:26" s="24" customFormat="1" hidden="1" outlineLevel="2" x14ac:dyDescent="0.25">
      <c r="A181" s="26"/>
      <c r="B181" s="11" t="str">
        <f>CONCATENATE("          ", "6307", " - ", "POSTAGE")</f>
        <v xml:space="preserve">          6307 - POSTAGE</v>
      </c>
      <c r="C181" s="11"/>
      <c r="D181" s="6">
        <v>-14514.01</v>
      </c>
      <c r="E181" s="2"/>
      <c r="F181" s="7">
        <f t="shared" si="63"/>
        <v>-5.4865453662406395E-2</v>
      </c>
      <c r="G181" s="2"/>
      <c r="H181" s="6">
        <v>-1980</v>
      </c>
      <c r="I181" s="2"/>
      <c r="J181" s="7">
        <f t="shared" si="64"/>
        <v>-5.2276261560842436E-3</v>
      </c>
      <c r="K181" s="2"/>
      <c r="L181" s="6">
        <f t="shared" si="65"/>
        <v>-12534.01</v>
      </c>
      <c r="M181" s="2"/>
      <c r="N181" s="7">
        <f t="shared" si="66"/>
        <v>6.3303080808080807</v>
      </c>
      <c r="O181" s="11"/>
      <c r="P181" s="6">
        <v>-306784.42</v>
      </c>
      <c r="Q181" s="2"/>
      <c r="R181" s="7">
        <f t="shared" si="67"/>
        <v>-5.6015095089238631E-2</v>
      </c>
      <c r="S181" s="2"/>
      <c r="T181" s="6">
        <v>-31302</v>
      </c>
      <c r="U181" s="2"/>
      <c r="V181" s="7">
        <f t="shared" si="68"/>
        <v>-3.2089212562585344E-3</v>
      </c>
      <c r="W181" s="2"/>
      <c r="X181" s="6">
        <f t="shared" si="69"/>
        <v>-275482.42</v>
      </c>
      <c r="Y181" s="2"/>
      <c r="Z181" s="7">
        <f t="shared" si="70"/>
        <v>8.8007929205801538</v>
      </c>
    </row>
    <row r="182" spans="1:26" s="27" customFormat="1" outlineLevel="1" collapsed="1" x14ac:dyDescent="0.25">
      <c r="A182" s="25"/>
      <c r="B182" s="13" t="str">
        <f>CONCATENATE("     ","General                                           ")</f>
        <v xml:space="preserve">     General                                           </v>
      </c>
      <c r="C182" s="13"/>
      <c r="D182" s="1">
        <f>SUM(OSRRefD22_11x_0)</f>
        <v>-3391.74</v>
      </c>
      <c r="E182" s="1"/>
      <c r="F182" s="5">
        <f t="shared" ref="F182:F185" si="71">IF(D$12=0,0,D182/D$12)</f>
        <v>-1.2821360451379752E-2</v>
      </c>
      <c r="G182" s="1"/>
      <c r="H182" s="1">
        <f>SUM(OSRRefH22_11x_0)</f>
        <v>1500</v>
      </c>
      <c r="I182" s="1"/>
      <c r="J182" s="5">
        <f t="shared" ref="J182:J185" si="72">IF(H$12=0,0,H182/H$12)</f>
        <v>3.9603228455183668E-3</v>
      </c>
      <c r="K182" s="1"/>
      <c r="L182" s="1">
        <f t="shared" ref="L182:L185" si="73">+D182-H182</f>
        <v>-4891.74</v>
      </c>
      <c r="M182" s="1"/>
      <c r="N182" s="5">
        <f t="shared" ref="N182:N185" si="74">IF(H182=0,0,L182/H182)</f>
        <v>-3.2611599999999998</v>
      </c>
      <c r="O182" s="13"/>
      <c r="P182" s="1">
        <f>SUM(OSRRefP22_11x_0)</f>
        <v>2120.38</v>
      </c>
      <c r="Q182" s="1"/>
      <c r="R182" s="5">
        <f t="shared" ref="R182:R185" si="75">IF(P$12=0,0,P182/P$12)</f>
        <v>3.8715553848960065E-4</v>
      </c>
      <c r="S182" s="1"/>
      <c r="T182" s="1">
        <f>SUM(OSRRefT22_11x_0)</f>
        <v>16400</v>
      </c>
      <c r="U182" s="1"/>
      <c r="V182" s="5">
        <f t="shared" ref="V182:V185" si="76">IF(T$12=0,0,T182/T$12)</f>
        <v>1.6812442847945806E-3</v>
      </c>
      <c r="W182" s="1"/>
      <c r="X182" s="1">
        <f t="shared" ref="X182:X185" si="77">+P182-T182</f>
        <v>-14279.619999999999</v>
      </c>
      <c r="Y182" s="1"/>
      <c r="Z182" s="5">
        <f t="shared" ref="Z182:Z185" si="78">IF(T182=0,0,X182/T182)</f>
        <v>-0.87070853658536584</v>
      </c>
    </row>
    <row r="183" spans="1:26" s="24" customFormat="1" hidden="1" outlineLevel="2" x14ac:dyDescent="0.25">
      <c r="A183" s="26"/>
      <c r="B183" s="11" t="str">
        <f>CONCATENATE("          ", "6269", " - ", "ENTERTAINMENT")</f>
        <v xml:space="preserve">          6269 - ENTERTAINMENT</v>
      </c>
      <c r="C183" s="11"/>
      <c r="D183" s="6"/>
      <c r="E183" s="2"/>
      <c r="F183" s="7">
        <f t="shared" si="71"/>
        <v>0</v>
      </c>
      <c r="G183" s="2"/>
      <c r="H183" s="6">
        <v>0</v>
      </c>
      <c r="I183" s="2"/>
      <c r="J183" s="7">
        <f t="shared" si="72"/>
        <v>0</v>
      </c>
      <c r="K183" s="2"/>
      <c r="L183" s="6">
        <f t="shared" si="73"/>
        <v>0</v>
      </c>
      <c r="M183" s="2"/>
      <c r="N183" s="7">
        <f t="shared" si="74"/>
        <v>0</v>
      </c>
      <c r="O183" s="11"/>
      <c r="P183" s="6"/>
      <c r="Q183" s="2"/>
      <c r="R183" s="7">
        <f t="shared" si="75"/>
        <v>0</v>
      </c>
      <c r="S183" s="2"/>
      <c r="T183" s="6">
        <v>2750</v>
      </c>
      <c r="U183" s="2"/>
      <c r="V183" s="7">
        <f t="shared" si="76"/>
        <v>2.8191596238933515E-4</v>
      </c>
      <c r="W183" s="2"/>
      <c r="X183" s="6">
        <f t="shared" si="77"/>
        <v>-2750</v>
      </c>
      <c r="Y183" s="2"/>
      <c r="Z183" s="7">
        <f t="shared" si="78"/>
        <v>-1</v>
      </c>
    </row>
    <row r="184" spans="1:26" s="24" customFormat="1" hidden="1" outlineLevel="2" x14ac:dyDescent="0.25">
      <c r="A184" s="26"/>
      <c r="B184" s="11" t="str">
        <f>CONCATENATE("          ", "6276", " - ", "PROPERTY TAX")</f>
        <v xml:space="preserve">          6276 - PROPERTY TAX</v>
      </c>
      <c r="C184" s="11"/>
      <c r="D184" s="6"/>
      <c r="E184" s="2"/>
      <c r="F184" s="7">
        <f t="shared" si="71"/>
        <v>0</v>
      </c>
      <c r="G184" s="2"/>
      <c r="H184" s="6"/>
      <c r="I184" s="2"/>
      <c r="J184" s="7">
        <f t="shared" si="72"/>
        <v>0</v>
      </c>
      <c r="K184" s="2"/>
      <c r="L184" s="6">
        <f t="shared" si="73"/>
        <v>0</v>
      </c>
      <c r="M184" s="2"/>
      <c r="N184" s="7">
        <f t="shared" si="74"/>
        <v>0</v>
      </c>
      <c r="O184" s="11"/>
      <c r="P184" s="6"/>
      <c r="Q184" s="2"/>
      <c r="R184" s="7">
        <f t="shared" si="75"/>
        <v>0</v>
      </c>
      <c r="S184" s="2"/>
      <c r="T184" s="6">
        <v>150</v>
      </c>
      <c r="U184" s="2"/>
      <c r="V184" s="7">
        <f t="shared" si="76"/>
        <v>1.5377234312145555E-5</v>
      </c>
      <c r="W184" s="2"/>
      <c r="X184" s="6">
        <f t="shared" si="77"/>
        <v>-150</v>
      </c>
      <c r="Y184" s="2"/>
      <c r="Z184" s="7">
        <f t="shared" si="78"/>
        <v>-1</v>
      </c>
    </row>
    <row r="185" spans="1:26" s="24" customFormat="1" hidden="1" outlineLevel="2" x14ac:dyDescent="0.25">
      <c r="A185" s="26"/>
      <c r="B185" s="11" t="str">
        <f>CONCATENATE("          ", "6279", " - ", "GENERAL EXPENSE")</f>
        <v xml:space="preserve">          6279 - GENERAL EXPENSE</v>
      </c>
      <c r="C185" s="11"/>
      <c r="D185" s="6">
        <v>-3391.74</v>
      </c>
      <c r="E185" s="2"/>
      <c r="F185" s="7">
        <f t="shared" si="71"/>
        <v>-1.2821360451379752E-2</v>
      </c>
      <c r="G185" s="2"/>
      <c r="H185" s="6">
        <v>1500</v>
      </c>
      <c r="I185" s="2"/>
      <c r="J185" s="7">
        <f t="shared" si="72"/>
        <v>3.9603228455183668E-3</v>
      </c>
      <c r="K185" s="2"/>
      <c r="L185" s="6">
        <f t="shared" si="73"/>
        <v>-4891.74</v>
      </c>
      <c r="M185" s="2"/>
      <c r="N185" s="7">
        <f t="shared" si="74"/>
        <v>-3.2611599999999998</v>
      </c>
      <c r="O185" s="11"/>
      <c r="P185" s="6">
        <v>2120.38</v>
      </c>
      <c r="Q185" s="2"/>
      <c r="R185" s="7">
        <f t="shared" si="75"/>
        <v>3.8715553848960065E-4</v>
      </c>
      <c r="S185" s="2"/>
      <c r="T185" s="6">
        <v>13500</v>
      </c>
      <c r="U185" s="2"/>
      <c r="V185" s="7">
        <f t="shared" si="76"/>
        <v>1.3839510880930999E-3</v>
      </c>
      <c r="W185" s="2"/>
      <c r="X185" s="6">
        <f t="shared" si="77"/>
        <v>-11379.619999999999</v>
      </c>
      <c r="Y185" s="2"/>
      <c r="Z185" s="7">
        <f t="shared" si="78"/>
        <v>-0.84293481481481469</v>
      </c>
    </row>
    <row r="186" spans="1:26" s="27" customFormat="1" outlineLevel="1" collapsed="1" x14ac:dyDescent="0.25">
      <c r="A186" s="25"/>
      <c r="B186" s="13" t="str">
        <f>CONCATENATE("     ","Insurance                                         ")</f>
        <v xml:space="preserve">     Insurance                                         </v>
      </c>
      <c r="C186" s="13"/>
      <c r="D186" s="1">
        <f>SUM(OSRRefD22_12x_0)</f>
        <v>9185.8700000000008</v>
      </c>
      <c r="E186" s="1"/>
      <c r="F186" s="5">
        <f t="shared" ref="F186:F192" si="79">IF(D$12=0,0,D186/D$12)</f>
        <v>3.472416822324699E-2</v>
      </c>
      <c r="G186" s="1"/>
      <c r="H186" s="1">
        <f>SUM(OSRRefH22_12x_0)</f>
        <v>4716</v>
      </c>
      <c r="I186" s="1"/>
      <c r="J186" s="5">
        <f t="shared" ref="J186:J192" si="80">IF(H$12=0,0,H186/H$12)</f>
        <v>1.2451255026309744E-2</v>
      </c>
      <c r="K186" s="1"/>
      <c r="L186" s="1">
        <f t="shared" ref="L186:L192" si="81">+D186-H186</f>
        <v>4469.8700000000008</v>
      </c>
      <c r="M186" s="1"/>
      <c r="N186" s="5">
        <f t="shared" ref="N186:N192" si="82">IF(H186=0,0,L186/H186)</f>
        <v>0.94780958439355401</v>
      </c>
      <c r="O186" s="13"/>
      <c r="P186" s="1">
        <f>SUM(OSRRefP22_12x_0)</f>
        <v>56356.95</v>
      </c>
      <c r="Q186" s="1"/>
      <c r="R186" s="5">
        <f t="shared" ref="R186:R192" si="83">IF(P$12=0,0,P186/P$12)</f>
        <v>1.0290092023543656E-2</v>
      </c>
      <c r="S186" s="1"/>
      <c r="T186" s="1">
        <f>SUM(OSRRefT22_12x_0)</f>
        <v>56592</v>
      </c>
      <c r="U186" s="1"/>
      <c r="V186" s="5">
        <f t="shared" ref="V186:V192" si="84">IF(T$12=0,0,T186/T$12)</f>
        <v>5.8015229612862745E-3</v>
      </c>
      <c r="W186" s="1"/>
      <c r="X186" s="1">
        <f t="shared" ref="X186:X192" si="85">+P186-T186</f>
        <v>-235.05000000000291</v>
      </c>
      <c r="Y186" s="1"/>
      <c r="Z186" s="5">
        <f t="shared" ref="Z186:Z192" si="86">IF(T186=0,0,X186/T186)</f>
        <v>-4.1534139100933504E-3</v>
      </c>
    </row>
    <row r="187" spans="1:26" s="24" customFormat="1" hidden="1" outlineLevel="2" x14ac:dyDescent="0.25">
      <c r="A187" s="26"/>
      <c r="B187" s="11" t="str">
        <f>CONCATENATE("          ", "6314", " - ", "LIABILITY INSURANCE")</f>
        <v xml:space="preserve">          6314 - LIABILITY INSURANCE</v>
      </c>
      <c r="C187" s="11"/>
      <c r="D187" s="6">
        <v>9185.8700000000008</v>
      </c>
      <c r="E187" s="2"/>
      <c r="F187" s="7">
        <f t="shared" si="79"/>
        <v>3.472416822324699E-2</v>
      </c>
      <c r="G187" s="2"/>
      <c r="H187" s="6">
        <v>4716</v>
      </c>
      <c r="I187" s="2"/>
      <c r="J187" s="7">
        <f t="shared" si="80"/>
        <v>1.2451255026309744E-2</v>
      </c>
      <c r="K187" s="2"/>
      <c r="L187" s="6">
        <f t="shared" si="81"/>
        <v>4469.8700000000008</v>
      </c>
      <c r="M187" s="2"/>
      <c r="N187" s="7">
        <f t="shared" si="82"/>
        <v>0.94780958439355401</v>
      </c>
      <c r="O187" s="11"/>
      <c r="P187" s="6">
        <v>56356.95</v>
      </c>
      <c r="Q187" s="2"/>
      <c r="R187" s="7">
        <f t="shared" si="83"/>
        <v>1.0290092023543656E-2</v>
      </c>
      <c r="S187" s="2"/>
      <c r="T187" s="6">
        <v>56592</v>
      </c>
      <c r="U187" s="2"/>
      <c r="V187" s="7">
        <f t="shared" si="84"/>
        <v>5.8015229612862745E-3</v>
      </c>
      <c r="W187" s="2"/>
      <c r="X187" s="6">
        <f t="shared" si="85"/>
        <v>-235.05000000000291</v>
      </c>
      <c r="Y187" s="2"/>
      <c r="Z187" s="7">
        <f t="shared" si="86"/>
        <v>-4.1534139100933504E-3</v>
      </c>
    </row>
    <row r="188" spans="1:26" s="27" customFormat="1" outlineLevel="1" collapsed="1" x14ac:dyDescent="0.25">
      <c r="A188" s="25"/>
      <c r="B188" s="13" t="str">
        <f>CONCATENATE("     ","Interest                                          ")</f>
        <v xml:space="preserve">     Interest                                          </v>
      </c>
      <c r="C188" s="13"/>
      <c r="D188" s="1">
        <f>SUM(OSRRefD22_13x_0)</f>
        <v>-439.07</v>
      </c>
      <c r="E188" s="1"/>
      <c r="F188" s="5">
        <f t="shared" si="79"/>
        <v>-1.6597601034829639E-3</v>
      </c>
      <c r="G188" s="1"/>
      <c r="H188" s="1">
        <f>SUM(OSRRefH22_13x_0)</f>
        <v>3905</v>
      </c>
      <c r="I188" s="1"/>
      <c r="J188" s="5">
        <f t="shared" si="80"/>
        <v>1.0310040474499481E-2</v>
      </c>
      <c r="K188" s="1"/>
      <c r="L188" s="1">
        <f t="shared" si="81"/>
        <v>-4344.07</v>
      </c>
      <c r="M188" s="1"/>
      <c r="N188" s="5">
        <f t="shared" si="82"/>
        <v>-1.1124379001280409</v>
      </c>
      <c r="O188" s="13"/>
      <c r="P188" s="1">
        <f>SUM(OSRRefP22_13x_0)</f>
        <v>42951.78</v>
      </c>
      <c r="Q188" s="1"/>
      <c r="R188" s="5">
        <f t="shared" si="83"/>
        <v>7.8424714037044572E-3</v>
      </c>
      <c r="S188" s="1"/>
      <c r="T188" s="1">
        <f>SUM(OSRRefT22_13x_0)</f>
        <v>48250</v>
      </c>
      <c r="U188" s="1"/>
      <c r="V188" s="5">
        <f t="shared" si="84"/>
        <v>4.9463437037401536E-3</v>
      </c>
      <c r="W188" s="1"/>
      <c r="X188" s="1">
        <f t="shared" si="85"/>
        <v>-5298.2200000000012</v>
      </c>
      <c r="Y188" s="1"/>
      <c r="Z188" s="5">
        <f t="shared" si="86"/>
        <v>-0.10980766839378241</v>
      </c>
    </row>
    <row r="189" spans="1:26" s="24" customFormat="1" hidden="1" outlineLevel="2" x14ac:dyDescent="0.25">
      <c r="A189" s="26"/>
      <c r="B189" s="11" t="str">
        <f>CONCATENATE("          ", "6401", " - ", "INTEREST EXPENSE")</f>
        <v xml:space="preserve">          6401 - INTEREST EXPENSE</v>
      </c>
      <c r="C189" s="11"/>
      <c r="D189" s="6">
        <v>-439.07</v>
      </c>
      <c r="E189" s="2"/>
      <c r="F189" s="7">
        <f t="shared" si="79"/>
        <v>-1.6597601034829639E-3</v>
      </c>
      <c r="G189" s="2"/>
      <c r="H189" s="6">
        <v>3905</v>
      </c>
      <c r="I189" s="2"/>
      <c r="J189" s="7">
        <f t="shared" si="80"/>
        <v>1.0310040474499481E-2</v>
      </c>
      <c r="K189" s="2"/>
      <c r="L189" s="6">
        <f t="shared" si="81"/>
        <v>-4344.07</v>
      </c>
      <c r="M189" s="2"/>
      <c r="N189" s="7">
        <f t="shared" si="82"/>
        <v>-1.1124379001280409</v>
      </c>
      <c r="O189" s="11"/>
      <c r="P189" s="6">
        <v>42951.78</v>
      </c>
      <c r="Q189" s="2"/>
      <c r="R189" s="7">
        <f t="shared" si="83"/>
        <v>7.8424714037044572E-3</v>
      </c>
      <c r="S189" s="2"/>
      <c r="T189" s="6">
        <v>48250</v>
      </c>
      <c r="U189" s="2"/>
      <c r="V189" s="7">
        <f t="shared" si="84"/>
        <v>4.9463437037401536E-3</v>
      </c>
      <c r="W189" s="2"/>
      <c r="X189" s="6">
        <f t="shared" si="85"/>
        <v>-5298.2200000000012</v>
      </c>
      <c r="Y189" s="2"/>
      <c r="Z189" s="7">
        <f t="shared" si="86"/>
        <v>-0.10980766839378241</v>
      </c>
    </row>
    <row r="190" spans="1:26" s="27" customFormat="1" outlineLevel="1" collapsed="1" x14ac:dyDescent="0.25">
      <c r="A190" s="25"/>
      <c r="B190" s="13" t="str">
        <f>CONCATENATE("     ","Inventory Adjustment                              ")</f>
        <v xml:space="preserve">     Inventory Adjustment                              </v>
      </c>
      <c r="C190" s="13"/>
      <c r="D190" s="1">
        <f>SUM(OSRRefD22_14x_0)</f>
        <v>-28100</v>
      </c>
      <c r="E190" s="1"/>
      <c r="F190" s="5">
        <f t="shared" si="79"/>
        <v>-0.10622283214036779</v>
      </c>
      <c r="G190" s="1"/>
      <c r="H190" s="1">
        <f>SUM(OSRRefH22_14x_0)</f>
        <v>46100</v>
      </c>
      <c r="I190" s="1"/>
      <c r="J190" s="5">
        <f t="shared" si="80"/>
        <v>0.12171392211893113</v>
      </c>
      <c r="K190" s="1"/>
      <c r="L190" s="1">
        <f t="shared" si="81"/>
        <v>-74200</v>
      </c>
      <c r="M190" s="1"/>
      <c r="N190" s="5">
        <f t="shared" si="82"/>
        <v>-1.6095444685466378</v>
      </c>
      <c r="O190" s="13"/>
      <c r="P190" s="1">
        <f>SUM(OSRRefP22_14x_0)</f>
        <v>0</v>
      </c>
      <c r="Q190" s="1"/>
      <c r="R190" s="5">
        <f t="shared" si="83"/>
        <v>0</v>
      </c>
      <c r="S190" s="1"/>
      <c r="T190" s="1">
        <f>SUM(OSRRefT22_14x_0)</f>
        <v>85200</v>
      </c>
      <c r="U190" s="1"/>
      <c r="V190" s="5">
        <f t="shared" si="84"/>
        <v>8.7342690892986755E-3</v>
      </c>
      <c r="W190" s="1"/>
      <c r="X190" s="1">
        <f t="shared" si="85"/>
        <v>-85200</v>
      </c>
      <c r="Y190" s="1"/>
      <c r="Z190" s="5">
        <f t="shared" si="86"/>
        <v>-1</v>
      </c>
    </row>
    <row r="191" spans="1:26" s="24" customFormat="1" hidden="1" outlineLevel="2" x14ac:dyDescent="0.25">
      <c r="A191" s="26"/>
      <c r="B191" s="11" t="str">
        <f>CONCATENATE("          ", "6408", " - ", "INVENTORY ADJUSTMENT")</f>
        <v xml:space="preserve">          6408 - INVENTORY ADJUSTMENT</v>
      </c>
      <c r="C191" s="11"/>
      <c r="D191" s="6">
        <v>-28100</v>
      </c>
      <c r="E191" s="2"/>
      <c r="F191" s="7">
        <f t="shared" si="79"/>
        <v>-0.10622283214036779</v>
      </c>
      <c r="G191" s="2"/>
      <c r="H191" s="6">
        <v>46100</v>
      </c>
      <c r="I191" s="2"/>
      <c r="J191" s="7">
        <f t="shared" si="80"/>
        <v>0.12171392211893113</v>
      </c>
      <c r="K191" s="2"/>
      <c r="L191" s="6">
        <f t="shared" si="81"/>
        <v>-74200</v>
      </c>
      <c r="M191" s="2"/>
      <c r="N191" s="7">
        <f t="shared" si="82"/>
        <v>-1.6095444685466378</v>
      </c>
      <c r="O191" s="11"/>
      <c r="P191" s="6">
        <v>0</v>
      </c>
      <c r="Q191" s="2"/>
      <c r="R191" s="7">
        <f t="shared" si="83"/>
        <v>0</v>
      </c>
      <c r="S191" s="2"/>
      <c r="T191" s="6">
        <v>85200</v>
      </c>
      <c r="U191" s="2"/>
      <c r="V191" s="7">
        <f t="shared" si="84"/>
        <v>8.7342690892986755E-3</v>
      </c>
      <c r="W191" s="2"/>
      <c r="X191" s="6">
        <f t="shared" si="85"/>
        <v>-85200</v>
      </c>
      <c r="Y191" s="2"/>
      <c r="Z191" s="7">
        <f t="shared" si="86"/>
        <v>-1</v>
      </c>
    </row>
    <row r="192" spans="1:26" s="24" customFormat="1" hidden="1" outlineLevel="2" x14ac:dyDescent="0.25">
      <c r="A192" s="26"/>
      <c r="B192" s="11" t="str">
        <f>CONCATENATE("          ", "7741", " - ", "INV. SHRINKAGE-LOGO GIFTS")</f>
        <v xml:space="preserve">          7741 - INV. SHRINKAGE-LOGO GIFTS</v>
      </c>
      <c r="C192" s="11"/>
      <c r="D192" s="6"/>
      <c r="E192" s="2"/>
      <c r="F192" s="7">
        <f t="shared" si="79"/>
        <v>0</v>
      </c>
      <c r="G192" s="2"/>
      <c r="H192" s="6"/>
      <c r="I192" s="2"/>
      <c r="J192" s="7">
        <f t="shared" si="80"/>
        <v>0</v>
      </c>
      <c r="K192" s="2"/>
      <c r="L192" s="6">
        <f t="shared" si="81"/>
        <v>0</v>
      </c>
      <c r="M192" s="2"/>
      <c r="N192" s="7">
        <f t="shared" si="82"/>
        <v>0</v>
      </c>
      <c r="O192" s="11"/>
      <c r="P192" s="6">
        <v>0</v>
      </c>
      <c r="Q192" s="2"/>
      <c r="R192" s="7">
        <f t="shared" si="83"/>
        <v>0</v>
      </c>
      <c r="S192" s="2"/>
      <c r="T192" s="6"/>
      <c r="U192" s="2"/>
      <c r="V192" s="7">
        <f t="shared" si="84"/>
        <v>0</v>
      </c>
      <c r="W192" s="2"/>
      <c r="X192" s="6">
        <f t="shared" si="85"/>
        <v>0</v>
      </c>
      <c r="Y192" s="2"/>
      <c r="Z192" s="7">
        <f t="shared" si="86"/>
        <v>0</v>
      </c>
    </row>
    <row r="193" spans="1:26" s="27" customFormat="1" outlineLevel="1" collapsed="1" x14ac:dyDescent="0.25">
      <c r="A193" s="25"/>
      <c r="B193" s="13" t="str">
        <f>CONCATENATE("     ","Professional Services                             ")</f>
        <v xml:space="preserve">     Professional Services                             </v>
      </c>
      <c r="C193" s="13"/>
      <c r="D193" s="1">
        <f>SUM(OSRRefD22_15x_0)</f>
        <v>1966.87</v>
      </c>
      <c r="E193" s="1"/>
      <c r="F193" s="5">
        <f t="shared" ref="F193:F201" si="87">IF(D$12=0,0,D193/D$12)</f>
        <v>7.4351068274706479E-3</v>
      </c>
      <c r="G193" s="1"/>
      <c r="H193" s="1">
        <f>SUM(OSRRefH22_15x_0)</f>
        <v>0</v>
      </c>
      <c r="I193" s="1"/>
      <c r="J193" s="5">
        <f t="shared" ref="J193:J201" si="88">IF(H$12=0,0,H193/H$12)</f>
        <v>0</v>
      </c>
      <c r="K193" s="1"/>
      <c r="L193" s="1">
        <f t="shared" ref="L193:L201" si="89">+D193-H193</f>
        <v>1966.87</v>
      </c>
      <c r="M193" s="1"/>
      <c r="N193" s="5">
        <f t="shared" ref="N193:N201" si="90">IF(H193=0,0,L193/H193)</f>
        <v>0</v>
      </c>
      <c r="O193" s="13"/>
      <c r="P193" s="1">
        <f>SUM(OSRRefP22_15x_0)</f>
        <v>1966.87</v>
      </c>
      <c r="Q193" s="1"/>
      <c r="R193" s="5">
        <f t="shared" ref="R193:R201" si="91">IF(P$12=0,0,P193/P$12)</f>
        <v>3.5912648392695686E-4</v>
      </c>
      <c r="S193" s="1"/>
      <c r="T193" s="1">
        <f>SUM(OSRRefT22_15x_0)</f>
        <v>7300</v>
      </c>
      <c r="U193" s="1"/>
      <c r="V193" s="5">
        <f t="shared" ref="V193:V201" si="92">IF(T$12=0,0,T193/T$12)</f>
        <v>7.4835873652441705E-4</v>
      </c>
      <c r="W193" s="1"/>
      <c r="X193" s="1">
        <f t="shared" ref="X193:X201" si="93">+P193-T193</f>
        <v>-5333.13</v>
      </c>
      <c r="Y193" s="1"/>
      <c r="Z193" s="5">
        <f t="shared" ref="Z193:Z201" si="94">IF(T193=0,0,X193/T193)</f>
        <v>-0.73056575342465757</v>
      </c>
    </row>
    <row r="194" spans="1:26" s="24" customFormat="1" hidden="1" outlineLevel="2" x14ac:dyDescent="0.25">
      <c r="A194" s="26"/>
      <c r="B194" s="11" t="str">
        <f>CONCATENATE("          ", "6336", " - ", "PROFESSIONAL SERVICES")</f>
        <v xml:space="preserve">          6336 - PROFESSIONAL SERVICES</v>
      </c>
      <c r="C194" s="11"/>
      <c r="D194" s="6">
        <v>1966.87</v>
      </c>
      <c r="E194" s="2"/>
      <c r="F194" s="7">
        <f t="shared" si="87"/>
        <v>7.4351068274706479E-3</v>
      </c>
      <c r="G194" s="2"/>
      <c r="H194" s="6">
        <v>0</v>
      </c>
      <c r="I194" s="2"/>
      <c r="J194" s="7">
        <f t="shared" si="88"/>
        <v>0</v>
      </c>
      <c r="K194" s="2"/>
      <c r="L194" s="6">
        <f t="shared" si="89"/>
        <v>1966.87</v>
      </c>
      <c r="M194" s="2"/>
      <c r="N194" s="7">
        <f t="shared" si="90"/>
        <v>0</v>
      </c>
      <c r="O194" s="11"/>
      <c r="P194" s="6">
        <v>1966.87</v>
      </c>
      <c r="Q194" s="2"/>
      <c r="R194" s="7">
        <f t="shared" si="91"/>
        <v>3.5912648392695686E-4</v>
      </c>
      <c r="S194" s="2"/>
      <c r="T194" s="6">
        <v>7300</v>
      </c>
      <c r="U194" s="2"/>
      <c r="V194" s="7">
        <f t="shared" si="92"/>
        <v>7.4835873652441705E-4</v>
      </c>
      <c r="W194" s="2"/>
      <c r="X194" s="6">
        <f t="shared" si="93"/>
        <v>-5333.13</v>
      </c>
      <c r="Y194" s="2"/>
      <c r="Z194" s="7">
        <f t="shared" si="94"/>
        <v>-0.73056575342465757</v>
      </c>
    </row>
    <row r="195" spans="1:26" s="27" customFormat="1" outlineLevel="1" collapsed="1" x14ac:dyDescent="0.25">
      <c r="A195" s="25"/>
      <c r="B195" s="13" t="str">
        <f>CONCATENATE("     ","Rent                                              ")</f>
        <v xml:space="preserve">     Rent                                              </v>
      </c>
      <c r="C195" s="13"/>
      <c r="D195" s="1">
        <f>SUM(OSRRefD22_16x_0)</f>
        <v>6100</v>
      </c>
      <c r="E195" s="1"/>
      <c r="F195" s="5">
        <f t="shared" si="87"/>
        <v>2.305904896997308E-2</v>
      </c>
      <c r="G195" s="1"/>
      <c r="H195" s="1">
        <f>SUM(OSRRefH22_16x_0)</f>
        <v>6100</v>
      </c>
      <c r="I195" s="1"/>
      <c r="J195" s="5">
        <f t="shared" si="88"/>
        <v>1.6105312905108023E-2</v>
      </c>
      <c r="K195" s="1"/>
      <c r="L195" s="1">
        <f t="shared" si="89"/>
        <v>0</v>
      </c>
      <c r="M195" s="1"/>
      <c r="N195" s="5">
        <f t="shared" si="90"/>
        <v>0</v>
      </c>
      <c r="O195" s="13"/>
      <c r="P195" s="1">
        <f>SUM(OSRRefP22_16x_0)</f>
        <v>73200</v>
      </c>
      <c r="Q195" s="1"/>
      <c r="R195" s="5">
        <f t="shared" si="91"/>
        <v>1.3365427620256165E-2</v>
      </c>
      <c r="S195" s="1"/>
      <c r="T195" s="1">
        <f>SUM(OSRRefT22_16x_0)</f>
        <v>73201</v>
      </c>
      <c r="U195" s="1"/>
      <c r="V195" s="5">
        <f t="shared" si="92"/>
        <v>7.5041928592224447E-3</v>
      </c>
      <c r="W195" s="1"/>
      <c r="X195" s="1">
        <f t="shared" si="93"/>
        <v>-1</v>
      </c>
      <c r="Y195" s="1"/>
      <c r="Z195" s="5">
        <f t="shared" si="94"/>
        <v>-1.3661015559896723E-5</v>
      </c>
    </row>
    <row r="196" spans="1:26" s="24" customFormat="1" hidden="1" outlineLevel="2" x14ac:dyDescent="0.25">
      <c r="A196" s="26"/>
      <c r="B196" s="11" t="str">
        <f>CONCATENATE("          ", "6273", " - ", "RENT")</f>
        <v xml:space="preserve">          6273 - RENT</v>
      </c>
      <c r="C196" s="11"/>
      <c r="D196" s="6">
        <v>6100</v>
      </c>
      <c r="E196" s="2"/>
      <c r="F196" s="7">
        <f t="shared" si="87"/>
        <v>2.305904896997308E-2</v>
      </c>
      <c r="G196" s="2"/>
      <c r="H196" s="6">
        <v>6100</v>
      </c>
      <c r="I196" s="2"/>
      <c r="J196" s="7">
        <f t="shared" si="88"/>
        <v>1.6105312905108023E-2</v>
      </c>
      <c r="K196" s="2"/>
      <c r="L196" s="6">
        <f t="shared" si="89"/>
        <v>0</v>
      </c>
      <c r="M196" s="2"/>
      <c r="N196" s="7">
        <f t="shared" si="90"/>
        <v>0</v>
      </c>
      <c r="O196" s="11"/>
      <c r="P196" s="6">
        <v>73200</v>
      </c>
      <c r="Q196" s="2"/>
      <c r="R196" s="7">
        <f t="shared" si="91"/>
        <v>1.3365427620256165E-2</v>
      </c>
      <c r="S196" s="2"/>
      <c r="T196" s="6">
        <v>73201</v>
      </c>
      <c r="U196" s="2"/>
      <c r="V196" s="7">
        <f t="shared" si="92"/>
        <v>7.5041928592224447E-3</v>
      </c>
      <c r="W196" s="2"/>
      <c r="X196" s="6">
        <f t="shared" si="93"/>
        <v>-1</v>
      </c>
      <c r="Y196" s="2"/>
      <c r="Z196" s="7">
        <f t="shared" si="94"/>
        <v>-1.3661015559896723E-5</v>
      </c>
    </row>
    <row r="197" spans="1:26" s="27" customFormat="1" outlineLevel="1" collapsed="1" x14ac:dyDescent="0.25">
      <c r="A197" s="25"/>
      <c r="B197" s="13" t="str">
        <f>CONCATENATE("     ","Repair and Maintenance                            ")</f>
        <v xml:space="preserve">     Repair and Maintenance                            </v>
      </c>
      <c r="C197" s="13"/>
      <c r="D197" s="1">
        <f>SUM(OSRRefD22_17x_0)</f>
        <v>18155.689999999999</v>
      </c>
      <c r="E197" s="1"/>
      <c r="F197" s="5">
        <f t="shared" si="87"/>
        <v>6.8631630294041068E-2</v>
      </c>
      <c r="G197" s="1"/>
      <c r="H197" s="1">
        <f>SUM(OSRRefH22_17x_0)</f>
        <v>12225</v>
      </c>
      <c r="I197" s="1"/>
      <c r="J197" s="5">
        <f t="shared" si="88"/>
        <v>3.2276631190974688E-2</v>
      </c>
      <c r="K197" s="1"/>
      <c r="L197" s="1">
        <f t="shared" si="89"/>
        <v>5930.6899999999987</v>
      </c>
      <c r="M197" s="1"/>
      <c r="N197" s="5">
        <f t="shared" si="90"/>
        <v>0.48512801635991809</v>
      </c>
      <c r="O197" s="13"/>
      <c r="P197" s="1">
        <f>SUM(OSRRefP22_17x_0)</f>
        <v>163342.03</v>
      </c>
      <c r="Q197" s="1"/>
      <c r="R197" s="5">
        <f t="shared" si="91"/>
        <v>2.9824263378561627E-2</v>
      </c>
      <c r="S197" s="1"/>
      <c r="T197" s="1">
        <f>SUM(OSRRefT22_17x_0)</f>
        <v>239962</v>
      </c>
      <c r="U197" s="1"/>
      <c r="V197" s="5">
        <f t="shared" si="92"/>
        <v>2.4599679333407145E-2</v>
      </c>
      <c r="W197" s="1"/>
      <c r="X197" s="1">
        <f t="shared" si="93"/>
        <v>-76619.97</v>
      </c>
      <c r="Y197" s="1"/>
      <c r="Z197" s="5">
        <f t="shared" si="94"/>
        <v>-0.31930043090155941</v>
      </c>
    </row>
    <row r="198" spans="1:26" s="24" customFormat="1" hidden="1" outlineLevel="2" x14ac:dyDescent="0.25">
      <c r="A198" s="26"/>
      <c r="B198" s="11" t="str">
        <f>CONCATENATE("          ", "6371", " - ", "COMPUTER SOFTWARE MAINTENANCE")</f>
        <v xml:space="preserve">          6371 - COMPUTER SOFTWARE MAINTENANCE</v>
      </c>
      <c r="C198" s="11"/>
      <c r="D198" s="6"/>
      <c r="E198" s="2"/>
      <c r="F198" s="7">
        <f t="shared" si="87"/>
        <v>0</v>
      </c>
      <c r="G198" s="2"/>
      <c r="H198" s="6"/>
      <c r="I198" s="2"/>
      <c r="J198" s="7">
        <f t="shared" si="88"/>
        <v>0</v>
      </c>
      <c r="K198" s="2"/>
      <c r="L198" s="6">
        <f t="shared" si="89"/>
        <v>0</v>
      </c>
      <c r="M198" s="2"/>
      <c r="N198" s="7">
        <f t="shared" si="90"/>
        <v>0</v>
      </c>
      <c r="O198" s="11"/>
      <c r="P198" s="6">
        <v>59767.72</v>
      </c>
      <c r="Q198" s="2"/>
      <c r="R198" s="7">
        <f t="shared" si="91"/>
        <v>1.0912857044914437E-2</v>
      </c>
      <c r="S198" s="2"/>
      <c r="T198" s="6">
        <v>57043</v>
      </c>
      <c r="U198" s="2"/>
      <c r="V198" s="7">
        <f t="shared" si="92"/>
        <v>5.847757179118126E-3</v>
      </c>
      <c r="W198" s="2"/>
      <c r="X198" s="6">
        <f t="shared" si="93"/>
        <v>2724.7200000000012</v>
      </c>
      <c r="Y198" s="2"/>
      <c r="Z198" s="7">
        <f t="shared" si="94"/>
        <v>4.7766071209438515E-2</v>
      </c>
    </row>
    <row r="199" spans="1:26" s="24" customFormat="1" hidden="1" outlineLevel="2" x14ac:dyDescent="0.25">
      <c r="A199" s="26"/>
      <c r="B199" s="11" t="str">
        <f>CONCATENATE("          ", "6372", " - ", "COMPUTER HARDWARE MAINTENANCE")</f>
        <v xml:space="preserve">          6372 - COMPUTER HARDWARE MAINTENANCE</v>
      </c>
      <c r="C199" s="11"/>
      <c r="D199" s="6"/>
      <c r="E199" s="2"/>
      <c r="F199" s="7">
        <f t="shared" si="87"/>
        <v>0</v>
      </c>
      <c r="G199" s="2"/>
      <c r="H199" s="6"/>
      <c r="I199" s="2"/>
      <c r="J199" s="7">
        <f t="shared" si="88"/>
        <v>0</v>
      </c>
      <c r="K199" s="2"/>
      <c r="L199" s="6">
        <f t="shared" si="89"/>
        <v>0</v>
      </c>
      <c r="M199" s="2"/>
      <c r="N199" s="7">
        <f t="shared" si="90"/>
        <v>0</v>
      </c>
      <c r="O199" s="11"/>
      <c r="P199" s="6">
        <v>-1.1499999999999999</v>
      </c>
      <c r="Q199" s="2"/>
      <c r="R199" s="7">
        <f t="shared" si="91"/>
        <v>-2.0997598037287688E-7</v>
      </c>
      <c r="S199" s="2"/>
      <c r="T199" s="6">
        <v>437</v>
      </c>
      <c r="U199" s="2"/>
      <c r="V199" s="7">
        <f t="shared" si="92"/>
        <v>4.4799009296050714E-5</v>
      </c>
      <c r="W199" s="2"/>
      <c r="X199" s="6">
        <f t="shared" si="93"/>
        <v>-438.15</v>
      </c>
      <c r="Y199" s="2"/>
      <c r="Z199" s="7">
        <f t="shared" si="94"/>
        <v>-1.0026315789473683</v>
      </c>
    </row>
    <row r="200" spans="1:26" s="24" customFormat="1" hidden="1" outlineLevel="2" x14ac:dyDescent="0.25">
      <c r="A200" s="26"/>
      <c r="B200" s="11" t="str">
        <f>CONCATENATE("          ", "6373", " - ", "MAINTENANCE CONTRACTS")</f>
        <v xml:space="preserve">          6373 - MAINTENANCE CONTRACTS</v>
      </c>
      <c r="C200" s="11"/>
      <c r="D200" s="6">
        <v>2384.71</v>
      </c>
      <c r="E200" s="2"/>
      <c r="F200" s="7">
        <f t="shared" si="87"/>
        <v>9.0146138801941809E-3</v>
      </c>
      <c r="G200" s="2"/>
      <c r="H200" s="6">
        <v>3540</v>
      </c>
      <c r="I200" s="2"/>
      <c r="J200" s="7">
        <f t="shared" si="88"/>
        <v>9.3463619154233457E-3</v>
      </c>
      <c r="K200" s="2"/>
      <c r="L200" s="6">
        <f t="shared" si="89"/>
        <v>-1155.29</v>
      </c>
      <c r="M200" s="2"/>
      <c r="N200" s="7">
        <f t="shared" si="90"/>
        <v>-0.32635310734463274</v>
      </c>
      <c r="O200" s="11"/>
      <c r="P200" s="6">
        <v>52948.78</v>
      </c>
      <c r="Q200" s="2"/>
      <c r="R200" s="7">
        <f t="shared" si="91"/>
        <v>9.6678017304763272E-3</v>
      </c>
      <c r="S200" s="2"/>
      <c r="T200" s="6">
        <v>77711</v>
      </c>
      <c r="U200" s="2"/>
      <c r="V200" s="7">
        <f t="shared" si="92"/>
        <v>7.966535037540955E-3</v>
      </c>
      <c r="W200" s="2"/>
      <c r="X200" s="6">
        <f t="shared" si="93"/>
        <v>-24762.22</v>
      </c>
      <c r="Y200" s="2"/>
      <c r="Z200" s="7">
        <f t="shared" si="94"/>
        <v>-0.31864497947523518</v>
      </c>
    </row>
    <row r="201" spans="1:26" s="24" customFormat="1" hidden="1" outlineLevel="2" x14ac:dyDescent="0.25">
      <c r="A201" s="26"/>
      <c r="B201" s="11" t="str">
        <f>CONCATENATE("          ", "6375", " - ", "OUTSIDE REPAIRS &amp; MAINTENANCE")</f>
        <v xml:space="preserve">          6375 - OUTSIDE REPAIRS &amp; MAINTENANCE</v>
      </c>
      <c r="C201" s="11"/>
      <c r="D201" s="6">
        <v>15770.98</v>
      </c>
      <c r="E201" s="2"/>
      <c r="F201" s="7">
        <f t="shared" si="87"/>
        <v>5.9617016413846889E-2</v>
      </c>
      <c r="G201" s="2"/>
      <c r="H201" s="6">
        <v>8685</v>
      </c>
      <c r="I201" s="2"/>
      <c r="J201" s="7">
        <f t="shared" si="88"/>
        <v>2.2930269275551342E-2</v>
      </c>
      <c r="K201" s="2"/>
      <c r="L201" s="6">
        <f t="shared" si="89"/>
        <v>7085.98</v>
      </c>
      <c r="M201" s="2"/>
      <c r="N201" s="7">
        <f t="shared" si="90"/>
        <v>0.81588716177317211</v>
      </c>
      <c r="O201" s="11"/>
      <c r="P201" s="6">
        <v>50626.68</v>
      </c>
      <c r="Q201" s="2"/>
      <c r="R201" s="7">
        <f t="shared" si="91"/>
        <v>9.2438145791512352E-3</v>
      </c>
      <c r="S201" s="2"/>
      <c r="T201" s="6">
        <v>104771</v>
      </c>
      <c r="U201" s="2"/>
      <c r="V201" s="7">
        <f t="shared" si="92"/>
        <v>1.0740588107452013E-2</v>
      </c>
      <c r="W201" s="2"/>
      <c r="X201" s="6">
        <f t="shared" si="93"/>
        <v>-54144.32</v>
      </c>
      <c r="Y201" s="2"/>
      <c r="Z201" s="7">
        <f t="shared" si="94"/>
        <v>-0.51678727892260268</v>
      </c>
    </row>
    <row r="202" spans="1:26" s="27" customFormat="1" outlineLevel="1" collapsed="1" x14ac:dyDescent="0.25">
      <c r="A202" s="25"/>
      <c r="B202" s="13" t="str">
        <f>CONCATENATE("     ","Royalty &amp; Commissions                             ")</f>
        <v xml:space="preserve">     Royalty &amp; Commissions                             </v>
      </c>
      <c r="C202" s="13"/>
      <c r="D202" s="1">
        <f>SUM(OSRRefD22_18x_0)</f>
        <v>2549.25</v>
      </c>
      <c r="E202" s="1"/>
      <c r="F202" s="5">
        <f t="shared" ref="F202:F206" si="95">IF(D$12=0,0,D202/D$12)</f>
        <v>9.6366033748694884E-3</v>
      </c>
      <c r="G202" s="1"/>
      <c r="H202" s="1">
        <f>SUM(OSRRefH22_18x_0)</f>
        <v>7171</v>
      </c>
      <c r="I202" s="1"/>
      <c r="J202" s="5">
        <f t="shared" ref="J202:J206" si="96">IF(H$12=0,0,H202/H$12)</f>
        <v>1.8932983416808137E-2</v>
      </c>
      <c r="K202" s="1"/>
      <c r="L202" s="1">
        <f t="shared" ref="L202:L206" si="97">+D202-H202</f>
        <v>-4621.75</v>
      </c>
      <c r="M202" s="1"/>
      <c r="N202" s="5">
        <f t="shared" ref="N202:N206" si="98">IF(H202=0,0,L202/H202)</f>
        <v>-0.64450564774787333</v>
      </c>
      <c r="O202" s="13"/>
      <c r="P202" s="1">
        <f>SUM(OSRRefP22_18x_0)</f>
        <v>51521.88</v>
      </c>
      <c r="Q202" s="1"/>
      <c r="R202" s="5">
        <f t="shared" ref="R202:R206" si="99">IF(P$12=0,0,P202/P$12)</f>
        <v>9.407267185785842E-3</v>
      </c>
      <c r="S202" s="1"/>
      <c r="T202" s="1">
        <f>SUM(OSRRefT22_18x_0)</f>
        <v>121722</v>
      </c>
      <c r="U202" s="1"/>
      <c r="V202" s="5">
        <f t="shared" ref="V202:V206" si="100">IF(T$12=0,0,T202/T$12)</f>
        <v>1.2478318099619875E-2</v>
      </c>
      <c r="W202" s="1"/>
      <c r="X202" s="1">
        <f t="shared" ref="X202:X206" si="101">+P202-T202</f>
        <v>-70200.12</v>
      </c>
      <c r="Y202" s="1"/>
      <c r="Z202" s="5">
        <f t="shared" ref="Z202:Z206" si="102">IF(T202=0,0,X202/T202)</f>
        <v>-0.57672499630305119</v>
      </c>
    </row>
    <row r="203" spans="1:26" s="24" customFormat="1" hidden="1" outlineLevel="2" x14ac:dyDescent="0.25">
      <c r="A203" s="26"/>
      <c r="B203" s="11" t="str">
        <f>CONCATENATE("          ", "6252", " - ", "ROYALTY DUE CSTV")</f>
        <v xml:space="preserve">          6252 - ROYALTY DUE CSTV</v>
      </c>
      <c r="C203" s="11"/>
      <c r="D203" s="6"/>
      <c r="E203" s="2"/>
      <c r="F203" s="7">
        <f t="shared" si="95"/>
        <v>0</v>
      </c>
      <c r="G203" s="2"/>
      <c r="H203" s="6">
        <v>1085</v>
      </c>
      <c r="I203" s="2"/>
      <c r="J203" s="7">
        <f t="shared" si="96"/>
        <v>2.8646335249249517E-3</v>
      </c>
      <c r="K203" s="2"/>
      <c r="L203" s="6">
        <f t="shared" si="97"/>
        <v>-1085</v>
      </c>
      <c r="M203" s="2"/>
      <c r="N203" s="7">
        <f t="shared" si="98"/>
        <v>-1</v>
      </c>
      <c r="O203" s="11"/>
      <c r="P203" s="6"/>
      <c r="Q203" s="2"/>
      <c r="R203" s="7">
        <f t="shared" si="99"/>
        <v>0</v>
      </c>
      <c r="S203" s="2"/>
      <c r="T203" s="6">
        <v>13020</v>
      </c>
      <c r="U203" s="2"/>
      <c r="V203" s="7">
        <f t="shared" si="100"/>
        <v>1.3347439382942342E-3</v>
      </c>
      <c r="W203" s="2"/>
      <c r="X203" s="6">
        <f t="shared" si="101"/>
        <v>-13020</v>
      </c>
      <c r="Y203" s="2"/>
      <c r="Z203" s="7">
        <f t="shared" si="102"/>
        <v>-1</v>
      </c>
    </row>
    <row r="204" spans="1:26" s="24" customFormat="1" hidden="1" outlineLevel="2" x14ac:dyDescent="0.25">
      <c r="A204" s="26"/>
      <c r="B204" s="11" t="str">
        <f>CONCATENATE("          ", "6253", " - ", "ROYALTY DUE ATHLETICS-LRG")</f>
        <v xml:space="preserve">          6253 - ROYALTY DUE ATHLETICS-LRG</v>
      </c>
      <c r="C204" s="11"/>
      <c r="D204" s="6"/>
      <c r="E204" s="2"/>
      <c r="F204" s="7">
        <f t="shared" si="95"/>
        <v>0</v>
      </c>
      <c r="G204" s="2"/>
      <c r="H204" s="6">
        <v>4037</v>
      </c>
      <c r="I204" s="2"/>
      <c r="J204" s="7">
        <f t="shared" si="96"/>
        <v>1.0658548884905097E-2</v>
      </c>
      <c r="K204" s="2"/>
      <c r="L204" s="6">
        <f t="shared" si="97"/>
        <v>-4037</v>
      </c>
      <c r="M204" s="2"/>
      <c r="N204" s="7">
        <f t="shared" si="98"/>
        <v>-1</v>
      </c>
      <c r="O204" s="11"/>
      <c r="P204" s="6">
        <v>35159.06</v>
      </c>
      <c r="Q204" s="2"/>
      <c r="R204" s="7">
        <f t="shared" si="99"/>
        <v>6.4196157325989572E-3</v>
      </c>
      <c r="S204" s="2"/>
      <c r="T204" s="6">
        <v>48444</v>
      </c>
      <c r="U204" s="2"/>
      <c r="V204" s="7">
        <f t="shared" si="100"/>
        <v>4.9662315934505281E-3</v>
      </c>
      <c r="W204" s="2"/>
      <c r="X204" s="6">
        <f t="shared" si="101"/>
        <v>-13284.940000000002</v>
      </c>
      <c r="Y204" s="2"/>
      <c r="Z204" s="7">
        <f t="shared" si="102"/>
        <v>-0.27423292874246558</v>
      </c>
    </row>
    <row r="205" spans="1:26" s="24" customFormat="1" hidden="1" outlineLevel="2" x14ac:dyDescent="0.25">
      <c r="A205" s="26"/>
      <c r="B205" s="11" t="str">
        <f>CONCATENATE("          ", "6254", " - ", "ROYALTY &amp; COMMISSIONS")</f>
        <v xml:space="preserve">          6254 - ROYALTY &amp; COMMISSIONS</v>
      </c>
      <c r="C205" s="11"/>
      <c r="D205" s="6"/>
      <c r="E205" s="2"/>
      <c r="F205" s="7">
        <f t="shared" si="95"/>
        <v>0</v>
      </c>
      <c r="G205" s="2"/>
      <c r="H205" s="6">
        <v>1149</v>
      </c>
      <c r="I205" s="2"/>
      <c r="J205" s="7">
        <f t="shared" si="96"/>
        <v>3.0336072996670687E-3</v>
      </c>
      <c r="K205" s="2"/>
      <c r="L205" s="6">
        <f t="shared" si="97"/>
        <v>-1149</v>
      </c>
      <c r="M205" s="2"/>
      <c r="N205" s="7">
        <f t="shared" si="98"/>
        <v>-1</v>
      </c>
      <c r="O205" s="11"/>
      <c r="P205" s="6">
        <v>185.7</v>
      </c>
      <c r="Q205" s="2"/>
      <c r="R205" s="7">
        <f t="shared" si="99"/>
        <v>3.3906556134994119E-5</v>
      </c>
      <c r="S205" s="2"/>
      <c r="T205" s="6">
        <v>13788</v>
      </c>
      <c r="U205" s="2"/>
      <c r="V205" s="7">
        <f t="shared" si="100"/>
        <v>1.4134753779724194E-3</v>
      </c>
      <c r="W205" s="2"/>
      <c r="X205" s="6">
        <f t="shared" si="101"/>
        <v>-13602.3</v>
      </c>
      <c r="Y205" s="2"/>
      <c r="Z205" s="7">
        <f t="shared" si="102"/>
        <v>-0.9865317667536988</v>
      </c>
    </row>
    <row r="206" spans="1:26" s="24" customFormat="1" hidden="1" outlineLevel="2" x14ac:dyDescent="0.25">
      <c r="A206" s="26"/>
      <c r="B206" s="11" t="str">
        <f>CONCATENATE("          ", "6259", " - ", "ROYALTY &amp; COMMISSIONS")</f>
        <v xml:space="preserve">          6259 - ROYALTY &amp; COMMISSIONS</v>
      </c>
      <c r="C206" s="11"/>
      <c r="D206" s="6">
        <v>2549.25</v>
      </c>
      <c r="E206" s="2"/>
      <c r="F206" s="7">
        <f t="shared" si="95"/>
        <v>9.6366033748694884E-3</v>
      </c>
      <c r="G206" s="2"/>
      <c r="H206" s="6">
        <v>900</v>
      </c>
      <c r="I206" s="2"/>
      <c r="J206" s="7">
        <f t="shared" si="96"/>
        <v>2.3761937073110201E-3</v>
      </c>
      <c r="K206" s="2"/>
      <c r="L206" s="6">
        <f t="shared" si="97"/>
        <v>1649.25</v>
      </c>
      <c r="M206" s="2"/>
      <c r="N206" s="7">
        <f t="shared" si="98"/>
        <v>1.8325</v>
      </c>
      <c r="O206" s="11"/>
      <c r="P206" s="6">
        <v>16177.12</v>
      </c>
      <c r="Q206" s="2"/>
      <c r="R206" s="7">
        <f t="shared" si="99"/>
        <v>2.953744897051891E-3</v>
      </c>
      <c r="S206" s="2"/>
      <c r="T206" s="6">
        <v>46470</v>
      </c>
      <c r="U206" s="2"/>
      <c r="V206" s="7">
        <f t="shared" si="100"/>
        <v>4.7638671899026932E-3</v>
      </c>
      <c r="W206" s="2"/>
      <c r="X206" s="6">
        <f t="shared" si="101"/>
        <v>-30292.879999999997</v>
      </c>
      <c r="Y206" s="2"/>
      <c r="Z206" s="7">
        <f t="shared" si="102"/>
        <v>-0.65188035291585966</v>
      </c>
    </row>
    <row r="207" spans="1:26" s="27" customFormat="1" outlineLevel="1" collapsed="1" x14ac:dyDescent="0.25">
      <c r="A207" s="25"/>
      <c r="B207" s="13" t="str">
        <f>CONCATENATE("     ","Services                                          ")</f>
        <v xml:space="preserve">     Services                                          </v>
      </c>
      <c r="C207" s="13"/>
      <c r="D207" s="1">
        <f>SUM(OSRRefD22_19x_0)</f>
        <v>4885.97</v>
      </c>
      <c r="E207" s="1"/>
      <c r="F207" s="5">
        <f t="shared" ref="F207:F212" si="103">IF(D$12=0,0,D207/D$12)</f>
        <v>1.8469806802593341E-2</v>
      </c>
      <c r="G207" s="1"/>
      <c r="H207" s="1">
        <f>SUM(OSRRefH22_19x_0)</f>
        <v>5575</v>
      </c>
      <c r="I207" s="1"/>
      <c r="J207" s="5">
        <f t="shared" ref="J207:J212" si="104">IF(H$12=0,0,H207/H$12)</f>
        <v>1.4719199909176596E-2</v>
      </c>
      <c r="K207" s="1"/>
      <c r="L207" s="1">
        <f t="shared" ref="L207:L212" si="105">+D207-H207</f>
        <v>-689.02999999999975</v>
      </c>
      <c r="M207" s="1"/>
      <c r="N207" s="5">
        <f t="shared" ref="N207:N212" si="106">IF(H207=0,0,L207/H207)</f>
        <v>-0.12359282511210758</v>
      </c>
      <c r="O207" s="13"/>
      <c r="P207" s="1">
        <f>SUM(OSRRefP22_19x_0)</f>
        <v>52382.73</v>
      </c>
      <c r="Q207" s="1"/>
      <c r="R207" s="5">
        <f t="shared" ref="R207:R212" si="107">IF(P$12=0,0,P207/P$12)</f>
        <v>9.5644479011806182E-3</v>
      </c>
      <c r="S207" s="1"/>
      <c r="T207" s="1">
        <f>SUM(OSRRefT22_19x_0)</f>
        <v>68452</v>
      </c>
      <c r="U207" s="1"/>
      <c r="V207" s="5">
        <f t="shared" ref="V207:V212" si="108">IF(T$12=0,0,T207/T$12)</f>
        <v>7.0173496208999165E-3</v>
      </c>
      <c r="W207" s="1"/>
      <c r="X207" s="1">
        <f t="shared" ref="X207:X212" si="109">+P207-T207</f>
        <v>-16069.269999999997</v>
      </c>
      <c r="Y207" s="1"/>
      <c r="Z207" s="5">
        <f t="shared" ref="Z207:Z212" si="110">IF(T207=0,0,X207/T207)</f>
        <v>-0.23475238123064332</v>
      </c>
    </row>
    <row r="208" spans="1:26" s="24" customFormat="1" hidden="1" outlineLevel="2" x14ac:dyDescent="0.25">
      <c r="A208" s="26"/>
      <c r="B208" s="11" t="str">
        <f>CONCATENATE("          ", "6282", " - ", "JANITORIAL/EXTERMINATOR EXPENS")</f>
        <v xml:space="preserve">          6282 - JANITORIAL/EXTERMINATOR EXPENS</v>
      </c>
      <c r="C208" s="11"/>
      <c r="D208" s="6">
        <v>1070.6500000000001</v>
      </c>
      <c r="E208" s="2"/>
      <c r="F208" s="7">
        <f t="shared" si="103"/>
        <v>4.0472411114265052E-3</v>
      </c>
      <c r="G208" s="2"/>
      <c r="H208" s="6">
        <v>4000</v>
      </c>
      <c r="I208" s="2"/>
      <c r="J208" s="7">
        <f t="shared" si="104"/>
        <v>1.0560860921382311E-2</v>
      </c>
      <c r="K208" s="2"/>
      <c r="L208" s="6">
        <f t="shared" si="105"/>
        <v>-2929.35</v>
      </c>
      <c r="M208" s="2"/>
      <c r="N208" s="7">
        <f t="shared" si="106"/>
        <v>-0.73233749999999997</v>
      </c>
      <c r="O208" s="11"/>
      <c r="P208" s="6">
        <v>11174.83</v>
      </c>
      <c r="Q208" s="2"/>
      <c r="R208" s="7">
        <f t="shared" si="107"/>
        <v>2.0403877258697704E-3</v>
      </c>
      <c r="S208" s="2"/>
      <c r="T208" s="6">
        <v>49616</v>
      </c>
      <c r="U208" s="2"/>
      <c r="V208" s="7">
        <f t="shared" si="108"/>
        <v>5.0863790508760926E-3</v>
      </c>
      <c r="W208" s="2"/>
      <c r="X208" s="6">
        <f t="shared" si="109"/>
        <v>-38441.17</v>
      </c>
      <c r="Y208" s="2"/>
      <c r="Z208" s="7">
        <f t="shared" si="110"/>
        <v>-0.77477366172202511</v>
      </c>
    </row>
    <row r="209" spans="1:26" s="24" customFormat="1" hidden="1" outlineLevel="2" x14ac:dyDescent="0.25">
      <c r="A209" s="26"/>
      <c r="B209" s="11" t="str">
        <f>CONCATENATE("          ", "6283", " - ", "PLANT SERVICE")</f>
        <v xml:space="preserve">          6283 - PLANT SERVICE</v>
      </c>
      <c r="C209" s="11"/>
      <c r="D209" s="6"/>
      <c r="E209" s="2"/>
      <c r="F209" s="7">
        <f t="shared" si="103"/>
        <v>0</v>
      </c>
      <c r="G209" s="2"/>
      <c r="H209" s="6">
        <v>0</v>
      </c>
      <c r="I209" s="2"/>
      <c r="J209" s="7">
        <f t="shared" si="104"/>
        <v>0</v>
      </c>
      <c r="K209" s="2"/>
      <c r="L209" s="6">
        <f t="shared" si="105"/>
        <v>0</v>
      </c>
      <c r="M209" s="2"/>
      <c r="N209" s="7">
        <f t="shared" si="106"/>
        <v>0</v>
      </c>
      <c r="O209" s="11"/>
      <c r="P209" s="6">
        <v>171.31</v>
      </c>
      <c r="Q209" s="2"/>
      <c r="R209" s="7">
        <f t="shared" si="107"/>
        <v>3.1279117563197861E-5</v>
      </c>
      <c r="S209" s="2"/>
      <c r="T209" s="6">
        <v>0</v>
      </c>
      <c r="U209" s="2"/>
      <c r="V209" s="7">
        <f t="shared" si="108"/>
        <v>0</v>
      </c>
      <c r="W209" s="2"/>
      <c r="X209" s="6">
        <f t="shared" si="109"/>
        <v>171.31</v>
      </c>
      <c r="Y209" s="2"/>
      <c r="Z209" s="7">
        <f t="shared" si="110"/>
        <v>0</v>
      </c>
    </row>
    <row r="210" spans="1:26" s="24" customFormat="1" hidden="1" outlineLevel="2" x14ac:dyDescent="0.25">
      <c r="A210" s="26"/>
      <c r="B210" s="11" t="str">
        <f>CONCATENATE("          ", "6284", " - ", "TRASH REMOVAL EXPENSE")</f>
        <v xml:space="preserve">          6284 - TRASH REMOVAL EXPENSE</v>
      </c>
      <c r="C210" s="11"/>
      <c r="D210" s="6">
        <v>-48.43</v>
      </c>
      <c r="E210" s="2"/>
      <c r="F210" s="7">
        <f t="shared" si="103"/>
        <v>-1.830737281337371E-4</v>
      </c>
      <c r="G210" s="2"/>
      <c r="H210" s="6">
        <v>347</v>
      </c>
      <c r="I210" s="2"/>
      <c r="J210" s="7">
        <f t="shared" si="104"/>
        <v>9.1615468492991549E-4</v>
      </c>
      <c r="K210" s="2"/>
      <c r="L210" s="6">
        <f t="shared" si="105"/>
        <v>-395.43</v>
      </c>
      <c r="M210" s="2"/>
      <c r="N210" s="7">
        <f t="shared" si="106"/>
        <v>-1.1395677233429395</v>
      </c>
      <c r="O210" s="11"/>
      <c r="P210" s="6">
        <v>2987.86</v>
      </c>
      <c r="Q210" s="2"/>
      <c r="R210" s="7">
        <f t="shared" si="107"/>
        <v>5.4554681105817738E-4</v>
      </c>
      <c r="S210" s="2"/>
      <c r="T210" s="6">
        <v>4243</v>
      </c>
      <c r="U210" s="2"/>
      <c r="V210" s="7">
        <f t="shared" si="108"/>
        <v>4.349707012428906E-4</v>
      </c>
      <c r="W210" s="2"/>
      <c r="X210" s="6">
        <f t="shared" si="109"/>
        <v>-1255.1399999999999</v>
      </c>
      <c r="Y210" s="2"/>
      <c r="Z210" s="7">
        <f t="shared" si="110"/>
        <v>-0.29581428234739571</v>
      </c>
    </row>
    <row r="211" spans="1:26" s="24" customFormat="1" hidden="1" outlineLevel="2" x14ac:dyDescent="0.25">
      <c r="A211" s="26"/>
      <c r="B211" s="11" t="str">
        <f>CONCATENATE("          ", "6285", " - ", "JANITORIAL SERVICES")</f>
        <v xml:space="preserve">          6285 - JANITORIAL SERVICES</v>
      </c>
      <c r="C211" s="11"/>
      <c r="D211" s="6">
        <v>3863.75</v>
      </c>
      <c r="E211" s="2"/>
      <c r="F211" s="7">
        <f t="shared" si="103"/>
        <v>1.4605639419300572E-2</v>
      </c>
      <c r="G211" s="2"/>
      <c r="H211" s="6">
        <v>1124</v>
      </c>
      <c r="I211" s="2"/>
      <c r="J211" s="7">
        <f t="shared" si="104"/>
        <v>2.9676019189084292E-3</v>
      </c>
      <c r="K211" s="2"/>
      <c r="L211" s="6">
        <f t="shared" si="105"/>
        <v>2739.75</v>
      </c>
      <c r="M211" s="2"/>
      <c r="N211" s="7">
        <f t="shared" si="106"/>
        <v>2.4375</v>
      </c>
      <c r="O211" s="11"/>
      <c r="P211" s="6">
        <v>38048.730000000003</v>
      </c>
      <c r="Q211" s="2"/>
      <c r="R211" s="7">
        <f t="shared" si="107"/>
        <v>6.9472342466894727E-3</v>
      </c>
      <c r="S211" s="2"/>
      <c r="T211" s="6">
        <v>13352</v>
      </c>
      <c r="U211" s="2"/>
      <c r="V211" s="7">
        <f t="shared" si="108"/>
        <v>1.368778883571783E-3</v>
      </c>
      <c r="W211" s="2"/>
      <c r="X211" s="6">
        <f t="shared" si="109"/>
        <v>24696.730000000003</v>
      </c>
      <c r="Y211" s="2"/>
      <c r="Z211" s="7">
        <f t="shared" si="110"/>
        <v>1.8496652186938289</v>
      </c>
    </row>
    <row r="212" spans="1:26" s="24" customFormat="1" hidden="1" outlineLevel="2" x14ac:dyDescent="0.25">
      <c r="A212" s="26"/>
      <c r="B212" s="11" t="str">
        <f>CONCATENATE("          ", "6286", " - ", "LAUNDRY EXPENSE")</f>
        <v xml:space="preserve">          6286 - LAUNDRY EXPENSE</v>
      </c>
      <c r="C212" s="11"/>
      <c r="D212" s="6"/>
      <c r="E212" s="2"/>
      <c r="F212" s="7">
        <f t="shared" si="103"/>
        <v>0</v>
      </c>
      <c r="G212" s="2"/>
      <c r="H212" s="6">
        <v>104</v>
      </c>
      <c r="I212" s="2"/>
      <c r="J212" s="7">
        <f t="shared" si="104"/>
        <v>2.7458238395594006E-4</v>
      </c>
      <c r="K212" s="2"/>
      <c r="L212" s="6">
        <f t="shared" si="105"/>
        <v>-104</v>
      </c>
      <c r="M212" s="2"/>
      <c r="N212" s="7">
        <f t="shared" si="106"/>
        <v>-1</v>
      </c>
      <c r="O212" s="11"/>
      <c r="P212" s="6"/>
      <c r="Q212" s="2"/>
      <c r="R212" s="7">
        <f t="shared" si="107"/>
        <v>0</v>
      </c>
      <c r="S212" s="2"/>
      <c r="T212" s="6">
        <v>1241</v>
      </c>
      <c r="U212" s="2"/>
      <c r="V212" s="7">
        <f t="shared" si="108"/>
        <v>1.2722098520915088E-4</v>
      </c>
      <c r="W212" s="2"/>
      <c r="X212" s="6">
        <f t="shared" si="109"/>
        <v>-1241</v>
      </c>
      <c r="Y212" s="2"/>
      <c r="Z212" s="7">
        <f t="shared" si="110"/>
        <v>-1</v>
      </c>
    </row>
    <row r="213" spans="1:26" s="27" customFormat="1" outlineLevel="1" collapsed="1" x14ac:dyDescent="0.25">
      <c r="A213" s="25"/>
      <c r="B213" s="13" t="str">
        <f>CONCATENATE("     ","Subscriptions &amp; Dues                              ")</f>
        <v xml:space="preserve">     Subscriptions &amp; Dues                              </v>
      </c>
      <c r="C213" s="13"/>
      <c r="D213" s="1">
        <f>SUM(OSRRefD22_20x_0)</f>
        <v>694</v>
      </c>
      <c r="E213" s="1"/>
      <c r="F213" s="5">
        <f t="shared" ref="F213:F215" si="111">IF(D$12=0,0,D213/D$12)</f>
        <v>2.6234393418297242E-3</v>
      </c>
      <c r="G213" s="1"/>
      <c r="H213" s="1">
        <f>SUM(OSRRefH22_20x_0)</f>
        <v>1476</v>
      </c>
      <c r="I213" s="1"/>
      <c r="J213" s="5">
        <f t="shared" ref="J213:J215" si="112">IF(H$12=0,0,H213/H$12)</f>
        <v>3.8969576799900729E-3</v>
      </c>
      <c r="K213" s="1"/>
      <c r="L213" s="1">
        <f t="shared" ref="L213:L215" si="113">+D213-H213</f>
        <v>-782</v>
      </c>
      <c r="M213" s="1"/>
      <c r="N213" s="5">
        <f t="shared" ref="N213:N215" si="114">IF(H213=0,0,L213/H213)</f>
        <v>-0.52981029810298108</v>
      </c>
      <c r="O213" s="13"/>
      <c r="P213" s="1">
        <f>SUM(OSRRefP22_20x_0)</f>
        <v>7983.13</v>
      </c>
      <c r="Q213" s="1"/>
      <c r="R213" s="5">
        <f t="shared" ref="R213:R215" si="115">IF(P$12=0,0,P213/P$12)</f>
        <v>1.4576222158209781E-3</v>
      </c>
      <c r="S213" s="1"/>
      <c r="T213" s="1">
        <f>SUM(OSRRefT22_20x_0)</f>
        <v>18707</v>
      </c>
      <c r="U213" s="1"/>
      <c r="V213" s="5">
        <f t="shared" ref="V213:V215" si="116">IF(T$12=0,0,T213/T$12)</f>
        <v>1.9177461485153794E-3</v>
      </c>
      <c r="W213" s="1"/>
      <c r="X213" s="1">
        <f t="shared" ref="X213:X215" si="117">+P213-T213</f>
        <v>-10723.869999999999</v>
      </c>
      <c r="Y213" s="1"/>
      <c r="Z213" s="5">
        <f t="shared" ref="Z213:Z215" si="118">IF(T213=0,0,X213/T213)</f>
        <v>-0.57325439674987966</v>
      </c>
    </row>
    <row r="214" spans="1:26" s="24" customFormat="1" hidden="1" outlineLevel="2" x14ac:dyDescent="0.25">
      <c r="A214" s="26"/>
      <c r="B214" s="11" t="str">
        <f>CONCATENATE("          ", "6258", " - ", "MEMBERSHIP DUES")</f>
        <v xml:space="preserve">          6258 - MEMBERSHIP DUES</v>
      </c>
      <c r="C214" s="11"/>
      <c r="D214" s="6">
        <v>609</v>
      </c>
      <c r="E214" s="2"/>
      <c r="F214" s="7">
        <f t="shared" si="111"/>
        <v>2.3021247250350173E-3</v>
      </c>
      <c r="G214" s="2"/>
      <c r="H214" s="6">
        <v>1300</v>
      </c>
      <c r="I214" s="2"/>
      <c r="J214" s="7">
        <f t="shared" si="112"/>
        <v>3.432279799449251E-3</v>
      </c>
      <c r="K214" s="2"/>
      <c r="L214" s="6">
        <f t="shared" si="113"/>
        <v>-691</v>
      </c>
      <c r="M214" s="2"/>
      <c r="N214" s="7">
        <f t="shared" si="114"/>
        <v>-0.53153846153846152</v>
      </c>
      <c r="O214" s="11"/>
      <c r="P214" s="6">
        <v>3655.45</v>
      </c>
      <c r="Q214" s="2"/>
      <c r="R214" s="7">
        <f t="shared" si="115"/>
        <v>6.6744060648176774E-4</v>
      </c>
      <c r="S214" s="2"/>
      <c r="T214" s="6">
        <v>14795</v>
      </c>
      <c r="U214" s="2"/>
      <c r="V214" s="7">
        <f t="shared" si="116"/>
        <v>1.5167078776546232E-3</v>
      </c>
      <c r="W214" s="2"/>
      <c r="X214" s="6">
        <f t="shared" si="117"/>
        <v>-11139.55</v>
      </c>
      <c r="Y214" s="2"/>
      <c r="Z214" s="7">
        <f t="shared" si="118"/>
        <v>-0.75292666441365319</v>
      </c>
    </row>
    <row r="215" spans="1:26" s="24" customFormat="1" hidden="1" outlineLevel="2" x14ac:dyDescent="0.25">
      <c r="A215" s="26"/>
      <c r="B215" s="11" t="str">
        <f>CONCATENATE("          ", "6275", " - ", "SUBSCRIPTIONS")</f>
        <v xml:space="preserve">          6275 - SUBSCRIPTIONS</v>
      </c>
      <c r="C215" s="11"/>
      <c r="D215" s="6">
        <v>85</v>
      </c>
      <c r="E215" s="2"/>
      <c r="F215" s="7">
        <f t="shared" si="111"/>
        <v>3.2131461679470684E-4</v>
      </c>
      <c r="G215" s="2"/>
      <c r="H215" s="6">
        <v>176</v>
      </c>
      <c r="I215" s="2"/>
      <c r="J215" s="7">
        <f t="shared" si="112"/>
        <v>4.6467788054082166E-4</v>
      </c>
      <c r="K215" s="2"/>
      <c r="L215" s="6">
        <f t="shared" si="113"/>
        <v>-91</v>
      </c>
      <c r="M215" s="2"/>
      <c r="N215" s="7">
        <f t="shared" si="114"/>
        <v>-0.51704545454545459</v>
      </c>
      <c r="O215" s="11"/>
      <c r="P215" s="6">
        <v>4327.68</v>
      </c>
      <c r="Q215" s="2"/>
      <c r="R215" s="7">
        <f t="shared" si="115"/>
        <v>7.9018160933921043E-4</v>
      </c>
      <c r="S215" s="2"/>
      <c r="T215" s="6">
        <v>3912</v>
      </c>
      <c r="U215" s="2"/>
      <c r="V215" s="7">
        <f t="shared" si="116"/>
        <v>4.0103827086075607E-4</v>
      </c>
      <c r="W215" s="2"/>
      <c r="X215" s="6">
        <f t="shared" si="117"/>
        <v>415.68000000000029</v>
      </c>
      <c r="Y215" s="2"/>
      <c r="Z215" s="7">
        <f t="shared" si="118"/>
        <v>0.10625766871165651</v>
      </c>
    </row>
    <row r="216" spans="1:26" s="27" customFormat="1" outlineLevel="1" collapsed="1" x14ac:dyDescent="0.25">
      <c r="A216" s="25"/>
      <c r="B216" s="13" t="str">
        <f>CONCATENATE("     ","Supplies                                          ")</f>
        <v xml:space="preserve">     Supplies                                          </v>
      </c>
      <c r="C216" s="13"/>
      <c r="D216" s="1">
        <f>SUM(OSRRefD22_21x_0)</f>
        <v>12438.82</v>
      </c>
      <c r="E216" s="1"/>
      <c r="F216" s="5">
        <f t="shared" ref="F216:F225" si="119">IF(D$12=0,0,D216/D$12)</f>
        <v>4.7020878607980418E-2</v>
      </c>
      <c r="G216" s="1"/>
      <c r="H216" s="1">
        <f>SUM(OSRRefH22_21x_0)</f>
        <v>7830</v>
      </c>
      <c r="I216" s="1"/>
      <c r="J216" s="5">
        <f t="shared" ref="J216:J225" si="120">IF(H$12=0,0,H216/H$12)</f>
        <v>2.0672885253605874E-2</v>
      </c>
      <c r="K216" s="1"/>
      <c r="L216" s="1">
        <f t="shared" ref="L216:L225" si="121">+D216-H216</f>
        <v>4608.82</v>
      </c>
      <c r="M216" s="1"/>
      <c r="N216" s="5">
        <f t="shared" ref="N216:N225" si="122">IF(H216=0,0,L216/H216)</f>
        <v>0.588610472541507</v>
      </c>
      <c r="O216" s="13"/>
      <c r="P216" s="1">
        <f>SUM(OSRRefP22_21x_0)</f>
        <v>135431.66</v>
      </c>
      <c r="Q216" s="1"/>
      <c r="R216" s="5">
        <f t="shared" ref="R216:R225" si="123">IF(P$12=0,0,P216/P$12)</f>
        <v>2.4728170071327077E-2</v>
      </c>
      <c r="S216" s="1"/>
      <c r="T216" s="1">
        <f>SUM(OSRRefT22_21x_0)</f>
        <v>187263</v>
      </c>
      <c r="U216" s="1"/>
      <c r="V216" s="5">
        <f t="shared" ref="V216:V225" si="124">IF(T$12=0,0,T216/T$12)</f>
        <v>1.9197246859968754E-2</v>
      </c>
      <c r="W216" s="1"/>
      <c r="X216" s="1">
        <f t="shared" ref="X216:X225" si="125">+P216-T216</f>
        <v>-51831.34</v>
      </c>
      <c r="Y216" s="1"/>
      <c r="Z216" s="5">
        <f t="shared" ref="Z216:Z225" si="126">IF(T216=0,0,X216/T216)</f>
        <v>-0.27678366788954573</v>
      </c>
    </row>
    <row r="217" spans="1:26" s="24" customFormat="1" hidden="1" outlineLevel="2" x14ac:dyDescent="0.25">
      <c r="A217" s="26"/>
      <c r="B217" s="11" t="str">
        <f>CONCATENATE("          ", "6234", " - ", "EXPENDABLE SUPPLIES &amp; EQUIPMEN")</f>
        <v xml:space="preserve">          6234 - EXPENDABLE SUPPLIES &amp; EQUIPMEN</v>
      </c>
      <c r="C217" s="11"/>
      <c r="D217" s="6"/>
      <c r="E217" s="2"/>
      <c r="F217" s="7">
        <f t="shared" si="119"/>
        <v>0</v>
      </c>
      <c r="G217" s="2"/>
      <c r="H217" s="6">
        <v>150</v>
      </c>
      <c r="I217" s="2"/>
      <c r="J217" s="7">
        <f t="shared" si="120"/>
        <v>3.9603228455183668E-4</v>
      </c>
      <c r="K217" s="2"/>
      <c r="L217" s="6">
        <f t="shared" si="121"/>
        <v>-150</v>
      </c>
      <c r="M217" s="2"/>
      <c r="N217" s="7">
        <f t="shared" si="122"/>
        <v>-1</v>
      </c>
      <c r="O217" s="11"/>
      <c r="P217" s="6">
        <v>316.83</v>
      </c>
      <c r="Q217" s="2"/>
      <c r="R217" s="7">
        <f t="shared" si="123"/>
        <v>5.7849295531772687E-5</v>
      </c>
      <c r="S217" s="2"/>
      <c r="T217" s="6">
        <v>1828</v>
      </c>
      <c r="U217" s="2"/>
      <c r="V217" s="7">
        <f t="shared" si="124"/>
        <v>1.8739722881734716E-4</v>
      </c>
      <c r="W217" s="2"/>
      <c r="X217" s="6">
        <f t="shared" si="125"/>
        <v>-1511.17</v>
      </c>
      <c r="Y217" s="2"/>
      <c r="Z217" s="7">
        <f t="shared" si="126"/>
        <v>-0.82667943107221009</v>
      </c>
    </row>
    <row r="218" spans="1:26" s="24" customFormat="1" hidden="1" outlineLevel="2" x14ac:dyDescent="0.25">
      <c r="A218" s="26"/>
      <c r="B218" s="11" t="str">
        <f>CONCATENATE("          ", "6235", " - ", "COVID-19 EXPENSES")</f>
        <v xml:space="preserve">          6235 - COVID-19 EXPENSES</v>
      </c>
      <c r="C218" s="11"/>
      <c r="D218" s="6">
        <v>957.91</v>
      </c>
      <c r="E218" s="2"/>
      <c r="F218" s="7">
        <f t="shared" si="119"/>
        <v>3.6210645243978544E-3</v>
      </c>
      <c r="G218" s="2"/>
      <c r="H218" s="6">
        <v>800</v>
      </c>
      <c r="I218" s="2"/>
      <c r="J218" s="7">
        <f t="shared" si="120"/>
        <v>2.1121721842764624E-3</v>
      </c>
      <c r="K218" s="2"/>
      <c r="L218" s="6">
        <f t="shared" si="121"/>
        <v>157.90999999999997</v>
      </c>
      <c r="M218" s="2"/>
      <c r="N218" s="7">
        <f t="shared" si="122"/>
        <v>0.19738749999999997</v>
      </c>
      <c r="O218" s="11"/>
      <c r="P218" s="6">
        <v>45163.24</v>
      </c>
      <c r="Q218" s="2"/>
      <c r="R218" s="7">
        <f t="shared" si="123"/>
        <v>8.2462570398395899E-3</v>
      </c>
      <c r="S218" s="2"/>
      <c r="T218" s="6">
        <v>70700</v>
      </c>
      <c r="U218" s="2"/>
      <c r="V218" s="7">
        <f t="shared" si="124"/>
        <v>7.2478031057912713E-3</v>
      </c>
      <c r="W218" s="2"/>
      <c r="X218" s="6">
        <f t="shared" si="125"/>
        <v>-25536.760000000002</v>
      </c>
      <c r="Y218" s="2"/>
      <c r="Z218" s="7">
        <f t="shared" si="126"/>
        <v>-0.36119886845827442</v>
      </c>
    </row>
    <row r="219" spans="1:26" s="24" customFormat="1" hidden="1" outlineLevel="2" x14ac:dyDescent="0.25">
      <c r="A219" s="26"/>
      <c r="B219" s="11" t="str">
        <f>CONCATENATE("          ", "6237", " - ", "JANITORIAL SUPPLIES")</f>
        <v xml:space="preserve">          6237 - JANITORIAL SUPPLIES</v>
      </c>
      <c r="C219" s="11"/>
      <c r="D219" s="6">
        <v>321.05</v>
      </c>
      <c r="E219" s="2"/>
      <c r="F219" s="7">
        <f t="shared" si="119"/>
        <v>1.2136242084934193E-3</v>
      </c>
      <c r="G219" s="2"/>
      <c r="H219" s="6">
        <v>270</v>
      </c>
      <c r="I219" s="2"/>
      <c r="J219" s="7">
        <f t="shared" si="120"/>
        <v>7.1285811219330599E-4</v>
      </c>
      <c r="K219" s="2"/>
      <c r="L219" s="6">
        <f t="shared" si="121"/>
        <v>51.050000000000011</v>
      </c>
      <c r="M219" s="2"/>
      <c r="N219" s="7">
        <f t="shared" si="122"/>
        <v>0.18907407407407412</v>
      </c>
      <c r="O219" s="11"/>
      <c r="P219" s="6">
        <v>4518.8999999999996</v>
      </c>
      <c r="Q219" s="2"/>
      <c r="R219" s="7">
        <f t="shared" si="123"/>
        <v>8.2509605017999426E-4</v>
      </c>
      <c r="S219" s="2"/>
      <c r="T219" s="6">
        <v>4994</v>
      </c>
      <c r="U219" s="2"/>
      <c r="V219" s="7">
        <f t="shared" si="124"/>
        <v>5.1195938769903269E-4</v>
      </c>
      <c r="W219" s="2"/>
      <c r="X219" s="6">
        <f t="shared" si="125"/>
        <v>-475.10000000000036</v>
      </c>
      <c r="Y219" s="2"/>
      <c r="Z219" s="7">
        <f t="shared" si="126"/>
        <v>-9.5134160993191899E-2</v>
      </c>
    </row>
    <row r="220" spans="1:26" s="24" customFormat="1" hidden="1" outlineLevel="2" x14ac:dyDescent="0.25">
      <c r="A220" s="26"/>
      <c r="B220" s="11" t="str">
        <f>CONCATENATE("          ", "6241", " - ", "OFFICE EXPENSE")</f>
        <v xml:space="preserve">          6241 - OFFICE EXPENSE</v>
      </c>
      <c r="C220" s="11"/>
      <c r="D220" s="6">
        <v>989.87</v>
      </c>
      <c r="E220" s="2"/>
      <c r="F220" s="7">
        <f t="shared" si="119"/>
        <v>3.7418788203126643E-3</v>
      </c>
      <c r="G220" s="2"/>
      <c r="H220" s="6">
        <v>325</v>
      </c>
      <c r="I220" s="2"/>
      <c r="J220" s="7">
        <f t="shared" si="120"/>
        <v>8.5806994986231276E-4</v>
      </c>
      <c r="K220" s="2"/>
      <c r="L220" s="6">
        <f t="shared" si="121"/>
        <v>664.87</v>
      </c>
      <c r="M220" s="2"/>
      <c r="N220" s="7">
        <f t="shared" si="122"/>
        <v>2.045753846153846</v>
      </c>
      <c r="O220" s="11"/>
      <c r="P220" s="6">
        <v>12126.59</v>
      </c>
      <c r="Q220" s="2"/>
      <c r="R220" s="7">
        <f t="shared" si="123"/>
        <v>2.214167498982544E-3</v>
      </c>
      <c r="S220" s="2"/>
      <c r="T220" s="6">
        <v>6200</v>
      </c>
      <c r="U220" s="2"/>
      <c r="V220" s="7">
        <f t="shared" si="124"/>
        <v>6.3559235156868295E-4</v>
      </c>
      <c r="W220" s="2"/>
      <c r="X220" s="6">
        <f t="shared" si="125"/>
        <v>5926.59</v>
      </c>
      <c r="Y220" s="2"/>
      <c r="Z220" s="7">
        <f t="shared" si="126"/>
        <v>0.95590161290322584</v>
      </c>
    </row>
    <row r="221" spans="1:26" s="24" customFormat="1" hidden="1" outlineLevel="2" x14ac:dyDescent="0.25">
      <c r="A221" s="26"/>
      <c r="B221" s="11" t="str">
        <f>CONCATENATE("          ", "6243", " - ", "PAPER SUPPLIES")</f>
        <v xml:space="preserve">          6243 - PAPER SUPPLIES</v>
      </c>
      <c r="C221" s="11"/>
      <c r="D221" s="6">
        <v>548.02</v>
      </c>
      <c r="E221" s="2"/>
      <c r="F221" s="7">
        <f t="shared" si="119"/>
        <v>2.0716098387745323E-3</v>
      </c>
      <c r="G221" s="2"/>
      <c r="H221" s="6">
        <v>1350</v>
      </c>
      <c r="I221" s="2"/>
      <c r="J221" s="7">
        <f t="shared" si="120"/>
        <v>3.5642905609665301E-3</v>
      </c>
      <c r="K221" s="2"/>
      <c r="L221" s="6">
        <f t="shared" si="121"/>
        <v>-801.98</v>
      </c>
      <c r="M221" s="2"/>
      <c r="N221" s="7">
        <f t="shared" si="122"/>
        <v>-0.59405925925925929</v>
      </c>
      <c r="O221" s="11"/>
      <c r="P221" s="6">
        <v>7230.6</v>
      </c>
      <c r="Q221" s="2"/>
      <c r="R221" s="7">
        <f t="shared" si="123"/>
        <v>1.3202194118992381E-3</v>
      </c>
      <c r="S221" s="2"/>
      <c r="T221" s="6">
        <v>29807</v>
      </c>
      <c r="U221" s="2"/>
      <c r="V221" s="7">
        <f t="shared" si="124"/>
        <v>3.0556614876141503E-3</v>
      </c>
      <c r="W221" s="2"/>
      <c r="X221" s="6">
        <f t="shared" si="125"/>
        <v>-22576.400000000001</v>
      </c>
      <c r="Y221" s="2"/>
      <c r="Z221" s="7">
        <f t="shared" si="126"/>
        <v>-0.75741939812795656</v>
      </c>
    </row>
    <row r="222" spans="1:26" s="24" customFormat="1" hidden="1" outlineLevel="2" x14ac:dyDescent="0.25">
      <c r="A222" s="26"/>
      <c r="B222" s="11" t="str">
        <f>CONCATENATE("          ", "6244", " - ", "SAFETY SUPPLY EXPENSE")</f>
        <v xml:space="preserve">          6244 - SAFETY SUPPLY EXPENSE</v>
      </c>
      <c r="C222" s="11"/>
      <c r="D222" s="6"/>
      <c r="E222" s="2"/>
      <c r="F222" s="7">
        <f t="shared" si="119"/>
        <v>0</v>
      </c>
      <c r="G222" s="2"/>
      <c r="H222" s="6">
        <v>0</v>
      </c>
      <c r="I222" s="2"/>
      <c r="J222" s="7">
        <f t="shared" si="120"/>
        <v>0</v>
      </c>
      <c r="K222" s="2"/>
      <c r="L222" s="6">
        <f t="shared" si="121"/>
        <v>0</v>
      </c>
      <c r="M222" s="2"/>
      <c r="N222" s="7">
        <f t="shared" si="122"/>
        <v>0</v>
      </c>
      <c r="O222" s="11"/>
      <c r="P222" s="6"/>
      <c r="Q222" s="2"/>
      <c r="R222" s="7">
        <f t="shared" si="123"/>
        <v>0</v>
      </c>
      <c r="S222" s="2"/>
      <c r="T222" s="6">
        <v>100</v>
      </c>
      <c r="U222" s="2"/>
      <c r="V222" s="7">
        <f t="shared" si="124"/>
        <v>1.025148954143037E-5</v>
      </c>
      <c r="W222" s="2"/>
      <c r="X222" s="6">
        <f t="shared" si="125"/>
        <v>-100</v>
      </c>
      <c r="Y222" s="2"/>
      <c r="Z222" s="7">
        <f t="shared" si="126"/>
        <v>-1</v>
      </c>
    </row>
    <row r="223" spans="1:26" s="24" customFormat="1" hidden="1" outlineLevel="2" x14ac:dyDescent="0.25">
      <c r="A223" s="26"/>
      <c r="B223" s="11" t="str">
        <f>CONCATENATE("          ", "6245", " - ", "PRINTING")</f>
        <v xml:space="preserve">          6245 - PRINTING</v>
      </c>
      <c r="C223" s="11"/>
      <c r="D223" s="6">
        <v>2921.89</v>
      </c>
      <c r="E223" s="2"/>
      <c r="F223" s="7">
        <f t="shared" si="119"/>
        <v>1.1045246654897482E-2</v>
      </c>
      <c r="G223" s="2"/>
      <c r="H223" s="6">
        <v>350</v>
      </c>
      <c r="I223" s="2"/>
      <c r="J223" s="7">
        <f t="shared" si="120"/>
        <v>9.2407533062095217E-4</v>
      </c>
      <c r="K223" s="2"/>
      <c r="L223" s="6">
        <f t="shared" si="121"/>
        <v>2571.89</v>
      </c>
      <c r="M223" s="2"/>
      <c r="N223" s="7">
        <f t="shared" si="122"/>
        <v>7.3482571428571424</v>
      </c>
      <c r="O223" s="11"/>
      <c r="P223" s="6">
        <v>12006.27</v>
      </c>
      <c r="Q223" s="2"/>
      <c r="R223" s="7">
        <f t="shared" si="123"/>
        <v>2.1921985338012703E-3</v>
      </c>
      <c r="S223" s="2"/>
      <c r="T223" s="6">
        <v>5700</v>
      </c>
      <c r="U223" s="2"/>
      <c r="V223" s="7">
        <f t="shared" si="124"/>
        <v>5.8433490386153113E-4</v>
      </c>
      <c r="W223" s="2"/>
      <c r="X223" s="6">
        <f t="shared" si="125"/>
        <v>6306.27</v>
      </c>
      <c r="Y223" s="2"/>
      <c r="Z223" s="7">
        <f t="shared" si="126"/>
        <v>1.1063631578947368</v>
      </c>
    </row>
    <row r="224" spans="1:26" s="24" customFormat="1" hidden="1" outlineLevel="2" x14ac:dyDescent="0.25">
      <c r="A224" s="26"/>
      <c r="B224" s="11" t="str">
        <f>CONCATENATE("          ", "6247", " - ", "STORE SUPPLIES")</f>
        <v xml:space="preserve">          6247 - STORE SUPPLIES</v>
      </c>
      <c r="C224" s="11"/>
      <c r="D224" s="6">
        <v>6700.08</v>
      </c>
      <c r="E224" s="2"/>
      <c r="F224" s="7">
        <f t="shared" si="119"/>
        <v>2.5327454561104464E-2</v>
      </c>
      <c r="G224" s="2"/>
      <c r="H224" s="6">
        <v>3085</v>
      </c>
      <c r="I224" s="2"/>
      <c r="J224" s="7">
        <f t="shared" si="120"/>
        <v>8.1450639856161071E-3</v>
      </c>
      <c r="K224" s="2"/>
      <c r="L224" s="6">
        <f t="shared" si="121"/>
        <v>3615.08</v>
      </c>
      <c r="M224" s="2"/>
      <c r="N224" s="7">
        <f t="shared" si="122"/>
        <v>1.1718249594813615</v>
      </c>
      <c r="O224" s="11"/>
      <c r="P224" s="6">
        <v>54069.23</v>
      </c>
      <c r="Q224" s="2"/>
      <c r="R224" s="7">
        <f t="shared" si="123"/>
        <v>9.8723822410926674E-3</v>
      </c>
      <c r="S224" s="2"/>
      <c r="T224" s="6">
        <v>49534</v>
      </c>
      <c r="U224" s="2"/>
      <c r="V224" s="7">
        <f t="shared" si="124"/>
        <v>5.077972829452119E-3</v>
      </c>
      <c r="W224" s="2"/>
      <c r="X224" s="6">
        <f t="shared" si="125"/>
        <v>4535.2300000000032</v>
      </c>
      <c r="Y224" s="2"/>
      <c r="Z224" s="7">
        <f t="shared" si="126"/>
        <v>9.1557919812654001E-2</v>
      </c>
    </row>
    <row r="225" spans="1:26" s="24" customFormat="1" hidden="1" outlineLevel="2" x14ac:dyDescent="0.25">
      <c r="A225" s="26"/>
      <c r="B225" s="11" t="str">
        <f>CONCATENATE("          ", "6248", " - ", "UNIFORMS")</f>
        <v xml:space="preserve">          6248 - UNIFORMS</v>
      </c>
      <c r="C225" s="11"/>
      <c r="D225" s="6"/>
      <c r="E225" s="2"/>
      <c r="F225" s="7">
        <f t="shared" si="119"/>
        <v>0</v>
      </c>
      <c r="G225" s="2"/>
      <c r="H225" s="6">
        <v>1500</v>
      </c>
      <c r="I225" s="2"/>
      <c r="J225" s="7">
        <f t="shared" si="120"/>
        <v>3.9603228455183668E-3</v>
      </c>
      <c r="K225" s="2"/>
      <c r="L225" s="6">
        <f t="shared" si="121"/>
        <v>-1500</v>
      </c>
      <c r="M225" s="2"/>
      <c r="N225" s="7">
        <f t="shared" si="122"/>
        <v>-1</v>
      </c>
      <c r="O225" s="11"/>
      <c r="P225" s="6"/>
      <c r="Q225" s="2"/>
      <c r="R225" s="7">
        <f t="shared" si="123"/>
        <v>0</v>
      </c>
      <c r="S225" s="2"/>
      <c r="T225" s="6">
        <v>18400</v>
      </c>
      <c r="U225" s="2"/>
      <c r="V225" s="7">
        <f t="shared" si="124"/>
        <v>1.8862740756231881E-3</v>
      </c>
      <c r="W225" s="2"/>
      <c r="X225" s="6">
        <f t="shared" si="125"/>
        <v>-18400</v>
      </c>
      <c r="Y225" s="2"/>
      <c r="Z225" s="7">
        <f t="shared" si="126"/>
        <v>-1</v>
      </c>
    </row>
    <row r="226" spans="1:26" s="27" customFormat="1" outlineLevel="1" collapsed="1" x14ac:dyDescent="0.25">
      <c r="A226" s="25"/>
      <c r="B226" s="13" t="str">
        <f>CONCATENATE("     ","Telephone/Data Lines                              ")</f>
        <v xml:space="preserve">     Telephone/Data Lines                              </v>
      </c>
      <c r="C226" s="13"/>
      <c r="D226" s="1">
        <f>SUM(OSRRefD22_22x_0)</f>
        <v>2677.87</v>
      </c>
      <c r="E226" s="1"/>
      <c r="F226" s="5">
        <f t="shared" ref="F226:F228" si="127">IF(D$12=0,0,D226/D$12)</f>
        <v>1.0122809092659312E-2</v>
      </c>
      <c r="G226" s="1"/>
      <c r="H226" s="1">
        <f>SUM(OSRRefH22_22x_0)</f>
        <v>2530</v>
      </c>
      <c r="I226" s="1"/>
      <c r="J226" s="5">
        <f t="shared" ref="J226:J228" si="128">IF(H$12=0,0,H226/H$12)</f>
        <v>6.6797445327743121E-3</v>
      </c>
      <c r="K226" s="1"/>
      <c r="L226" s="1">
        <f t="shared" ref="L226:L228" si="129">+D226-H226</f>
        <v>147.86999999999989</v>
      </c>
      <c r="M226" s="1"/>
      <c r="N226" s="5">
        <f t="shared" ref="N226:N228" si="130">IF(H226=0,0,L226/H226)</f>
        <v>5.8446640316205493E-2</v>
      </c>
      <c r="O226" s="13"/>
      <c r="P226" s="1">
        <f>SUM(OSRRefP22_22x_0)</f>
        <v>29915.74</v>
      </c>
      <c r="Q226" s="1"/>
      <c r="R226" s="5">
        <f t="shared" ref="R226:R228" si="131">IF(P$12=0,0,P226/P$12)</f>
        <v>5.4622494218087734E-3</v>
      </c>
      <c r="S226" s="1"/>
      <c r="T226" s="1">
        <f>SUM(OSRRefT22_22x_0)</f>
        <v>33255</v>
      </c>
      <c r="U226" s="1"/>
      <c r="V226" s="5">
        <f t="shared" ref="V226:V228" si="132">IF(T$12=0,0,T226/T$12)</f>
        <v>3.4091328470026694E-3</v>
      </c>
      <c r="W226" s="1"/>
      <c r="X226" s="1">
        <f t="shared" ref="X226:X228" si="133">+P226-T226</f>
        <v>-3339.2599999999984</v>
      </c>
      <c r="Y226" s="1"/>
      <c r="Z226" s="5">
        <f t="shared" ref="Z226:Z228" si="134">IF(T226=0,0,X226/T226)</f>
        <v>-0.10041377236505784</v>
      </c>
    </row>
    <row r="227" spans="1:26" s="24" customFormat="1" hidden="1" outlineLevel="2" x14ac:dyDescent="0.25">
      <c r="A227" s="26"/>
      <c r="B227" s="11" t="str">
        <f>CONCATENATE("          ", "6303", " - ", "DATA PHONE LINES")</f>
        <v xml:space="preserve">          6303 - DATA PHONE LINES</v>
      </c>
      <c r="C227" s="11"/>
      <c r="D227" s="6"/>
      <c r="E227" s="2"/>
      <c r="F227" s="7">
        <f t="shared" si="127"/>
        <v>0</v>
      </c>
      <c r="G227" s="2"/>
      <c r="H227" s="6">
        <v>865</v>
      </c>
      <c r="I227" s="2"/>
      <c r="J227" s="7">
        <f t="shared" si="128"/>
        <v>2.2837861742489246E-3</v>
      </c>
      <c r="K227" s="2"/>
      <c r="L227" s="6">
        <f t="shared" si="129"/>
        <v>-865</v>
      </c>
      <c r="M227" s="2"/>
      <c r="N227" s="7">
        <f t="shared" si="130"/>
        <v>-1</v>
      </c>
      <c r="O227" s="11"/>
      <c r="P227" s="6">
        <v>3540</v>
      </c>
      <c r="Q227" s="2"/>
      <c r="R227" s="7">
        <f t="shared" si="131"/>
        <v>6.4636084393042111E-4</v>
      </c>
      <c r="S227" s="2"/>
      <c r="T227" s="6">
        <v>10375</v>
      </c>
      <c r="U227" s="2"/>
      <c r="V227" s="7">
        <f t="shared" si="132"/>
        <v>1.0635920399234009E-3</v>
      </c>
      <c r="W227" s="2"/>
      <c r="X227" s="6">
        <f t="shared" si="133"/>
        <v>-6835</v>
      </c>
      <c r="Y227" s="2"/>
      <c r="Z227" s="7">
        <f t="shared" si="134"/>
        <v>-0.65879518072289156</v>
      </c>
    </row>
    <row r="228" spans="1:26" s="24" customFormat="1" hidden="1" outlineLevel="2" x14ac:dyDescent="0.25">
      <c r="A228" s="26"/>
      <c r="B228" s="11" t="str">
        <f>CONCATENATE("          ", "6309", " - ", "TELEPHONE")</f>
        <v xml:space="preserve">          6309 - TELEPHONE</v>
      </c>
      <c r="C228" s="11"/>
      <c r="D228" s="6">
        <v>2677.87</v>
      </c>
      <c r="E228" s="2"/>
      <c r="F228" s="7">
        <f t="shared" si="127"/>
        <v>1.0122809092659312E-2</v>
      </c>
      <c r="G228" s="2"/>
      <c r="H228" s="6">
        <v>1665</v>
      </c>
      <c r="I228" s="2"/>
      <c r="J228" s="7">
        <f t="shared" si="128"/>
        <v>4.3959583585253866E-3</v>
      </c>
      <c r="K228" s="2"/>
      <c r="L228" s="6">
        <f t="shared" si="129"/>
        <v>1012.8699999999999</v>
      </c>
      <c r="M228" s="2"/>
      <c r="N228" s="7">
        <f t="shared" si="130"/>
        <v>0.60833033033033024</v>
      </c>
      <c r="O228" s="11"/>
      <c r="P228" s="6">
        <v>26375.74</v>
      </c>
      <c r="Q228" s="2"/>
      <c r="R228" s="7">
        <f t="shared" si="131"/>
        <v>4.8158885778783519E-3</v>
      </c>
      <c r="S228" s="2"/>
      <c r="T228" s="6">
        <v>22880</v>
      </c>
      <c r="U228" s="2"/>
      <c r="V228" s="7">
        <f t="shared" si="132"/>
        <v>2.3455408070792686E-3</v>
      </c>
      <c r="W228" s="2"/>
      <c r="X228" s="6">
        <f t="shared" si="133"/>
        <v>3495.7400000000016</v>
      </c>
      <c r="Y228" s="2"/>
      <c r="Z228" s="7">
        <f t="shared" si="134"/>
        <v>0.15278583916083924</v>
      </c>
    </row>
    <row r="229" spans="1:26" s="27" customFormat="1" outlineLevel="1" collapsed="1" x14ac:dyDescent="0.25">
      <c r="A229" s="25"/>
      <c r="B229" s="13" t="str">
        <f>CONCATENATE("     ","Training                                          ")</f>
        <v xml:space="preserve">     Training                                          </v>
      </c>
      <c r="C229" s="13"/>
      <c r="D229" s="1">
        <f>SUM(OSRRefD22_23x_0)</f>
        <v>0</v>
      </c>
      <c r="E229" s="1"/>
      <c r="F229" s="5">
        <f t="shared" ref="F229:F234" si="135">IF(D$12=0,0,D229/D$12)</f>
        <v>0</v>
      </c>
      <c r="G229" s="1"/>
      <c r="H229" s="1">
        <f>SUM(OSRRefH22_23x_0)</f>
        <v>0</v>
      </c>
      <c r="I229" s="1"/>
      <c r="J229" s="5">
        <f t="shared" ref="J229:J234" si="136">IF(H$12=0,0,H229/H$12)</f>
        <v>0</v>
      </c>
      <c r="K229" s="1"/>
      <c r="L229" s="1">
        <f t="shared" ref="L229:L234" si="137">+D229-H229</f>
        <v>0</v>
      </c>
      <c r="M229" s="1"/>
      <c r="N229" s="5">
        <f t="shared" ref="N229:N234" si="138">IF(H229=0,0,L229/H229)</f>
        <v>0</v>
      </c>
      <c r="O229" s="13"/>
      <c r="P229" s="1">
        <f>SUM(OSRRefP22_23x_0)</f>
        <v>895.63</v>
      </c>
      <c r="Q229" s="1"/>
      <c r="R229" s="5">
        <f t="shared" ref="R229:R234" si="139">IF(P$12=0,0,P229/P$12)</f>
        <v>1.6353111939248675E-4</v>
      </c>
      <c r="S229" s="1"/>
      <c r="T229" s="1">
        <f>SUM(OSRRefT22_23x_0)</f>
        <v>12210</v>
      </c>
      <c r="U229" s="1"/>
      <c r="V229" s="5">
        <f t="shared" ref="V229:V234" si="140">IF(T$12=0,0,T229/T$12)</f>
        <v>1.2517068730086482E-3</v>
      </c>
      <c r="W229" s="1"/>
      <c r="X229" s="1">
        <f t="shared" ref="X229:X234" si="141">+P229-T229</f>
        <v>-11314.37</v>
      </c>
      <c r="Y229" s="1"/>
      <c r="Z229" s="5">
        <f t="shared" ref="Z229:Z234" si="142">IF(T229=0,0,X229/T229)</f>
        <v>-0.92664782964782977</v>
      </c>
    </row>
    <row r="230" spans="1:26" s="24" customFormat="1" hidden="1" outlineLevel="2" x14ac:dyDescent="0.25">
      <c r="A230" s="26"/>
      <c r="B230" s="11" t="str">
        <f>CONCATENATE("          ", "6376", " - ", "TRAINING")</f>
        <v xml:space="preserve">          6376 - TRAINING</v>
      </c>
      <c r="C230" s="11"/>
      <c r="D230" s="6"/>
      <c r="E230" s="2"/>
      <c r="F230" s="7">
        <f t="shared" si="135"/>
        <v>0</v>
      </c>
      <c r="G230" s="2"/>
      <c r="H230" s="6">
        <v>0</v>
      </c>
      <c r="I230" s="2"/>
      <c r="J230" s="7">
        <f t="shared" si="136"/>
        <v>0</v>
      </c>
      <c r="K230" s="2"/>
      <c r="L230" s="6">
        <f t="shared" si="137"/>
        <v>0</v>
      </c>
      <c r="M230" s="2"/>
      <c r="N230" s="7">
        <f t="shared" si="138"/>
        <v>0</v>
      </c>
      <c r="O230" s="11"/>
      <c r="P230" s="6">
        <v>895.63</v>
      </c>
      <c r="Q230" s="2"/>
      <c r="R230" s="7">
        <f t="shared" si="139"/>
        <v>1.6353111939248675E-4</v>
      </c>
      <c r="S230" s="2"/>
      <c r="T230" s="6">
        <v>12210</v>
      </c>
      <c r="U230" s="2"/>
      <c r="V230" s="7">
        <f t="shared" si="140"/>
        <v>1.2517068730086482E-3</v>
      </c>
      <c r="W230" s="2"/>
      <c r="X230" s="6">
        <f t="shared" si="141"/>
        <v>-11314.37</v>
      </c>
      <c r="Y230" s="2"/>
      <c r="Z230" s="7">
        <f t="shared" si="142"/>
        <v>-0.92664782964782977</v>
      </c>
    </row>
    <row r="231" spans="1:26" s="27" customFormat="1" outlineLevel="1" collapsed="1" x14ac:dyDescent="0.25">
      <c r="A231" s="25"/>
      <c r="B231" s="13" t="str">
        <f>CONCATENATE("     ","Travel                                            ")</f>
        <v xml:space="preserve">     Travel                                            </v>
      </c>
      <c r="C231" s="13"/>
      <c r="D231" s="1">
        <f>SUM(OSRRefD22_24x_0)</f>
        <v>67.62</v>
      </c>
      <c r="E231" s="1"/>
      <c r="F231" s="5">
        <f t="shared" si="135"/>
        <v>2.5561522809009504E-4</v>
      </c>
      <c r="G231" s="1"/>
      <c r="H231" s="1">
        <f>SUM(OSRRefH22_24x_0)</f>
        <v>50</v>
      </c>
      <c r="I231" s="1"/>
      <c r="J231" s="5">
        <f t="shared" si="136"/>
        <v>1.320107615172789E-4</v>
      </c>
      <c r="K231" s="1"/>
      <c r="L231" s="1">
        <f t="shared" si="137"/>
        <v>17.620000000000005</v>
      </c>
      <c r="M231" s="1"/>
      <c r="N231" s="5">
        <f t="shared" si="138"/>
        <v>0.3524000000000001</v>
      </c>
      <c r="O231" s="13"/>
      <c r="P231" s="1">
        <f>SUM(OSRRefP22_24x_0)</f>
        <v>1040.0200000000002</v>
      </c>
      <c r="Q231" s="1"/>
      <c r="R231" s="5">
        <f t="shared" si="139"/>
        <v>1.8989497313686912E-4</v>
      </c>
      <c r="S231" s="1"/>
      <c r="T231" s="1">
        <f>SUM(OSRRefT22_24x_0)</f>
        <v>2300</v>
      </c>
      <c r="U231" s="1"/>
      <c r="V231" s="5">
        <f t="shared" si="140"/>
        <v>2.3578425945289851E-4</v>
      </c>
      <c r="W231" s="1"/>
      <c r="X231" s="1">
        <f t="shared" si="141"/>
        <v>-1259.9799999999998</v>
      </c>
      <c r="Y231" s="1"/>
      <c r="Z231" s="5">
        <f t="shared" si="142"/>
        <v>-0.5478173913043477</v>
      </c>
    </row>
    <row r="232" spans="1:26" s="24" customFormat="1" hidden="1" outlineLevel="2" x14ac:dyDescent="0.25">
      <c r="A232" s="26"/>
      <c r="B232" s="11" t="str">
        <f>CONCATENATE("          ", "6292", " - ", "TRAVEL/CONFERENCE")</f>
        <v xml:space="preserve">          6292 - TRAVEL/CONFERENCE</v>
      </c>
      <c r="C232" s="11"/>
      <c r="D232" s="6"/>
      <c r="E232" s="2"/>
      <c r="F232" s="7">
        <f t="shared" si="135"/>
        <v>0</v>
      </c>
      <c r="G232" s="2"/>
      <c r="H232" s="6"/>
      <c r="I232" s="2"/>
      <c r="J232" s="7">
        <f t="shared" si="136"/>
        <v>0</v>
      </c>
      <c r="K232" s="2"/>
      <c r="L232" s="6">
        <f t="shared" si="137"/>
        <v>0</v>
      </c>
      <c r="M232" s="2"/>
      <c r="N232" s="7">
        <f t="shared" si="138"/>
        <v>0</v>
      </c>
      <c r="O232" s="11"/>
      <c r="P232" s="6">
        <v>299.16000000000003</v>
      </c>
      <c r="Q232" s="2"/>
      <c r="R232" s="7">
        <f t="shared" si="139"/>
        <v>5.4622968946391187E-5</v>
      </c>
      <c r="S232" s="2"/>
      <c r="T232" s="6">
        <v>1500</v>
      </c>
      <c r="U232" s="2"/>
      <c r="V232" s="7">
        <f t="shared" si="140"/>
        <v>1.5377234312145556E-4</v>
      </c>
      <c r="W232" s="2"/>
      <c r="X232" s="6">
        <f t="shared" si="141"/>
        <v>-1200.8399999999999</v>
      </c>
      <c r="Y232" s="2"/>
      <c r="Z232" s="7">
        <f t="shared" si="142"/>
        <v>-0.80055999999999994</v>
      </c>
    </row>
    <row r="233" spans="1:26" s="24" customFormat="1" hidden="1" outlineLevel="2" x14ac:dyDescent="0.25">
      <c r="A233" s="26"/>
      <c r="B233" s="11" t="str">
        <f>CONCATENATE("          ", "6294", " - ", "TRAVEL OPERATIONAL")</f>
        <v xml:space="preserve">          6294 - TRAVEL OPERATIONAL</v>
      </c>
      <c r="C233" s="11"/>
      <c r="D233" s="6">
        <v>67.62</v>
      </c>
      <c r="E233" s="2"/>
      <c r="F233" s="7">
        <f t="shared" si="135"/>
        <v>2.5561522809009504E-4</v>
      </c>
      <c r="G233" s="2"/>
      <c r="H233" s="6">
        <v>25</v>
      </c>
      <c r="I233" s="2"/>
      <c r="J233" s="7">
        <f t="shared" si="136"/>
        <v>6.600538075863945E-5</v>
      </c>
      <c r="K233" s="2"/>
      <c r="L233" s="6">
        <f t="shared" si="137"/>
        <v>42.620000000000005</v>
      </c>
      <c r="M233" s="2"/>
      <c r="N233" s="7">
        <f t="shared" si="138"/>
        <v>1.7048000000000001</v>
      </c>
      <c r="O233" s="11"/>
      <c r="P233" s="6">
        <v>680.97</v>
      </c>
      <c r="Q233" s="2"/>
      <c r="R233" s="7">
        <f t="shared" si="139"/>
        <v>1.2433682030827653E-4</v>
      </c>
      <c r="S233" s="2"/>
      <c r="T233" s="6">
        <v>300</v>
      </c>
      <c r="U233" s="2"/>
      <c r="V233" s="7">
        <f t="shared" si="140"/>
        <v>3.075446862429111E-5</v>
      </c>
      <c r="W233" s="2"/>
      <c r="X233" s="6">
        <f t="shared" si="141"/>
        <v>380.97</v>
      </c>
      <c r="Y233" s="2"/>
      <c r="Z233" s="7">
        <f t="shared" si="142"/>
        <v>1.2699</v>
      </c>
    </row>
    <row r="234" spans="1:26" s="24" customFormat="1" hidden="1" outlineLevel="2" x14ac:dyDescent="0.25">
      <c r="A234" s="26"/>
      <c r="B234" s="11" t="str">
        <f>CONCATENATE("          ", "6298", " - ", "VEHICLE MILEAGE")</f>
        <v xml:space="preserve">          6298 - VEHICLE MILEAGE</v>
      </c>
      <c r="C234" s="11"/>
      <c r="D234" s="6"/>
      <c r="E234" s="2"/>
      <c r="F234" s="7">
        <f t="shared" si="135"/>
        <v>0</v>
      </c>
      <c r="G234" s="2"/>
      <c r="H234" s="6">
        <v>25</v>
      </c>
      <c r="I234" s="2"/>
      <c r="J234" s="7">
        <f t="shared" si="136"/>
        <v>6.600538075863945E-5</v>
      </c>
      <c r="K234" s="2"/>
      <c r="L234" s="6">
        <f t="shared" si="137"/>
        <v>-25</v>
      </c>
      <c r="M234" s="2"/>
      <c r="N234" s="7">
        <f t="shared" si="138"/>
        <v>-1</v>
      </c>
      <c r="O234" s="11"/>
      <c r="P234" s="6">
        <v>59.89</v>
      </c>
      <c r="Q234" s="2"/>
      <c r="R234" s="7">
        <f t="shared" si="139"/>
        <v>1.0935183882201389E-5</v>
      </c>
      <c r="S234" s="2"/>
      <c r="T234" s="6">
        <v>500</v>
      </c>
      <c r="U234" s="2"/>
      <c r="V234" s="7">
        <f t="shared" si="140"/>
        <v>5.125744770715185E-5</v>
      </c>
      <c r="W234" s="2"/>
      <c r="X234" s="6">
        <f t="shared" si="141"/>
        <v>-440.11</v>
      </c>
      <c r="Y234" s="2"/>
      <c r="Z234" s="7">
        <f t="shared" si="142"/>
        <v>-0.88022</v>
      </c>
    </row>
    <row r="235" spans="1:26" s="27" customFormat="1" outlineLevel="1" collapsed="1" x14ac:dyDescent="0.25">
      <c r="A235" s="25"/>
      <c r="B235" s="13" t="str">
        <f>CONCATENATE("     ","Utilities                                         ")</f>
        <v xml:space="preserve">     Utilities                                         </v>
      </c>
      <c r="C235" s="13"/>
      <c r="D235" s="1">
        <f>SUM(OSRRefD22_25x_0)</f>
        <v>4697.9399999999996</v>
      </c>
      <c r="E235" s="1"/>
      <c r="F235" s="5">
        <f t="shared" ref="F235:F236" si="143">IF(D$12=0,0,D235/D$12)</f>
        <v>1.7759021068523822E-2</v>
      </c>
      <c r="G235" s="1"/>
      <c r="H235" s="1">
        <f>SUM(OSRRefH22_25x_0)</f>
        <v>6955</v>
      </c>
      <c r="I235" s="1"/>
      <c r="J235" s="5">
        <f t="shared" ref="J235:J236" si="144">IF(H$12=0,0,H235/H$12)</f>
        <v>1.8362696927053494E-2</v>
      </c>
      <c r="K235" s="1"/>
      <c r="L235" s="1">
        <f t="shared" ref="L235:L236" si="145">+D235-H235</f>
        <v>-2257.0600000000004</v>
      </c>
      <c r="M235" s="1"/>
      <c r="N235" s="5">
        <f t="shared" ref="N235:N236" si="146">IF(H235=0,0,L235/H235)</f>
        <v>-0.32452336448598135</v>
      </c>
      <c r="O235" s="13"/>
      <c r="P235" s="1">
        <f>SUM(OSRRefP22_25x_0)</f>
        <v>76460.39</v>
      </c>
      <c r="Q235" s="1"/>
      <c r="R235" s="5">
        <f t="shared" ref="R235:R236" si="147">IF(P$12=0,0,P235/P$12)</f>
        <v>1.3960735086906534E-2</v>
      </c>
      <c r="S235" s="1"/>
      <c r="T235" s="1">
        <f>SUM(OSRRefT22_25x_0)</f>
        <v>86734</v>
      </c>
      <c r="U235" s="1"/>
      <c r="V235" s="5">
        <f t="shared" ref="V235:V236" si="148">IF(T$12=0,0,T235/T$12)</f>
        <v>8.8915269388642176E-3</v>
      </c>
      <c r="W235" s="1"/>
      <c r="X235" s="1">
        <f t="shared" ref="X235:X236" si="149">+P235-T235</f>
        <v>-10273.61</v>
      </c>
      <c r="Y235" s="1"/>
      <c r="Z235" s="5">
        <f t="shared" ref="Z235:Z236" si="150">IF(T235=0,0,X235/T235)</f>
        <v>-0.11844962759702078</v>
      </c>
    </row>
    <row r="236" spans="1:26" s="24" customFormat="1" hidden="1" outlineLevel="2" x14ac:dyDescent="0.25">
      <c r="A236" s="26"/>
      <c r="B236" s="11" t="str">
        <f>CONCATENATE("          ", "6274", " - ", "UTILITIES")</f>
        <v xml:space="preserve">          6274 - UTILITIES</v>
      </c>
      <c r="C236" s="11"/>
      <c r="D236" s="6">
        <v>4697.9399999999996</v>
      </c>
      <c r="E236" s="2"/>
      <c r="F236" s="7">
        <f t="shared" si="143"/>
        <v>1.7759021068523822E-2</v>
      </c>
      <c r="G236" s="2"/>
      <c r="H236" s="6">
        <v>6955</v>
      </c>
      <c r="I236" s="2"/>
      <c r="J236" s="7">
        <f t="shared" si="144"/>
        <v>1.8362696927053494E-2</v>
      </c>
      <c r="K236" s="2"/>
      <c r="L236" s="6">
        <f t="shared" si="145"/>
        <v>-2257.0600000000004</v>
      </c>
      <c r="M236" s="2"/>
      <c r="N236" s="7">
        <f t="shared" si="146"/>
        <v>-0.32452336448598135</v>
      </c>
      <c r="O236" s="11"/>
      <c r="P236" s="6">
        <v>76460.39</v>
      </c>
      <c r="Q236" s="2"/>
      <c r="R236" s="7">
        <f t="shared" si="147"/>
        <v>1.3960735086906534E-2</v>
      </c>
      <c r="S236" s="2"/>
      <c r="T236" s="6">
        <v>86734</v>
      </c>
      <c r="U236" s="2"/>
      <c r="V236" s="7">
        <f t="shared" si="148"/>
        <v>8.8915269388642176E-3</v>
      </c>
      <c r="W236" s="2"/>
      <c r="X236" s="6">
        <f t="shared" si="149"/>
        <v>-10273.61</v>
      </c>
      <c r="Y236" s="2"/>
      <c r="Z236" s="7">
        <f t="shared" si="150"/>
        <v>-0.11844962759702078</v>
      </c>
    </row>
    <row r="237" spans="1:26" s="61" customFormat="1" x14ac:dyDescent="0.25">
      <c r="A237" s="36"/>
      <c r="B237" s="36"/>
      <c r="C237" s="36"/>
      <c r="D237" s="1"/>
      <c r="E237" s="1"/>
      <c r="F237" s="5"/>
      <c r="G237" s="1"/>
      <c r="H237" s="1"/>
      <c r="I237" s="1"/>
      <c r="J237" s="5"/>
      <c r="K237" s="1"/>
      <c r="L237" s="1"/>
      <c r="M237" s="1"/>
      <c r="N237" s="5"/>
      <c r="O237" s="36"/>
      <c r="P237" s="1"/>
      <c r="Q237" s="1"/>
      <c r="R237" s="5"/>
      <c r="S237" s="1"/>
      <c r="T237" s="1"/>
      <c r="U237" s="1"/>
      <c r="V237" s="5"/>
      <c r="W237" s="1"/>
      <c r="X237" s="1"/>
      <c r="Y237" s="1"/>
      <c r="Z237" s="5"/>
    </row>
    <row r="238" spans="1:26" s="23" customFormat="1" collapsed="1" x14ac:dyDescent="0.25">
      <c r="A238" s="10"/>
      <c r="B238" s="29" t="s">
        <v>293</v>
      </c>
      <c r="C238" s="10"/>
      <c r="D238" s="4">
        <f>SUM(OSRRefD25x_0)</f>
        <v>401496.27999999997</v>
      </c>
      <c r="E238" s="4"/>
      <c r="F238" s="12">
        <f t="shared" ref="F238:F243" si="151">IF(D$12=0,0,D238/D$12)</f>
        <v>1.5177249806200037</v>
      </c>
      <c r="G238" s="4"/>
      <c r="H238" s="4">
        <f>SUM(OSRRefH25x_0)</f>
        <v>250345</v>
      </c>
      <c r="I238" s="4"/>
      <c r="J238" s="12">
        <f t="shared" ref="J238:J243" si="152">IF(H$12=0,0,H238/H$12)</f>
        <v>0.66096468184086365</v>
      </c>
      <c r="K238" s="4"/>
      <c r="L238" s="4">
        <f t="shared" ref="L238:L243" si="153">+D238-H238</f>
        <v>151151.27999999997</v>
      </c>
      <c r="M238" s="4"/>
      <c r="N238" s="12">
        <f t="shared" ref="N238:N243" si="154">IF(H238=0,0,L238/H238)</f>
        <v>0.60377191475763436</v>
      </c>
      <c r="O238" s="10"/>
      <c r="P238" s="4">
        <f>SUM(OSRRefP25x_0)</f>
        <v>1454588.11</v>
      </c>
      <c r="Q238" s="4"/>
      <c r="R238" s="12">
        <f t="shared" ref="R238:R243" si="155">IF(P$12=0,0,P238/P$12)</f>
        <v>0.2655900560312871</v>
      </c>
      <c r="S238" s="4"/>
      <c r="T238" s="4">
        <f>SUM(OSRRefT25x_0)</f>
        <v>1160740</v>
      </c>
      <c r="U238" s="4"/>
      <c r="V238" s="12">
        <f t="shared" ref="V238:V243" si="156">IF(T$12=0,0,T238/T$12)</f>
        <v>0.11899313970319887</v>
      </c>
      <c r="W238" s="4"/>
      <c r="X238" s="4">
        <f t="shared" ref="X238:X243" si="157">+P238-T238</f>
        <v>293848.1100000001</v>
      </c>
      <c r="Y238" s="4"/>
      <c r="Z238" s="12">
        <f t="shared" ref="Z238:Z243" si="158">IF(T238=0,0,X238/T238)</f>
        <v>0.25315584023984711</v>
      </c>
    </row>
    <row r="239" spans="1:26" s="24" customFormat="1" hidden="1" outlineLevel="1" x14ac:dyDescent="0.25">
      <c r="A239" s="44"/>
      <c r="B239" s="11" t="str">
        <f>CONCATENATE("          ", "4098", " - ", "TAXABLE SALES-GRAD RENTALS")</f>
        <v xml:space="preserve">          4098 - TAXABLE SALES-GRAD RENTALS</v>
      </c>
      <c r="C239" s="11"/>
      <c r="D239" s="2">
        <f>--1017.7</f>
        <v>1017.7</v>
      </c>
      <c r="E239" s="2"/>
      <c r="F239" s="19">
        <f t="shared" si="151"/>
        <v>3.8470810060232141E-3</v>
      </c>
      <c r="G239" s="2"/>
      <c r="H239" s="2"/>
      <c r="I239" s="2"/>
      <c r="J239" s="19">
        <f t="shared" si="152"/>
        <v>0</v>
      </c>
      <c r="K239" s="2"/>
      <c r="L239" s="2">
        <f t="shared" si="153"/>
        <v>1017.7</v>
      </c>
      <c r="M239" s="2"/>
      <c r="N239" s="19">
        <f t="shared" si="154"/>
        <v>0</v>
      </c>
      <c r="O239" s="11"/>
      <c r="P239" s="2">
        <f>--1067.65</f>
        <v>1067.6500000000001</v>
      </c>
      <c r="Q239" s="2"/>
      <c r="R239" s="19">
        <f t="shared" si="155"/>
        <v>1.9493987430008875E-4</v>
      </c>
      <c r="S239" s="2"/>
      <c r="T239" s="2"/>
      <c r="U239" s="2"/>
      <c r="V239" s="19">
        <f t="shared" si="156"/>
        <v>0</v>
      </c>
      <c r="W239" s="2"/>
      <c r="X239" s="2">
        <f t="shared" si="157"/>
        <v>1067.6500000000001</v>
      </c>
      <c r="Y239" s="2"/>
      <c r="Z239" s="19">
        <f t="shared" si="158"/>
        <v>0</v>
      </c>
    </row>
    <row r="240" spans="1:26" s="24" customFormat="1" hidden="1" outlineLevel="1" x14ac:dyDescent="0.25">
      <c r="A240" s="44"/>
      <c r="B240" s="11" t="str">
        <f>CONCATENATE("          ", "9150", " - ", "MISC. INCOME")</f>
        <v xml:space="preserve">          9150 - MISC. INCOME</v>
      </c>
      <c r="C240" s="11"/>
      <c r="D240" s="2">
        <f>--19962.55</f>
        <v>19962.55</v>
      </c>
      <c r="E240" s="2"/>
      <c r="F240" s="19">
        <f t="shared" si="151"/>
        <v>7.5461871805825587E-2</v>
      </c>
      <c r="G240" s="2"/>
      <c r="H240" s="2">
        <v>19750</v>
      </c>
      <c r="I240" s="2"/>
      <c r="J240" s="19">
        <f t="shared" si="152"/>
        <v>5.2144250799325158E-2</v>
      </c>
      <c r="K240" s="2"/>
      <c r="L240" s="2">
        <f t="shared" si="153"/>
        <v>212.54999999999927</v>
      </c>
      <c r="M240" s="2"/>
      <c r="N240" s="19">
        <f t="shared" si="154"/>
        <v>1.076202531645566E-2</v>
      </c>
      <c r="O240" s="11"/>
      <c r="P240" s="2">
        <f>--423382.84</f>
        <v>423382.84</v>
      </c>
      <c r="Q240" s="2"/>
      <c r="R240" s="19">
        <f t="shared" si="155"/>
        <v>7.7304545132219904E-2</v>
      </c>
      <c r="S240" s="2"/>
      <c r="T240" s="2">
        <v>243700</v>
      </c>
      <c r="U240" s="2"/>
      <c r="V240" s="19">
        <f t="shared" si="156"/>
        <v>2.4982880012465812E-2</v>
      </c>
      <c r="W240" s="2"/>
      <c r="X240" s="2">
        <f t="shared" si="157"/>
        <v>179682.84000000003</v>
      </c>
      <c r="Y240" s="2"/>
      <c r="Z240" s="19">
        <f t="shared" si="158"/>
        <v>0.7373116126384901</v>
      </c>
    </row>
    <row r="241" spans="1:26" s="24" customFormat="1" hidden="1" outlineLevel="1" x14ac:dyDescent="0.25">
      <c r="A241" s="44"/>
      <c r="B241" s="11" t="str">
        <f>CONCATENATE("          ", "9151", " - ", "MISC. INCOME")</f>
        <v xml:space="preserve">          9151 - MISC. INCOME</v>
      </c>
      <c r="C241" s="11"/>
      <c r="D241" s="2">
        <f>0</f>
        <v>0</v>
      </c>
      <c r="E241" s="2"/>
      <c r="F241" s="19">
        <f t="shared" si="151"/>
        <v>0</v>
      </c>
      <c r="G241" s="2"/>
      <c r="H241" s="2">
        <v>230595</v>
      </c>
      <c r="I241" s="2"/>
      <c r="J241" s="19">
        <f t="shared" si="152"/>
        <v>0.60882043104153849</v>
      </c>
      <c r="K241" s="2"/>
      <c r="L241" s="2">
        <f t="shared" si="153"/>
        <v>-230595</v>
      </c>
      <c r="M241" s="2"/>
      <c r="N241" s="19">
        <f t="shared" si="154"/>
        <v>-1</v>
      </c>
      <c r="O241" s="11"/>
      <c r="P241" s="2">
        <f>--295628.46</f>
        <v>295628.46000000002</v>
      </c>
      <c r="Q241" s="2"/>
      <c r="R241" s="19">
        <f t="shared" si="155"/>
        <v>5.3978152795325071E-2</v>
      </c>
      <c r="S241" s="2"/>
      <c r="T241" s="2">
        <v>917040</v>
      </c>
      <c r="U241" s="2"/>
      <c r="V241" s="19">
        <f t="shared" si="156"/>
        <v>9.4010259690733067E-2</v>
      </c>
      <c r="W241" s="2"/>
      <c r="X241" s="2">
        <f t="shared" si="157"/>
        <v>-621411.54</v>
      </c>
      <c r="Y241" s="2"/>
      <c r="Z241" s="19">
        <f t="shared" si="158"/>
        <v>-0.67762751897409057</v>
      </c>
    </row>
    <row r="242" spans="1:26" s="24" customFormat="1" hidden="1" outlineLevel="1" x14ac:dyDescent="0.25">
      <c r="A242" s="44"/>
      <c r="B242" s="11" t="str">
        <f>CONCATENATE("          ", "9152", " - ", "MISC. INCOME")</f>
        <v xml:space="preserve">          9152 - MISC. INCOME</v>
      </c>
      <c r="C242" s="11"/>
      <c r="D242" s="2">
        <f>--1755.54</f>
        <v>1755.54</v>
      </c>
      <c r="E242" s="2"/>
      <c r="F242" s="19">
        <f t="shared" si="151"/>
        <v>6.6362430866797606E-3</v>
      </c>
      <c r="G242" s="2"/>
      <c r="H242" s="2"/>
      <c r="I242" s="2"/>
      <c r="J242" s="19">
        <f t="shared" si="152"/>
        <v>0</v>
      </c>
      <c r="K242" s="2"/>
      <c r="L242" s="2">
        <f t="shared" si="153"/>
        <v>1755.54</v>
      </c>
      <c r="M242" s="2"/>
      <c r="N242" s="19">
        <f t="shared" si="154"/>
        <v>0</v>
      </c>
      <c r="O242" s="11"/>
      <c r="P242" s="2">
        <f>--7408.11</f>
        <v>7408.11</v>
      </c>
      <c r="Q242" s="2"/>
      <c r="R242" s="19">
        <f t="shared" si="155"/>
        <v>1.3526305738783592E-3</v>
      </c>
      <c r="S242" s="2"/>
      <c r="T242" s="2"/>
      <c r="U242" s="2"/>
      <c r="V242" s="19">
        <f t="shared" si="156"/>
        <v>0</v>
      </c>
      <c r="W242" s="2"/>
      <c r="X242" s="2">
        <f t="shared" si="157"/>
        <v>7408.11</v>
      </c>
      <c r="Y242" s="2"/>
      <c r="Z242" s="19">
        <f t="shared" si="158"/>
        <v>0</v>
      </c>
    </row>
    <row r="243" spans="1:26" s="24" customFormat="1" hidden="1" outlineLevel="1" x14ac:dyDescent="0.25">
      <c r="A243" s="44"/>
      <c r="B243" s="11" t="str">
        <f>CONCATENATE("          ", "9163", " - ", "MISC. INCOME")</f>
        <v xml:space="preserve">          9163 - MISC. INCOME</v>
      </c>
      <c r="C243" s="11"/>
      <c r="D243" s="2">
        <f>--378760.49</f>
        <v>378760.49</v>
      </c>
      <c r="E243" s="2"/>
      <c r="F243" s="19">
        <f t="shared" si="151"/>
        <v>1.4317797847214753</v>
      </c>
      <c r="G243" s="2"/>
      <c r="H243" s="2"/>
      <c r="I243" s="2"/>
      <c r="J243" s="19">
        <f t="shared" si="152"/>
        <v>0</v>
      </c>
      <c r="K243" s="2"/>
      <c r="L243" s="2">
        <f t="shared" si="153"/>
        <v>378760.49</v>
      </c>
      <c r="M243" s="2"/>
      <c r="N243" s="19">
        <f t="shared" si="154"/>
        <v>0</v>
      </c>
      <c r="O243" s="11"/>
      <c r="P243" s="2">
        <f>--727101.05</f>
        <v>727101.05</v>
      </c>
      <c r="Q243" s="2"/>
      <c r="R243" s="19">
        <f t="shared" si="155"/>
        <v>0.13275978765556365</v>
      </c>
      <c r="S243" s="2"/>
      <c r="T243" s="2"/>
      <c r="U243" s="2"/>
      <c r="V243" s="19">
        <f t="shared" si="156"/>
        <v>0</v>
      </c>
      <c r="W243" s="2"/>
      <c r="X243" s="2">
        <f t="shared" si="157"/>
        <v>727101.05</v>
      </c>
      <c r="Y243" s="2"/>
      <c r="Z243" s="19">
        <f t="shared" si="158"/>
        <v>0</v>
      </c>
    </row>
    <row r="244" spans="1:26" x14ac:dyDescent="0.25">
      <c r="A244" s="9"/>
      <c r="B244" s="10"/>
      <c r="C244" s="10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O244" s="10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x14ac:dyDescent="0.25">
      <c r="A245" s="10"/>
      <c r="B245" s="28" t="s">
        <v>277</v>
      </c>
      <c r="C245" s="28"/>
      <c r="D245" s="20">
        <f>+D134-D136+D238</f>
        <v>141823.93000000008</v>
      </c>
      <c r="E245" s="14"/>
      <c r="F245" s="22">
        <f>IF(D$12=0,0,D245/D$12)</f>
        <v>0.53611884376787478</v>
      </c>
      <c r="G245" s="14"/>
      <c r="H245" s="20">
        <f>+H134-H136+H238</f>
        <v>76358.648338996572</v>
      </c>
      <c r="I245" s="14"/>
      <c r="J245" s="22">
        <f>IF(H$12=0,0,H245/H$12)</f>
        <v>0.20160326631322081</v>
      </c>
      <c r="K245" s="16"/>
      <c r="L245" s="20">
        <f>+D245-H245</f>
        <v>65465.281661003508</v>
      </c>
      <c r="M245" s="16"/>
      <c r="N245" s="22">
        <f>IF(H245=0,0,L245/H245)</f>
        <v>0.85733945119573585</v>
      </c>
      <c r="O245" s="29"/>
      <c r="P245" s="20">
        <f>+P134-P136+P238</f>
        <v>68928.509999996284</v>
      </c>
      <c r="Q245" s="14"/>
      <c r="R245" s="22">
        <f>IF(P$12=0,0,P245/P$12)</f>
        <v>1.2585505619905103E-2</v>
      </c>
      <c r="S245" s="14"/>
      <c r="T245" s="20">
        <f>+T134-T136+T238</f>
        <v>332618.90256771538</v>
      </c>
      <c r="U245" s="14"/>
      <c r="V245" s="22">
        <f>IF(T$12=0,0,T245/T$12)</f>
        <v>3.4098392009549817E-2</v>
      </c>
      <c r="W245" s="16"/>
      <c r="X245" s="20">
        <f>+P245-T245</f>
        <v>-263690.3925677191</v>
      </c>
      <c r="Y245" s="16"/>
      <c r="Z245" s="22">
        <f>IF(T245=0,0,X245/T245)</f>
        <v>-0.79277031621507543</v>
      </c>
    </row>
    <row r="246" spans="1:26" x14ac:dyDescent="0.25">
      <c r="A246" s="9"/>
      <c r="B246" s="10"/>
      <c r="C246" s="9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s="23" customFormat="1" x14ac:dyDescent="0.25">
      <c r="A247" s="52"/>
      <c r="B247" s="10" t="s">
        <v>128</v>
      </c>
      <c r="C247" s="10"/>
      <c r="D247" s="4">
        <v>402139.08</v>
      </c>
      <c r="E247" s="4"/>
      <c r="F247" s="12">
        <f>IF(D$12=0,0,D247/D$12)</f>
        <v>1.5201548751573644</v>
      </c>
      <c r="G247" s="4"/>
      <c r="H247" s="4">
        <v>-82763</v>
      </c>
      <c r="I247" s="4"/>
      <c r="J247" s="12">
        <f>IF(H$12=0,0,H247/H$12)</f>
        <v>-0.21851213310909107</v>
      </c>
      <c r="K247" s="4"/>
      <c r="L247" s="4">
        <f>+D247-H247</f>
        <v>484902.08</v>
      </c>
      <c r="M247" s="4"/>
      <c r="N247" s="12">
        <f>IF(H247=0,0,L247/H247)</f>
        <v>-5.8589234319683916</v>
      </c>
      <c r="O247" s="10"/>
      <c r="P247" s="4">
        <v>1515953.62</v>
      </c>
      <c r="Q247" s="4"/>
      <c r="R247" s="12">
        <f>IF(P$12=0,0,P247/P$12)</f>
        <v>0.27679465005157539</v>
      </c>
      <c r="S247" s="4"/>
      <c r="T247" s="4">
        <v>1648325</v>
      </c>
      <c r="U247" s="4"/>
      <c r="V247" s="12">
        <f>IF(T$12=0,0,T247/T$12)</f>
        <v>0.16897786498378214</v>
      </c>
      <c r="W247" s="4"/>
      <c r="X247" s="4">
        <f>+P247-T247</f>
        <v>-132371.37999999989</v>
      </c>
      <c r="Y247" s="4"/>
      <c r="Z247" s="12">
        <f>IF(T247=0,0,X247/T247)</f>
        <v>-8.0306602156734797E-2</v>
      </c>
    </row>
    <row r="248" spans="1:26" x14ac:dyDescent="0.25">
      <c r="A248" s="9"/>
      <c r="B248" s="10"/>
      <c r="C248" s="10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O248" s="10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ht="15.75" thickBot="1" x14ac:dyDescent="0.3">
      <c r="A249" s="10"/>
      <c r="B249" s="28" t="s">
        <v>126</v>
      </c>
      <c r="C249" s="28"/>
      <c r="D249" s="34">
        <f>+D245-D247</f>
        <v>-260315.14999999994</v>
      </c>
      <c r="E249" s="14"/>
      <c r="F249" s="35">
        <f>IF(D$12=0,0,D249/D$12)</f>
        <v>-0.98403603138948958</v>
      </c>
      <c r="G249" s="14"/>
      <c r="H249" s="34">
        <f>+H245-H247</f>
        <v>159121.64833899657</v>
      </c>
      <c r="I249" s="14"/>
      <c r="J249" s="35">
        <f>IF(H$12=0,0,H249/H$12)</f>
        <v>0.42011539942231185</v>
      </c>
      <c r="K249" s="16"/>
      <c r="L249" s="34">
        <f>D249-H249</f>
        <v>-419436.79833899648</v>
      </c>
      <c r="M249" s="16"/>
      <c r="N249" s="35">
        <f>IF(H249=0,0,L249/H249)</f>
        <v>-2.6359505618331598</v>
      </c>
      <c r="O249" s="29"/>
      <c r="P249" s="34">
        <f>+P245-P247</f>
        <v>-1447025.1100000038</v>
      </c>
      <c r="Q249" s="14"/>
      <c r="R249" s="35">
        <f>IF(P$12=0,0,P249/P$12)</f>
        <v>-0.26420914443167032</v>
      </c>
      <c r="S249" s="14"/>
      <c r="T249" s="34">
        <f>+T245-T247</f>
        <v>-1315706.0974322846</v>
      </c>
      <c r="U249" s="14"/>
      <c r="V249" s="35">
        <f>IF(T$12=0,0,T249/T$12)</f>
        <v>-0.13487947297423233</v>
      </c>
      <c r="W249" s="16"/>
      <c r="X249" s="34">
        <f>P249-T249</f>
        <v>-131319.01256771921</v>
      </c>
      <c r="Y249" s="16"/>
      <c r="Z249" s="35">
        <f>IF(T249=0,0,X249/T249)</f>
        <v>9.9808774029397404E-2</v>
      </c>
    </row>
    <row r="250" spans="1:26" ht="15.75" thickTop="1" x14ac:dyDescent="0.25">
      <c r="A250" s="9"/>
      <c r="B250" s="9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x14ac:dyDescent="0.25">
      <c r="A251" s="9"/>
      <c r="B251" s="9"/>
      <c r="C251" s="9"/>
      <c r="D251" s="3"/>
      <c r="E251" s="3"/>
      <c r="F251" s="8"/>
      <c r="G251" s="3"/>
      <c r="H251" s="3"/>
      <c r="I251" s="3"/>
      <c r="J251" s="8"/>
      <c r="K251" s="3"/>
      <c r="L251" s="3"/>
      <c r="M251" s="3"/>
      <c r="N251" s="8"/>
      <c r="P251" s="3"/>
      <c r="Q251" s="3"/>
      <c r="R251" s="8"/>
      <c r="S251" s="3"/>
      <c r="T251" s="3"/>
      <c r="U251" s="3"/>
      <c r="V251" s="8"/>
      <c r="W251" s="3"/>
      <c r="X251" s="3"/>
      <c r="Y251" s="3"/>
      <c r="Z251" s="8"/>
    </row>
    <row r="252" spans="1:26" s="23" customFormat="1" ht="15.75" thickBot="1" x14ac:dyDescent="0.3">
      <c r="A252" s="10"/>
      <c r="B252" s="28" t="s">
        <v>294</v>
      </c>
      <c r="C252" s="28"/>
      <c r="D252" s="33">
        <f>SUM(D249:D251)</f>
        <v>-260315.14999999994</v>
      </c>
      <c r="E252" s="14"/>
      <c r="F252" s="31">
        <f>IF(D$12=0,0,D252/D$12)</f>
        <v>-0.98403603138948958</v>
      </c>
      <c r="G252" s="14"/>
      <c r="H252" s="33">
        <f>SUM(H249:H251)</f>
        <v>159121.64833899657</v>
      </c>
      <c r="I252" s="14"/>
      <c r="J252" s="31">
        <f>IF(H$12=0,0,H252/H$12)</f>
        <v>0.42011539942231185</v>
      </c>
      <c r="K252" s="16"/>
      <c r="L252" s="33">
        <f>+D252-H252</f>
        <v>-419436.79833899648</v>
      </c>
      <c r="M252" s="16"/>
      <c r="N252" s="31">
        <f>IF(H252=0,0,L252/H252)</f>
        <v>-2.6359505618331598</v>
      </c>
      <c r="O252" s="29"/>
      <c r="P252" s="33">
        <f>SUM(P249:P251)</f>
        <v>-1447025.1100000038</v>
      </c>
      <c r="Q252" s="14"/>
      <c r="R252" s="31">
        <f>IF(P$12=0,0,P252/P$12)</f>
        <v>-0.26420914443167032</v>
      </c>
      <c r="S252" s="14"/>
      <c r="T252" s="33">
        <f>SUM(T249:T251)</f>
        <v>-1315706.0974322846</v>
      </c>
      <c r="U252" s="14"/>
      <c r="V252" s="31">
        <f>IF(T$12=0,0,T252/T$12)</f>
        <v>-0.13487947297423233</v>
      </c>
      <c r="W252" s="16"/>
      <c r="X252" s="33">
        <f>+P252-T252</f>
        <v>-131319.01256771921</v>
      </c>
      <c r="Y252" s="16"/>
      <c r="Z252" s="31">
        <f>IF(T252=0,0,X252/T252)</f>
        <v>9.9808774029397404E-2</v>
      </c>
    </row>
    <row r="253" spans="1:26" ht="15.75" thickTop="1" x14ac:dyDescent="0.25">
      <c r="A253" s="9"/>
      <c r="C253" s="9"/>
      <c r="D253" s="18"/>
      <c r="E253" s="18"/>
      <c r="G253" s="18"/>
      <c r="H253" s="18"/>
      <c r="I253" s="18"/>
      <c r="J253" s="42"/>
      <c r="K253" s="18"/>
      <c r="L253" s="18"/>
      <c r="M253" s="18"/>
      <c r="P253" s="18"/>
      <c r="Q253" s="18"/>
      <c r="R253" s="42"/>
      <c r="S253" s="18"/>
      <c r="T253" s="18"/>
      <c r="U253" s="18"/>
      <c r="V253" s="42"/>
      <c r="W253" s="18"/>
      <c r="X253" s="18"/>
    </row>
    <row r="254" spans="1:26" x14ac:dyDescent="0.25">
      <c r="A254" s="9"/>
      <c r="B254" s="56">
        <v>44454.686113773147</v>
      </c>
      <c r="D254" s="18"/>
      <c r="E254" s="18"/>
      <c r="G254" s="18"/>
      <c r="H254" s="18"/>
      <c r="I254" s="18"/>
      <c r="J254" s="42"/>
      <c r="K254" s="18"/>
      <c r="L254" s="18"/>
      <c r="M254" s="18"/>
      <c r="P254" s="18"/>
      <c r="Q254" s="18"/>
      <c r="R254" s="42"/>
      <c r="S254" s="18"/>
      <c r="T254" s="18"/>
      <c r="U254" s="18"/>
      <c r="V254" s="42"/>
      <c r="W254" s="18"/>
      <c r="X254" s="18"/>
    </row>
    <row r="255" spans="1:26" x14ac:dyDescent="0.25">
      <c r="A255" s="9"/>
      <c r="B255" s="55" t="s">
        <v>56</v>
      </c>
      <c r="D255" s="18"/>
      <c r="E255" s="18"/>
      <c r="G255" s="18"/>
      <c r="H255" s="18"/>
      <c r="I255" s="18"/>
      <c r="J255" s="42"/>
      <c r="K255" s="18"/>
      <c r="L255" s="18"/>
      <c r="M255" s="18"/>
      <c r="P255" s="18"/>
      <c r="Q255" s="18"/>
      <c r="R255" s="42"/>
      <c r="S255" s="18"/>
      <c r="T255" s="18"/>
      <c r="U255" s="18"/>
      <c r="V255" s="42"/>
      <c r="W255" s="18"/>
      <c r="X255" s="18"/>
    </row>
    <row r="256" spans="1:26" x14ac:dyDescent="0.25">
      <c r="A256" s="9"/>
      <c r="B256" s="63"/>
      <c r="D256" s="18"/>
      <c r="E256" s="18"/>
      <c r="G256" s="18"/>
      <c r="H256" s="18"/>
      <c r="I256" s="18"/>
      <c r="J256" s="42"/>
      <c r="K256" s="18"/>
      <c r="L256" s="18"/>
      <c r="M256" s="18"/>
      <c r="P256" s="18"/>
      <c r="Q256" s="18"/>
      <c r="R256" s="42"/>
      <c r="S256" s="18"/>
      <c r="T256" s="18"/>
      <c r="U256" s="18"/>
      <c r="V256" s="42"/>
      <c r="W256" s="18"/>
      <c r="X256" s="18"/>
    </row>
    <row r="257" spans="4:24" x14ac:dyDescent="0.25">
      <c r="D257" s="18"/>
      <c r="E257" s="18"/>
      <c r="G257" s="18"/>
      <c r="H257" s="18"/>
      <c r="I257" s="18"/>
      <c r="J257" s="42"/>
      <c r="K257" s="18"/>
      <c r="L257" s="18"/>
      <c r="M257" s="18"/>
      <c r="P257" s="18"/>
      <c r="Q257" s="18"/>
      <c r="R257" s="42"/>
      <c r="S257" s="18"/>
      <c r="T257" s="18"/>
      <c r="U257" s="18"/>
      <c r="V257" s="42"/>
      <c r="W257" s="18"/>
      <c r="X25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5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264504.17999999993</v>
      </c>
      <c r="E12" s="4"/>
      <c r="F12" s="12"/>
      <c r="G12" s="4"/>
      <c r="H12" s="4">
        <f>SUM(OSRRefH13x_0)</f>
        <v>366512</v>
      </c>
      <c r="I12" s="4"/>
      <c r="J12" s="12"/>
      <c r="K12" s="4"/>
      <c r="L12" s="4">
        <f t="shared" ref="L12:L78" si="0">+D12-H12</f>
        <v>-102007.82000000007</v>
      </c>
      <c r="M12" s="4"/>
      <c r="N12" s="12">
        <f t="shared" ref="N12:N78" si="1">IF(H12=0,0,L12/H12)</f>
        <v>-0.27832054612127316</v>
      </c>
      <c r="O12" s="10"/>
      <c r="P12" s="4">
        <f>SUM(OSRRefP13x_0)</f>
        <v>5473905.9399999985</v>
      </c>
      <c r="Q12" s="4"/>
      <c r="R12" s="12"/>
      <c r="S12" s="4"/>
      <c r="T12" s="4">
        <f>SUM(OSRRefT13x_0)</f>
        <v>9142211</v>
      </c>
      <c r="U12" s="4"/>
      <c r="V12" s="12"/>
      <c r="W12" s="4"/>
      <c r="X12" s="4">
        <f t="shared" ref="X12:X78" si="2">+P12-T12</f>
        <v>-3668305.0600000015</v>
      </c>
      <c r="Y12" s="4"/>
      <c r="Z12" s="12">
        <f t="shared" ref="Z12:Z78" si="3">IF(T12=0,0,X12/T12)</f>
        <v>-0.40124922297242993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-6560.42</f>
        <v>-6560.42</v>
      </c>
      <c r="E13" s="2"/>
      <c r="F13" s="19"/>
      <c r="G13" s="2"/>
      <c r="H13" s="2">
        <v>362693</v>
      </c>
      <c r="I13" s="2"/>
      <c r="J13" s="19"/>
      <c r="K13" s="2"/>
      <c r="L13" s="2">
        <f t="shared" si="0"/>
        <v>-369253.42</v>
      </c>
      <c r="M13" s="2"/>
      <c r="N13" s="19">
        <f t="shared" si="1"/>
        <v>-1.0180880800015439</v>
      </c>
      <c r="O13" s="11"/>
      <c r="P13" s="2">
        <f>-151009.45</f>
        <v>-151009.45000000001</v>
      </c>
      <c r="Q13" s="2"/>
      <c r="R13" s="19"/>
      <c r="S13" s="2"/>
      <c r="T13" s="2">
        <v>8845162</v>
      </c>
      <c r="U13" s="2"/>
      <c r="V13" s="19"/>
      <c r="W13" s="2"/>
      <c r="X13" s="2">
        <f t="shared" si="2"/>
        <v>-8996171.4499999993</v>
      </c>
      <c r="Y13" s="2"/>
      <c r="Z13" s="19">
        <f t="shared" si="3"/>
        <v>-1.0170725476819982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--9691.34</f>
        <v>9691.34</v>
      </c>
      <c r="E14" s="2"/>
      <c r="F14" s="19"/>
      <c r="G14" s="2"/>
      <c r="H14" s="2"/>
      <c r="I14" s="2"/>
      <c r="J14" s="19"/>
      <c r="K14" s="2"/>
      <c r="L14" s="2">
        <f t="shared" si="0"/>
        <v>9691.34</v>
      </c>
      <c r="M14" s="2"/>
      <c r="N14" s="19">
        <f t="shared" si="1"/>
        <v>0</v>
      </c>
      <c r="O14" s="11"/>
      <c r="P14" s="2">
        <f>--1308779.9</f>
        <v>1308779.8999999999</v>
      </c>
      <c r="Q14" s="2"/>
      <c r="R14" s="19"/>
      <c r="S14" s="2"/>
      <c r="T14" s="2"/>
      <c r="U14" s="2"/>
      <c r="V14" s="19"/>
      <c r="W14" s="2"/>
      <c r="X14" s="2">
        <f t="shared" si="2"/>
        <v>1308779.8999999999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--6642.8</f>
        <v>6642.8</v>
      </c>
      <c r="E15" s="2"/>
      <c r="F15" s="19"/>
      <c r="G15" s="2"/>
      <c r="H15" s="2"/>
      <c r="I15" s="2"/>
      <c r="J15" s="19"/>
      <c r="K15" s="2"/>
      <c r="L15" s="2">
        <f t="shared" si="0"/>
        <v>6642.8</v>
      </c>
      <c r="M15" s="2"/>
      <c r="N15" s="19">
        <f t="shared" si="1"/>
        <v>0</v>
      </c>
      <c r="O15" s="11"/>
      <c r="P15" s="2">
        <f>--596913.27</f>
        <v>596913.27</v>
      </c>
      <c r="Q15" s="2"/>
      <c r="R15" s="19"/>
      <c r="S15" s="2"/>
      <c r="T15" s="2"/>
      <c r="U15" s="2"/>
      <c r="V15" s="19"/>
      <c r="W15" s="2"/>
      <c r="X15" s="2">
        <f t="shared" si="2"/>
        <v>596913.27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--25.1</f>
        <v>25.1</v>
      </c>
      <c r="E21" s="2"/>
      <c r="F21" s="19"/>
      <c r="G21" s="2"/>
      <c r="H21" s="2"/>
      <c r="I21" s="2"/>
      <c r="J21" s="19"/>
      <c r="K21" s="2"/>
      <c r="L21" s="2">
        <f t="shared" si="0"/>
        <v>25.1</v>
      </c>
      <c r="M21" s="2"/>
      <c r="N21" s="19">
        <f t="shared" si="1"/>
        <v>0</v>
      </c>
      <c r="O21" s="11"/>
      <c r="P21" s="2">
        <f>--547.64</f>
        <v>547.64</v>
      </c>
      <c r="Q21" s="2"/>
      <c r="R21" s="19"/>
      <c r="S21" s="2"/>
      <c r="T21" s="2"/>
      <c r="U21" s="2"/>
      <c r="V21" s="19"/>
      <c r="W21" s="2"/>
      <c r="X21" s="2">
        <f t="shared" si="2"/>
        <v>547.64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--3459.71</f>
        <v>3459.71</v>
      </c>
      <c r="E22" s="2"/>
      <c r="F22" s="19"/>
      <c r="G22" s="2"/>
      <c r="H22" s="2"/>
      <c r="I22" s="2"/>
      <c r="J22" s="19"/>
      <c r="K22" s="2"/>
      <c r="L22" s="2">
        <f t="shared" si="0"/>
        <v>3459.71</v>
      </c>
      <c r="M22" s="2"/>
      <c r="N22" s="19">
        <f t="shared" si="1"/>
        <v>0</v>
      </c>
      <c r="O22" s="11"/>
      <c r="P22" s="2">
        <f>--73564</f>
        <v>73564</v>
      </c>
      <c r="Q22" s="2"/>
      <c r="R22" s="19"/>
      <c r="S22" s="2"/>
      <c r="T22" s="2"/>
      <c r="U22" s="2"/>
      <c r="V22" s="19"/>
      <c r="W22" s="2"/>
      <c r="X22" s="2">
        <f t="shared" si="2"/>
        <v>73564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--2312.88</f>
        <v>2312.88</v>
      </c>
      <c r="E23" s="2"/>
      <c r="F23" s="19"/>
      <c r="G23" s="2"/>
      <c r="H23" s="2"/>
      <c r="I23" s="2"/>
      <c r="J23" s="19"/>
      <c r="K23" s="2"/>
      <c r="L23" s="2">
        <f t="shared" si="0"/>
        <v>2312.88</v>
      </c>
      <c r="M23" s="2"/>
      <c r="N23" s="19">
        <f t="shared" si="1"/>
        <v>0</v>
      </c>
      <c r="O23" s="11"/>
      <c r="P23" s="2">
        <f>--50708.2</f>
        <v>50708.2</v>
      </c>
      <c r="Q23" s="2"/>
      <c r="R23" s="19"/>
      <c r="S23" s="2"/>
      <c r="T23" s="2"/>
      <c r="U23" s="2"/>
      <c r="V23" s="19"/>
      <c r="W23" s="2"/>
      <c r="X23" s="2">
        <f t="shared" si="2"/>
        <v>50708.2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--380.76</f>
        <v>380.76</v>
      </c>
      <c r="E24" s="2"/>
      <c r="F24" s="19"/>
      <c r="G24" s="2"/>
      <c r="H24" s="2"/>
      <c r="I24" s="2"/>
      <c r="J24" s="19"/>
      <c r="K24" s="2"/>
      <c r="L24" s="2">
        <f t="shared" si="0"/>
        <v>380.76</v>
      </c>
      <c r="M24" s="2"/>
      <c r="N24" s="19">
        <f t="shared" si="1"/>
        <v>0</v>
      </c>
      <c r="O24" s="11"/>
      <c r="P24" s="2">
        <f>--5081.47</f>
        <v>5081.47</v>
      </c>
      <c r="Q24" s="2"/>
      <c r="R24" s="19"/>
      <c r="S24" s="2"/>
      <c r="T24" s="2"/>
      <c r="U24" s="2"/>
      <c r="V24" s="19"/>
      <c r="W24" s="2"/>
      <c r="X24" s="2">
        <f t="shared" si="2"/>
        <v>5081.47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--109798.76</f>
        <v>109798.76</v>
      </c>
      <c r="E26" s="2"/>
      <c r="F26" s="19"/>
      <c r="G26" s="2"/>
      <c r="H26" s="2"/>
      <c r="I26" s="2"/>
      <c r="J26" s="19"/>
      <c r="K26" s="2"/>
      <c r="L26" s="2">
        <f t="shared" si="0"/>
        <v>109798.76</v>
      </c>
      <c r="M26" s="2"/>
      <c r="N26" s="19">
        <f t="shared" si="1"/>
        <v>0</v>
      </c>
      <c r="O26" s="11"/>
      <c r="P26" s="2">
        <f>--1210378.91</f>
        <v>1210378.9099999999</v>
      </c>
      <c r="Q26" s="2"/>
      <c r="R26" s="19"/>
      <c r="S26" s="2"/>
      <c r="T26" s="2"/>
      <c r="U26" s="2"/>
      <c r="V26" s="19"/>
      <c r="W26" s="2"/>
      <c r="X26" s="2">
        <f t="shared" si="2"/>
        <v>1210378.9099999999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--80467.62</f>
        <v>80467.62</v>
      </c>
      <c r="E27" s="2"/>
      <c r="F27" s="19"/>
      <c r="G27" s="2"/>
      <c r="H27" s="2"/>
      <c r="I27" s="2"/>
      <c r="J27" s="19"/>
      <c r="K27" s="2"/>
      <c r="L27" s="2">
        <f t="shared" si="0"/>
        <v>80467.62</v>
      </c>
      <c r="M27" s="2"/>
      <c r="N27" s="19">
        <f t="shared" si="1"/>
        <v>0</v>
      </c>
      <c r="O27" s="11"/>
      <c r="P27" s="2">
        <f>--712240.21</f>
        <v>712240.21</v>
      </c>
      <c r="Q27" s="2"/>
      <c r="R27" s="19"/>
      <c r="S27" s="2"/>
      <c r="T27" s="2"/>
      <c r="U27" s="2"/>
      <c r="V27" s="19"/>
      <c r="W27" s="2"/>
      <c r="X27" s="2">
        <f t="shared" si="2"/>
        <v>712240.21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--7345.28</f>
        <v>7345.28</v>
      </c>
      <c r="E28" s="2"/>
      <c r="F28" s="19"/>
      <c r="G28" s="2"/>
      <c r="H28" s="2"/>
      <c r="I28" s="2"/>
      <c r="J28" s="19"/>
      <c r="K28" s="2"/>
      <c r="L28" s="2">
        <f t="shared" si="0"/>
        <v>7345.28</v>
      </c>
      <c r="M28" s="2"/>
      <c r="N28" s="19">
        <f t="shared" si="1"/>
        <v>0</v>
      </c>
      <c r="O28" s="11"/>
      <c r="P28" s="2">
        <f>--116251.83</f>
        <v>116251.83</v>
      </c>
      <c r="Q28" s="2"/>
      <c r="R28" s="19"/>
      <c r="S28" s="2"/>
      <c r="T28" s="2"/>
      <c r="U28" s="2"/>
      <c r="V28" s="19"/>
      <c r="W28" s="2"/>
      <c r="X28" s="2">
        <f t="shared" si="2"/>
        <v>116251.83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--2949.38</f>
        <v>2949.38</v>
      </c>
      <c r="E29" s="2"/>
      <c r="F29" s="19"/>
      <c r="G29" s="2"/>
      <c r="H29" s="2"/>
      <c r="I29" s="2"/>
      <c r="J29" s="19"/>
      <c r="K29" s="2"/>
      <c r="L29" s="2">
        <f t="shared" si="0"/>
        <v>2949.38</v>
      </c>
      <c r="M29" s="2"/>
      <c r="N29" s="19">
        <f t="shared" si="1"/>
        <v>0</v>
      </c>
      <c r="O29" s="11"/>
      <c r="P29" s="2">
        <f>--147027.05</f>
        <v>147027.04999999999</v>
      </c>
      <c r="Q29" s="2"/>
      <c r="R29" s="19"/>
      <c r="S29" s="2"/>
      <c r="T29" s="2"/>
      <c r="U29" s="2"/>
      <c r="V29" s="19"/>
      <c r="W29" s="2"/>
      <c r="X29" s="2">
        <f t="shared" si="2"/>
        <v>147027.04999999999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--2172.33</f>
        <v>2172.33</v>
      </c>
      <c r="E30" s="2"/>
      <c r="F30" s="19"/>
      <c r="G30" s="2"/>
      <c r="H30" s="2"/>
      <c r="I30" s="2"/>
      <c r="J30" s="19"/>
      <c r="K30" s="2"/>
      <c r="L30" s="2">
        <f t="shared" si="0"/>
        <v>2172.33</v>
      </c>
      <c r="M30" s="2"/>
      <c r="N30" s="19">
        <f t="shared" si="1"/>
        <v>0</v>
      </c>
      <c r="O30" s="11"/>
      <c r="P30" s="2">
        <f>--43288.66</f>
        <v>43288.66</v>
      </c>
      <c r="Q30" s="2"/>
      <c r="R30" s="19"/>
      <c r="S30" s="2"/>
      <c r="T30" s="2"/>
      <c r="U30" s="2"/>
      <c r="V30" s="19"/>
      <c r="W30" s="2"/>
      <c r="X30" s="2">
        <f t="shared" si="2"/>
        <v>43288.66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--81300.55</f>
        <v>81300.55</v>
      </c>
      <c r="E31" s="2"/>
      <c r="F31" s="19"/>
      <c r="G31" s="2"/>
      <c r="H31" s="2"/>
      <c r="I31" s="2"/>
      <c r="J31" s="19"/>
      <c r="K31" s="2"/>
      <c r="L31" s="2">
        <f t="shared" si="0"/>
        <v>81300.55</v>
      </c>
      <c r="M31" s="2"/>
      <c r="N31" s="19">
        <f t="shared" si="1"/>
        <v>0</v>
      </c>
      <c r="O31" s="11"/>
      <c r="P31" s="2">
        <f>--314878.48</f>
        <v>314878.48</v>
      </c>
      <c r="Q31" s="2"/>
      <c r="R31" s="19"/>
      <c r="S31" s="2"/>
      <c r="T31" s="2"/>
      <c r="U31" s="2"/>
      <c r="V31" s="19"/>
      <c r="W31" s="2"/>
      <c r="X31" s="2">
        <f t="shared" si="2"/>
        <v>314878.48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--71.95</f>
        <v>71.95</v>
      </c>
      <c r="Q32" s="2"/>
      <c r="R32" s="19"/>
      <c r="S32" s="2"/>
      <c r="T32" s="2"/>
      <c r="U32" s="2"/>
      <c r="V32" s="19"/>
      <c r="W32" s="2"/>
      <c r="X32" s="2">
        <f t="shared" si="2"/>
        <v>71.95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--9.99</f>
        <v>9.99</v>
      </c>
      <c r="Q33" s="2"/>
      <c r="R33" s="19"/>
      <c r="S33" s="2"/>
      <c r="T33" s="2"/>
      <c r="U33" s="2"/>
      <c r="V33" s="19"/>
      <c r="W33" s="2"/>
      <c r="X33" s="2">
        <f t="shared" si="2"/>
        <v>9.99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"4095", " - ", "TAXABLE SALES-CUSTOMER SERVICE")</f>
        <v xml:space="preserve">          4095 - TAXABLE SALES-CUSTOMER SERVICE</v>
      </c>
      <c r="C34" s="11"/>
      <c r="D34" s="2">
        <f>--1688.17</f>
        <v>1688.17</v>
      </c>
      <c r="E34" s="2"/>
      <c r="F34" s="19"/>
      <c r="G34" s="2"/>
      <c r="H34" s="2"/>
      <c r="I34" s="2"/>
      <c r="J34" s="19"/>
      <c r="K34" s="2"/>
      <c r="L34" s="2">
        <f t="shared" si="0"/>
        <v>1688.17</v>
      </c>
      <c r="M34" s="2"/>
      <c r="N34" s="19">
        <f t="shared" si="1"/>
        <v>0</v>
      </c>
      <c r="O34" s="11"/>
      <c r="P34" s="2">
        <f>--15614</f>
        <v>15614</v>
      </c>
      <c r="Q34" s="2"/>
      <c r="R34" s="19"/>
      <c r="S34" s="2"/>
      <c r="T34" s="2"/>
      <c r="U34" s="2"/>
      <c r="V34" s="19"/>
      <c r="W34" s="2"/>
      <c r="X34" s="2">
        <f t="shared" si="2"/>
        <v>15614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"4100", " - ", "NON-TAXABLE SALES")</f>
        <v xml:space="preserve">          4100 - NON-TAXABLE SALES</v>
      </c>
      <c r="C35" s="11"/>
      <c r="D35" s="2">
        <f>-14487.2</f>
        <v>-14487.2</v>
      </c>
      <c r="E35" s="2"/>
      <c r="F35" s="19"/>
      <c r="G35" s="2"/>
      <c r="H35" s="2">
        <v>3819</v>
      </c>
      <c r="I35" s="2"/>
      <c r="J35" s="19"/>
      <c r="K35" s="2"/>
      <c r="L35" s="2">
        <f t="shared" si="0"/>
        <v>-18306.2</v>
      </c>
      <c r="M35" s="2"/>
      <c r="N35" s="19">
        <f t="shared" si="1"/>
        <v>-4.793453783713014</v>
      </c>
      <c r="O35" s="11"/>
      <c r="P35" s="2">
        <f>--262897.78</f>
        <v>262897.78000000003</v>
      </c>
      <c r="Q35" s="2"/>
      <c r="R35" s="19"/>
      <c r="S35" s="2"/>
      <c r="T35" s="2">
        <v>297049</v>
      </c>
      <c r="U35" s="2"/>
      <c r="V35" s="19"/>
      <c r="W35" s="2"/>
      <c r="X35" s="2">
        <f t="shared" si="2"/>
        <v>-34151.219999999972</v>
      </c>
      <c r="Y35" s="2"/>
      <c r="Z35" s="19">
        <f t="shared" si="3"/>
        <v>-0.11496830489245873</v>
      </c>
    </row>
    <row r="36" spans="1:26" s="24" customFormat="1" hidden="1" outlineLevel="1" x14ac:dyDescent="0.25">
      <c r="A36" s="44"/>
      <c r="B36" s="11" t="str">
        <f>CONCATENATE("          ", "4101", " - ", "NON-TAXABLE SALES-NEW TEXT")</f>
        <v xml:space="preserve">          4101 - NON-TAXABLE SALES-NEW TEXT</v>
      </c>
      <c r="C36" s="11"/>
      <c r="D36" s="2">
        <f>--1301.39</f>
        <v>1301.3900000000001</v>
      </c>
      <c r="E36" s="2"/>
      <c r="F36" s="19"/>
      <c r="G36" s="2"/>
      <c r="H36" s="2"/>
      <c r="I36" s="2"/>
      <c r="J36" s="19"/>
      <c r="K36" s="2"/>
      <c r="L36" s="2">
        <f t="shared" si="0"/>
        <v>1301.3900000000001</v>
      </c>
      <c r="M36" s="2"/>
      <c r="N36" s="19">
        <f t="shared" si="1"/>
        <v>0</v>
      </c>
      <c r="O36" s="11"/>
      <c r="P36" s="2">
        <f>--120548.46</f>
        <v>120548.46</v>
      </c>
      <c r="Q36" s="2"/>
      <c r="R36" s="19"/>
      <c r="S36" s="2"/>
      <c r="T36" s="2"/>
      <c r="U36" s="2"/>
      <c r="V36" s="19"/>
      <c r="W36" s="2"/>
      <c r="X36" s="2">
        <f t="shared" si="2"/>
        <v>120548.46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"4102", " - ", "NON-TAXABLE SALES-USED TEXT")</f>
        <v xml:space="preserve">          4102 - NON-TAXABLE SALES-USED TEXT</v>
      </c>
      <c r="C37" s="11"/>
      <c r="D37" s="2">
        <f>--540.91</f>
        <v>540.91</v>
      </c>
      <c r="E37" s="2"/>
      <c r="F37" s="19"/>
      <c r="G37" s="2"/>
      <c r="H37" s="2"/>
      <c r="I37" s="2"/>
      <c r="J37" s="19"/>
      <c r="K37" s="2"/>
      <c r="L37" s="2">
        <f t="shared" si="0"/>
        <v>540.91</v>
      </c>
      <c r="M37" s="2"/>
      <c r="N37" s="19">
        <f t="shared" si="1"/>
        <v>0</v>
      </c>
      <c r="O37" s="11"/>
      <c r="P37" s="2">
        <f>--51587.64</f>
        <v>51587.64</v>
      </c>
      <c r="Q37" s="2"/>
      <c r="R37" s="19"/>
      <c r="S37" s="2"/>
      <c r="T37" s="2"/>
      <c r="U37" s="2"/>
      <c r="V37" s="19"/>
      <c r="W37" s="2"/>
      <c r="X37" s="2">
        <f t="shared" si="2"/>
        <v>51587.64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--1138.95</f>
        <v>1138.95</v>
      </c>
      <c r="Q38" s="2"/>
      <c r="R38" s="19"/>
      <c r="S38" s="2"/>
      <c r="T38" s="2"/>
      <c r="U38" s="2"/>
      <c r="V38" s="19"/>
      <c r="W38" s="2"/>
      <c r="X38" s="2">
        <f t="shared" si="2"/>
        <v>1138.95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--695.53</f>
        <v>695.53</v>
      </c>
      <c r="E39" s="2"/>
      <c r="F39" s="19"/>
      <c r="G39" s="2"/>
      <c r="H39" s="2"/>
      <c r="I39" s="2"/>
      <c r="J39" s="19"/>
      <c r="K39" s="2"/>
      <c r="L39" s="2">
        <f t="shared" si="0"/>
        <v>695.53</v>
      </c>
      <c r="M39" s="2"/>
      <c r="N39" s="19">
        <f t="shared" si="1"/>
        <v>0</v>
      </c>
      <c r="O39" s="11"/>
      <c r="P39" s="2">
        <f>--491583.26</f>
        <v>491583.26</v>
      </c>
      <c r="Q39" s="2"/>
      <c r="R39" s="19"/>
      <c r="S39" s="2"/>
      <c r="T39" s="2"/>
      <c r="U39" s="2"/>
      <c r="V39" s="19"/>
      <c r="W39" s="2"/>
      <c r="X39" s="2">
        <f t="shared" si="2"/>
        <v>491583.26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--12127.25</f>
        <v>12127.25</v>
      </c>
      <c r="Q40" s="2"/>
      <c r="R40" s="19"/>
      <c r="S40" s="2"/>
      <c r="T40" s="2"/>
      <c r="U40" s="2"/>
      <c r="V40" s="19"/>
      <c r="W40" s="2"/>
      <c r="X40" s="2">
        <f t="shared" si="2"/>
        <v>12127.25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>--594.22</f>
        <v>594.22</v>
      </c>
      <c r="E41" s="2"/>
      <c r="F41" s="19"/>
      <c r="G41" s="2"/>
      <c r="H41" s="2"/>
      <c r="I41" s="2"/>
      <c r="J41" s="19"/>
      <c r="K41" s="2"/>
      <c r="L41" s="2">
        <f t="shared" si="0"/>
        <v>594.22</v>
      </c>
      <c r="M41" s="2"/>
      <c r="N41" s="19">
        <f t="shared" si="1"/>
        <v>0</v>
      </c>
      <c r="O41" s="11"/>
      <c r="P41" s="2">
        <f>--1365.95</f>
        <v>1365.95</v>
      </c>
      <c r="Q41" s="2"/>
      <c r="R41" s="19"/>
      <c r="S41" s="2"/>
      <c r="T41" s="2"/>
      <c r="U41" s="2"/>
      <c r="V41" s="19"/>
      <c r="W41" s="2"/>
      <c r="X41" s="2">
        <f t="shared" si="2"/>
        <v>1365.95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--52.68</f>
        <v>52.68</v>
      </c>
      <c r="Q42" s="2"/>
      <c r="R42" s="19"/>
      <c r="S42" s="2"/>
      <c r="T42" s="2"/>
      <c r="U42" s="2"/>
      <c r="V42" s="19"/>
      <c r="W42" s="2"/>
      <c r="X42" s="2">
        <f t="shared" si="2"/>
        <v>52.68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--99.87</f>
        <v>99.87</v>
      </c>
      <c r="E43" s="2"/>
      <c r="F43" s="19"/>
      <c r="G43" s="2"/>
      <c r="H43" s="2"/>
      <c r="I43" s="2"/>
      <c r="J43" s="19"/>
      <c r="K43" s="2"/>
      <c r="L43" s="2">
        <f t="shared" si="0"/>
        <v>99.87</v>
      </c>
      <c r="M43" s="2"/>
      <c r="N43" s="19">
        <f t="shared" si="1"/>
        <v>0</v>
      </c>
      <c r="O43" s="11"/>
      <c r="P43" s="2">
        <f>--7748.6</f>
        <v>7748.6</v>
      </c>
      <c r="Q43" s="2"/>
      <c r="R43" s="19"/>
      <c r="S43" s="2"/>
      <c r="T43" s="2"/>
      <c r="U43" s="2"/>
      <c r="V43" s="19"/>
      <c r="W43" s="2"/>
      <c r="X43" s="2">
        <f t="shared" si="2"/>
        <v>7748.6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"4128", " - ", "NON-TAXABLE SALES-ART/TECH")</f>
        <v xml:space="preserve">          4128 - NON-TAXABLE SALES-ART/TECH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--115.91</f>
        <v>115.91</v>
      </c>
      <c r="Q44" s="2"/>
      <c r="R44" s="19"/>
      <c r="S44" s="2"/>
      <c r="T44" s="2"/>
      <c r="U44" s="2"/>
      <c r="V44" s="19"/>
      <c r="W44" s="2"/>
      <c r="X44" s="2">
        <f t="shared" si="2"/>
        <v>115.91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>--540.62</f>
        <v>540.62</v>
      </c>
      <c r="E45" s="2"/>
      <c r="F45" s="19"/>
      <c r="G45" s="2"/>
      <c r="H45" s="2"/>
      <c r="I45" s="2"/>
      <c r="J45" s="19"/>
      <c r="K45" s="2"/>
      <c r="L45" s="2">
        <f t="shared" si="0"/>
        <v>540.62</v>
      </c>
      <c r="M45" s="2"/>
      <c r="N45" s="19">
        <f t="shared" si="1"/>
        <v>0</v>
      </c>
      <c r="O45" s="11"/>
      <c r="P45" s="2">
        <f>--12696.76</f>
        <v>12696.76</v>
      </c>
      <c r="Q45" s="2"/>
      <c r="R45" s="19"/>
      <c r="S45" s="2"/>
      <c r="T45" s="2"/>
      <c r="U45" s="2"/>
      <c r="V45" s="19"/>
      <c r="W45" s="2"/>
      <c r="X45" s="2">
        <f t="shared" si="2"/>
        <v>12696.76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5"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--22.49</f>
        <v>22.49</v>
      </c>
      <c r="Q46" s="2"/>
      <c r="R46" s="19"/>
      <c r="S46" s="2"/>
      <c r="T46" s="2"/>
      <c r="U46" s="2"/>
      <c r="V46" s="19"/>
      <c r="W46" s="2"/>
      <c r="X46" s="2">
        <f t="shared" si="2"/>
        <v>22.49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5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--80.71</f>
        <v>80.709999999999994</v>
      </c>
      <c r="Q47" s="2"/>
      <c r="R47" s="19"/>
      <c r="S47" s="2"/>
      <c r="T47" s="2"/>
      <c r="U47" s="2"/>
      <c r="V47" s="19"/>
      <c r="W47" s="2"/>
      <c r="X47" s="2">
        <f t="shared" si="2"/>
        <v>80.709999999999994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5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--45.53</f>
        <v>45.53</v>
      </c>
      <c r="Q48" s="2"/>
      <c r="R48" s="19"/>
      <c r="S48" s="2"/>
      <c r="T48" s="2"/>
      <c r="U48" s="2"/>
      <c r="V48" s="19"/>
      <c r="W48" s="2"/>
      <c r="X48" s="2">
        <f t="shared" si="2"/>
        <v>45.53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5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--68.25</f>
        <v>68.25</v>
      </c>
      <c r="Q49" s="2"/>
      <c r="R49" s="19"/>
      <c r="S49" s="2"/>
      <c r="T49" s="2"/>
      <c r="U49" s="2"/>
      <c r="V49" s="19"/>
      <c r="W49" s="2"/>
      <c r="X49" s="2">
        <f t="shared" si="2"/>
        <v>68.25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--9520.45</f>
        <v>9520.4500000000007</v>
      </c>
      <c r="E50" s="2"/>
      <c r="F50" s="19"/>
      <c r="G50" s="2"/>
      <c r="H50" s="2"/>
      <c r="I50" s="2"/>
      <c r="J50" s="19"/>
      <c r="K50" s="2"/>
      <c r="L50" s="2">
        <f t="shared" si="0"/>
        <v>9520.4500000000007</v>
      </c>
      <c r="M50" s="2"/>
      <c r="N50" s="19">
        <f t="shared" si="1"/>
        <v>0</v>
      </c>
      <c r="O50" s="11"/>
      <c r="P50" s="2">
        <f>--181046.21</f>
        <v>181046.21</v>
      </c>
      <c r="Q50" s="2"/>
      <c r="R50" s="19"/>
      <c r="S50" s="2"/>
      <c r="T50" s="2"/>
      <c r="U50" s="2"/>
      <c r="V50" s="19"/>
      <c r="W50" s="2"/>
      <c r="X50" s="2">
        <f t="shared" si="2"/>
        <v>181046.21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-25127.54</f>
        <v>-25127.54</v>
      </c>
      <c r="E51" s="2"/>
      <c r="F51" s="19"/>
      <c r="G51" s="2"/>
      <c r="H51" s="2"/>
      <c r="I51" s="2"/>
      <c r="J51" s="19"/>
      <c r="K51" s="2"/>
      <c r="L51" s="2">
        <f t="shared" si="0"/>
        <v>-25127.54</v>
      </c>
      <c r="M51" s="2"/>
      <c r="N51" s="19">
        <f t="shared" si="1"/>
        <v>0</v>
      </c>
      <c r="O51" s="11"/>
      <c r="P51" s="2">
        <f>--14028.49</f>
        <v>14028.49</v>
      </c>
      <c r="Q51" s="2"/>
      <c r="R51" s="19"/>
      <c r="S51" s="2"/>
      <c r="T51" s="2"/>
      <c r="U51" s="2"/>
      <c r="V51" s="19"/>
      <c r="W51" s="2"/>
      <c r="X51" s="2">
        <f t="shared" si="2"/>
        <v>14028.49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--54.07</f>
        <v>54.07</v>
      </c>
      <c r="E52" s="2"/>
      <c r="F52" s="19"/>
      <c r="G52" s="2"/>
      <c r="H52" s="2"/>
      <c r="I52" s="2"/>
      <c r="J52" s="19"/>
      <c r="K52" s="2"/>
      <c r="L52" s="2">
        <f t="shared" si="0"/>
        <v>54.07</v>
      </c>
      <c r="M52" s="2"/>
      <c r="N52" s="19">
        <f t="shared" si="1"/>
        <v>0</v>
      </c>
      <c r="O52" s="11"/>
      <c r="P52" s="2">
        <f>--2658.52</f>
        <v>2658.52</v>
      </c>
      <c r="Q52" s="2"/>
      <c r="R52" s="19"/>
      <c r="S52" s="2"/>
      <c r="T52" s="2"/>
      <c r="U52" s="2"/>
      <c r="V52" s="19"/>
      <c r="W52" s="2"/>
      <c r="X52" s="2">
        <f t="shared" si="2"/>
        <v>2658.52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>--9.95</f>
        <v>9.9499999999999993</v>
      </c>
      <c r="E53" s="2"/>
      <c r="F53" s="19"/>
      <c r="G53" s="2"/>
      <c r="H53" s="2"/>
      <c r="I53" s="2"/>
      <c r="J53" s="19"/>
      <c r="K53" s="2"/>
      <c r="L53" s="2">
        <f t="shared" si="0"/>
        <v>9.9499999999999993</v>
      </c>
      <c r="M53" s="2"/>
      <c r="N53" s="19">
        <f t="shared" si="1"/>
        <v>0</v>
      </c>
      <c r="O53" s="11"/>
      <c r="P53" s="2">
        <f>--2562.11</f>
        <v>2562.11</v>
      </c>
      <c r="Q53" s="2"/>
      <c r="R53" s="19"/>
      <c r="S53" s="2"/>
      <c r="T53" s="2"/>
      <c r="U53" s="2"/>
      <c r="V53" s="19"/>
      <c r="W53" s="2"/>
      <c r="X53" s="2">
        <f t="shared" si="2"/>
        <v>2562.11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--129.75</f>
        <v>129.75</v>
      </c>
      <c r="E54" s="2"/>
      <c r="F54" s="19"/>
      <c r="G54" s="2"/>
      <c r="H54" s="2"/>
      <c r="I54" s="2"/>
      <c r="J54" s="19"/>
      <c r="K54" s="2"/>
      <c r="L54" s="2">
        <f t="shared" si="0"/>
        <v>129.75</v>
      </c>
      <c r="M54" s="2"/>
      <c r="N54" s="19">
        <f t="shared" si="1"/>
        <v>0</v>
      </c>
      <c r="O54" s="11"/>
      <c r="P54" s="2">
        <f>--1003.55</f>
        <v>1003.55</v>
      </c>
      <c r="Q54" s="2"/>
      <c r="R54" s="19"/>
      <c r="S54" s="2"/>
      <c r="T54" s="2"/>
      <c r="U54" s="2"/>
      <c r="V54" s="19"/>
      <c r="W54" s="2"/>
      <c r="X54" s="2">
        <f t="shared" si="2"/>
        <v>1003.55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--30</f>
        <v>30</v>
      </c>
      <c r="E55" s="2"/>
      <c r="F55" s="19"/>
      <c r="G55" s="2"/>
      <c r="H55" s="2"/>
      <c r="I55" s="2"/>
      <c r="J55" s="19"/>
      <c r="K55" s="2"/>
      <c r="L55" s="2">
        <f t="shared" si="0"/>
        <v>30</v>
      </c>
      <c r="M55" s="2"/>
      <c r="N55" s="19">
        <f t="shared" si="1"/>
        <v>0</v>
      </c>
      <c r="O55" s="11"/>
      <c r="P55" s="2">
        <f>--74096.89</f>
        <v>74096.89</v>
      </c>
      <c r="Q55" s="2"/>
      <c r="R55" s="19"/>
      <c r="S55" s="2"/>
      <c r="T55" s="2"/>
      <c r="U55" s="2"/>
      <c r="V55" s="19"/>
      <c r="W55" s="2"/>
      <c r="X55" s="2">
        <f t="shared" si="2"/>
        <v>74096.89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--282.2</f>
        <v>282.2</v>
      </c>
      <c r="E56" s="2"/>
      <c r="F56" s="19"/>
      <c r="G56" s="2"/>
      <c r="H56" s="2"/>
      <c r="I56" s="2"/>
      <c r="J56" s="19"/>
      <c r="K56" s="2"/>
      <c r="L56" s="2">
        <f t="shared" si="0"/>
        <v>282.2</v>
      </c>
      <c r="M56" s="2"/>
      <c r="N56" s="19">
        <f t="shared" si="1"/>
        <v>0</v>
      </c>
      <c r="O56" s="11"/>
      <c r="P56" s="2">
        <f>--668.1</f>
        <v>668.1</v>
      </c>
      <c r="Q56" s="2"/>
      <c r="R56" s="19"/>
      <c r="S56" s="2"/>
      <c r="T56" s="2"/>
      <c r="U56" s="2"/>
      <c r="V56" s="19"/>
      <c r="W56" s="2"/>
      <c r="X56" s="2">
        <f t="shared" si="2"/>
        <v>668.1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>--4</f>
        <v>4</v>
      </c>
      <c r="E57" s="2"/>
      <c r="F57" s="19"/>
      <c r="G57" s="2"/>
      <c r="H57" s="2"/>
      <c r="I57" s="2"/>
      <c r="J57" s="19"/>
      <c r="K57" s="2"/>
      <c r="L57" s="2">
        <f t="shared" si="0"/>
        <v>4</v>
      </c>
      <c r="M57" s="2"/>
      <c r="N57" s="19">
        <f t="shared" si="1"/>
        <v>0</v>
      </c>
      <c r="O57" s="11"/>
      <c r="P57" s="2">
        <f>--172</f>
        <v>172</v>
      </c>
      <c r="Q57" s="2"/>
      <c r="R57" s="19"/>
      <c r="S57" s="2"/>
      <c r="T57" s="2"/>
      <c r="U57" s="2"/>
      <c r="V57" s="19"/>
      <c r="W57" s="2"/>
      <c r="X57" s="2">
        <f t="shared" si="2"/>
        <v>172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-1101.25</f>
        <v>-1101.25</v>
      </c>
      <c r="E58" s="2"/>
      <c r="F58" s="19"/>
      <c r="G58" s="2"/>
      <c r="H58" s="2"/>
      <c r="I58" s="2"/>
      <c r="J58" s="19"/>
      <c r="K58" s="2"/>
      <c r="L58" s="2">
        <f t="shared" si="0"/>
        <v>-1101.25</v>
      </c>
      <c r="M58" s="2"/>
      <c r="N58" s="19">
        <f t="shared" si="1"/>
        <v>0</v>
      </c>
      <c r="O58" s="11"/>
      <c r="P58" s="2">
        <f>-53397.67</f>
        <v>-53397.67</v>
      </c>
      <c r="Q58" s="2"/>
      <c r="R58" s="19"/>
      <c r="S58" s="2"/>
      <c r="T58" s="2"/>
      <c r="U58" s="2"/>
      <c r="V58" s="19"/>
      <c r="W58" s="2"/>
      <c r="X58" s="2">
        <f t="shared" si="2"/>
        <v>-53397.67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-433.75</f>
        <v>-433.75</v>
      </c>
      <c r="E59" s="2"/>
      <c r="F59" s="19"/>
      <c r="G59" s="2"/>
      <c r="H59" s="2"/>
      <c r="I59" s="2"/>
      <c r="J59" s="19"/>
      <c r="K59" s="2"/>
      <c r="L59" s="2">
        <f t="shared" si="0"/>
        <v>-433.75</v>
      </c>
      <c r="M59" s="2"/>
      <c r="N59" s="19">
        <f t="shared" si="1"/>
        <v>0</v>
      </c>
      <c r="O59" s="11"/>
      <c r="P59" s="2">
        <f>-20889.41</f>
        <v>-20889.41</v>
      </c>
      <c r="Q59" s="2"/>
      <c r="R59" s="19"/>
      <c r="S59" s="2"/>
      <c r="T59" s="2"/>
      <c r="U59" s="2"/>
      <c r="V59" s="19"/>
      <c r="W59" s="2"/>
      <c r="X59" s="2">
        <f t="shared" si="2"/>
        <v>-20889.41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-1763.1</f>
        <v>-1763.1</v>
      </c>
      <c r="Q60" s="2"/>
      <c r="R60" s="19"/>
      <c r="S60" s="2"/>
      <c r="T60" s="2"/>
      <c r="U60" s="2"/>
      <c r="V60" s="19"/>
      <c r="W60" s="2"/>
      <c r="X60" s="2">
        <f t="shared" si="2"/>
        <v>-1763.1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"4213", " - ", "NON-TAXABLE SALES-TRADE BOOKS")</f>
        <v xml:space="preserve">          4213 - NON-TAXABLE SALES-TRADE BOOKS</v>
      </c>
      <c r="C61" s="11"/>
      <c r="D61" s="2">
        <f>-25</f>
        <v>-25</v>
      </c>
      <c r="E61" s="2"/>
      <c r="F61" s="19"/>
      <c r="G61" s="2"/>
      <c r="H61" s="2"/>
      <c r="I61" s="2"/>
      <c r="J61" s="19"/>
      <c r="K61" s="2"/>
      <c r="L61" s="2">
        <f t="shared" si="0"/>
        <v>-25</v>
      </c>
      <c r="M61" s="2"/>
      <c r="N61" s="19">
        <f t="shared" si="1"/>
        <v>0</v>
      </c>
      <c r="O61" s="11"/>
      <c r="P61" s="2">
        <f>-103.92</f>
        <v>-103.92</v>
      </c>
      <c r="Q61" s="2"/>
      <c r="R61" s="19"/>
      <c r="S61" s="2"/>
      <c r="T61" s="2"/>
      <c r="U61" s="2"/>
      <c r="V61" s="19"/>
      <c r="W61" s="2"/>
      <c r="X61" s="2">
        <f t="shared" si="2"/>
        <v>-103.92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"4218", " - ", "SALES RETURN TAXABLE-STUDY GUI")</f>
        <v xml:space="preserve">          4218 - SALES RETURN TAXABLE-STUDY GUI</v>
      </c>
      <c r="C62" s="11"/>
      <c r="D62" s="2">
        <f>-23.44</f>
        <v>-23.44</v>
      </c>
      <c r="E62" s="2"/>
      <c r="F62" s="19"/>
      <c r="G62" s="2"/>
      <c r="H62" s="2"/>
      <c r="I62" s="2"/>
      <c r="J62" s="19"/>
      <c r="K62" s="2"/>
      <c r="L62" s="2">
        <f t="shared" si="0"/>
        <v>-23.44</v>
      </c>
      <c r="M62" s="2"/>
      <c r="N62" s="19">
        <f t="shared" si="1"/>
        <v>0</v>
      </c>
      <c r="O62" s="11"/>
      <c r="P62" s="2">
        <f>-28.65</f>
        <v>-28.65</v>
      </c>
      <c r="Q62" s="2"/>
      <c r="R62" s="19"/>
      <c r="S62" s="2"/>
      <c r="T62" s="2"/>
      <c r="U62" s="2"/>
      <c r="V62" s="19"/>
      <c r="W62" s="2"/>
      <c r="X62" s="2">
        <f t="shared" si="2"/>
        <v>-28.65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"4226", " - ", "SALES RETURN TAXABLE-WRITING I")</f>
        <v xml:space="preserve">          4226 - SALES RETURN TAXABLE-WRITING I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-35.02</f>
        <v>-35.020000000000003</v>
      </c>
      <c r="Q63" s="2"/>
      <c r="R63" s="19"/>
      <c r="S63" s="2"/>
      <c r="T63" s="2"/>
      <c r="U63" s="2"/>
      <c r="V63" s="19"/>
      <c r="W63" s="2"/>
      <c r="X63" s="2">
        <f t="shared" si="2"/>
        <v>-35.020000000000003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"4227", " - ", "SALES RETURN TAXABLE-SCHOOL SU")</f>
        <v xml:space="preserve">          4227 - SALES RETURN TAXABLE-SCHOOL SU</v>
      </c>
      <c r="C64" s="11"/>
      <c r="D64" s="2">
        <f>-80.63</f>
        <v>-80.63</v>
      </c>
      <c r="E64" s="2"/>
      <c r="F64" s="19"/>
      <c r="G64" s="2"/>
      <c r="H64" s="2"/>
      <c r="I64" s="2"/>
      <c r="J64" s="19"/>
      <c r="K64" s="2"/>
      <c r="L64" s="2">
        <f t="shared" si="0"/>
        <v>-80.63</v>
      </c>
      <c r="M64" s="2"/>
      <c r="N64" s="19">
        <f t="shared" si="1"/>
        <v>0</v>
      </c>
      <c r="O64" s="11"/>
      <c r="P64" s="2">
        <f>-1565.11</f>
        <v>-1565.11</v>
      </c>
      <c r="Q64" s="2"/>
      <c r="R64" s="19"/>
      <c r="S64" s="2"/>
      <c r="T64" s="2"/>
      <c r="U64" s="2"/>
      <c r="V64" s="19"/>
      <c r="W64" s="2"/>
      <c r="X64" s="2">
        <f t="shared" si="2"/>
        <v>-1565.11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"4228", " - ", "SALES RETURN TAXABLE-ART/TECH")</f>
        <v xml:space="preserve">          4228 - SALES RETURN TAXABLE-ART/TECH</v>
      </c>
      <c r="C65" s="11"/>
      <c r="D65" s="2">
        <f>-105.6</f>
        <v>-105.6</v>
      </c>
      <c r="E65" s="2"/>
      <c r="F65" s="19"/>
      <c r="G65" s="2"/>
      <c r="H65" s="2"/>
      <c r="I65" s="2"/>
      <c r="J65" s="19"/>
      <c r="K65" s="2"/>
      <c r="L65" s="2">
        <f t="shared" si="0"/>
        <v>-105.6</v>
      </c>
      <c r="M65" s="2"/>
      <c r="N65" s="19">
        <f t="shared" si="1"/>
        <v>0</v>
      </c>
      <c r="O65" s="11"/>
      <c r="P65" s="2">
        <f>-13079.33</f>
        <v>-13079.33</v>
      </c>
      <c r="Q65" s="2"/>
      <c r="R65" s="19"/>
      <c r="S65" s="2"/>
      <c r="T65" s="2"/>
      <c r="U65" s="2"/>
      <c r="V65" s="19"/>
      <c r="W65" s="2"/>
      <c r="X65" s="2">
        <f t="shared" si="2"/>
        <v>-13079.33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"4240", " - ", "SALES RETURN TAXABLE-LOGO CLOT")</f>
        <v xml:space="preserve">          4240 - SALES RETURN TAXABLE-LOGO CLOT</v>
      </c>
      <c r="C66" s="11"/>
      <c r="D66" s="2">
        <f>-4795.71</f>
        <v>-4795.71</v>
      </c>
      <c r="E66" s="2"/>
      <c r="F66" s="19"/>
      <c r="G66" s="2"/>
      <c r="H66" s="2"/>
      <c r="I66" s="2"/>
      <c r="J66" s="19"/>
      <c r="K66" s="2"/>
      <c r="L66" s="2">
        <f t="shared" si="0"/>
        <v>-4795.71</v>
      </c>
      <c r="M66" s="2"/>
      <c r="N66" s="19">
        <f t="shared" si="1"/>
        <v>0</v>
      </c>
      <c r="O66" s="11"/>
      <c r="P66" s="2">
        <f>-51889.15</f>
        <v>-51889.15</v>
      </c>
      <c r="Q66" s="2"/>
      <c r="R66" s="19"/>
      <c r="S66" s="2"/>
      <c r="T66" s="2"/>
      <c r="U66" s="2"/>
      <c r="V66" s="19"/>
      <c r="W66" s="2"/>
      <c r="X66" s="2">
        <f t="shared" si="2"/>
        <v>-51889.15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"4241", " - ", "SALES RETURN TAXABLE-LOGO GIFT")</f>
        <v xml:space="preserve">          4241 - SALES RETURN TAXABLE-LOGO GIFT</v>
      </c>
      <c r="C67" s="11"/>
      <c r="D67" s="2">
        <f>-1907.39</f>
        <v>-1907.39</v>
      </c>
      <c r="E67" s="2"/>
      <c r="F67" s="19"/>
      <c r="G67" s="2"/>
      <c r="H67" s="2"/>
      <c r="I67" s="2"/>
      <c r="J67" s="19"/>
      <c r="K67" s="2"/>
      <c r="L67" s="2">
        <f t="shared" si="0"/>
        <v>-1907.39</v>
      </c>
      <c r="M67" s="2"/>
      <c r="N67" s="19">
        <f t="shared" si="1"/>
        <v>0</v>
      </c>
      <c r="O67" s="11"/>
      <c r="P67" s="2">
        <f>-18587.93</f>
        <v>-18587.93</v>
      </c>
      <c r="Q67" s="2"/>
      <c r="R67" s="19"/>
      <c r="S67" s="2"/>
      <c r="T67" s="2"/>
      <c r="U67" s="2"/>
      <c r="V67" s="19"/>
      <c r="W67" s="2"/>
      <c r="X67" s="2">
        <f t="shared" si="2"/>
        <v>-18587.93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"4242", " - ", "SALES RETURN TAXABLE-EVERYDAY")</f>
        <v xml:space="preserve">          4242 - SALES RETURN TAXABLE-EVERYDAY</v>
      </c>
      <c r="C68" s="11"/>
      <c r="D68" s="2">
        <f>-131.98</f>
        <v>-131.97999999999999</v>
      </c>
      <c r="E68" s="2"/>
      <c r="F68" s="19"/>
      <c r="G68" s="2"/>
      <c r="H68" s="2"/>
      <c r="I68" s="2"/>
      <c r="J68" s="19"/>
      <c r="K68" s="2"/>
      <c r="L68" s="2">
        <f t="shared" si="0"/>
        <v>-131.97999999999999</v>
      </c>
      <c r="M68" s="2"/>
      <c r="N68" s="19">
        <f t="shared" si="1"/>
        <v>0</v>
      </c>
      <c r="O68" s="11"/>
      <c r="P68" s="2">
        <f>-2875.07</f>
        <v>-2875.07</v>
      </c>
      <c r="Q68" s="2"/>
      <c r="R68" s="19"/>
      <c r="S68" s="2"/>
      <c r="T68" s="2"/>
      <c r="U68" s="2"/>
      <c r="V68" s="19"/>
      <c r="W68" s="2"/>
      <c r="X68" s="2">
        <f t="shared" si="2"/>
        <v>-2875.07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"4243", " - ", "SALES RETURN TAXABLE-CARDS")</f>
        <v xml:space="preserve">          4243 - SALES RETURN TAXABLE-CARDS</v>
      </c>
      <c r="C69" s="11"/>
      <c r="D69" s="2">
        <f>-9.99</f>
        <v>-9.99</v>
      </c>
      <c r="E69" s="2"/>
      <c r="F69" s="19"/>
      <c r="G69" s="2"/>
      <c r="H69" s="2"/>
      <c r="I69" s="2"/>
      <c r="J69" s="19"/>
      <c r="K69" s="2"/>
      <c r="L69" s="2">
        <f t="shared" si="0"/>
        <v>-9.99</v>
      </c>
      <c r="M69" s="2"/>
      <c r="N69" s="19">
        <f t="shared" si="1"/>
        <v>0</v>
      </c>
      <c r="O69" s="11"/>
      <c r="P69" s="2">
        <f>-6228.98</f>
        <v>-6228.98</v>
      </c>
      <c r="Q69" s="2"/>
      <c r="R69" s="19"/>
      <c r="S69" s="2"/>
      <c r="T69" s="2"/>
      <c r="U69" s="2"/>
      <c r="V69" s="19"/>
      <c r="W69" s="2"/>
      <c r="X69" s="2">
        <f t="shared" si="2"/>
        <v>-6228.98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"4244", " - ", "SALES RETURN TAXABLE-ACCESSORI")</f>
        <v xml:space="preserve">          4244 - SALES RETURN TAXABLE-ACCESSORI</v>
      </c>
      <c r="C70" s="11"/>
      <c r="D70" s="2">
        <f>-34.84</f>
        <v>-34.840000000000003</v>
      </c>
      <c r="E70" s="2"/>
      <c r="F70" s="19"/>
      <c r="G70" s="2"/>
      <c r="H70" s="2"/>
      <c r="I70" s="2"/>
      <c r="J70" s="19"/>
      <c r="K70" s="2"/>
      <c r="L70" s="2">
        <f t="shared" si="0"/>
        <v>-34.840000000000003</v>
      </c>
      <c r="M70" s="2"/>
      <c r="N70" s="19">
        <f t="shared" si="1"/>
        <v>0</v>
      </c>
      <c r="O70" s="11"/>
      <c r="P70" s="2">
        <f>-1302.75</f>
        <v>-1302.75</v>
      </c>
      <c r="Q70" s="2"/>
      <c r="R70" s="19"/>
      <c r="S70" s="2"/>
      <c r="T70" s="2"/>
      <c r="U70" s="2"/>
      <c r="V70" s="19"/>
      <c r="W70" s="2"/>
      <c r="X70" s="2">
        <f t="shared" si="2"/>
        <v>-1302.75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"4245", " - ", "SALES RETURN TAXABLE-SPECIAL O")</f>
        <v xml:space="preserve">          4245 - SALES RETURN TAXABLE-SPECIAL O</v>
      </c>
      <c r="C71" s="11"/>
      <c r="D71" s="2">
        <f>-3318.4</f>
        <v>-3318.4</v>
      </c>
      <c r="E71" s="2"/>
      <c r="F71" s="19"/>
      <c r="G71" s="2"/>
      <c r="H71" s="2"/>
      <c r="I71" s="2"/>
      <c r="J71" s="19"/>
      <c r="K71" s="2"/>
      <c r="L71" s="2">
        <f t="shared" si="0"/>
        <v>-3318.4</v>
      </c>
      <c r="M71" s="2"/>
      <c r="N71" s="19">
        <f t="shared" si="1"/>
        <v>0</v>
      </c>
      <c r="O71" s="11"/>
      <c r="P71" s="2">
        <f>-18779.13</f>
        <v>-18779.13</v>
      </c>
      <c r="Q71" s="2"/>
      <c r="R71" s="19"/>
      <c r="S71" s="2"/>
      <c r="T71" s="2"/>
      <c r="U71" s="2"/>
      <c r="V71" s="19"/>
      <c r="W71" s="2"/>
      <c r="X71" s="2">
        <f t="shared" si="2"/>
        <v>-18779.13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"4301", " - ", "SALES RETURN NON TAXABLE-NEW T")</f>
        <v xml:space="preserve">          4301 - SALES RETURN NON TAXABLE-NEW T</v>
      </c>
      <c r="C72" s="11"/>
      <c r="D72" s="2">
        <f>-169.32</f>
        <v>-169.32</v>
      </c>
      <c r="E72" s="2"/>
      <c r="F72" s="19"/>
      <c r="G72" s="2"/>
      <c r="H72" s="2"/>
      <c r="I72" s="2"/>
      <c r="J72" s="19"/>
      <c r="K72" s="2"/>
      <c r="L72" s="2">
        <f t="shared" si="0"/>
        <v>-169.32</v>
      </c>
      <c r="M72" s="2"/>
      <c r="N72" s="19">
        <f t="shared" si="1"/>
        <v>0</v>
      </c>
      <c r="O72" s="11"/>
      <c r="P72" s="2">
        <f>-4965.68</f>
        <v>-4965.68</v>
      </c>
      <c r="Q72" s="2"/>
      <c r="R72" s="19"/>
      <c r="S72" s="2"/>
      <c r="T72" s="2"/>
      <c r="U72" s="2"/>
      <c r="V72" s="19"/>
      <c r="W72" s="2"/>
      <c r="X72" s="2">
        <f t="shared" si="2"/>
        <v>-4965.68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"4302", " - ", "SALES RETURN NON TAXABLE-TEXT")</f>
        <v xml:space="preserve">          4302 - SALES RETURN NON TAXABLE-TEXT</v>
      </c>
      <c r="C73" s="11"/>
      <c r="D73" s="2">
        <f>-111.43</f>
        <v>-111.43</v>
      </c>
      <c r="E73" s="2"/>
      <c r="F73" s="19"/>
      <c r="G73" s="2"/>
      <c r="H73" s="2"/>
      <c r="I73" s="2"/>
      <c r="J73" s="19"/>
      <c r="K73" s="2"/>
      <c r="L73" s="2">
        <f t="shared" si="0"/>
        <v>-111.43</v>
      </c>
      <c r="M73" s="2"/>
      <c r="N73" s="19">
        <f t="shared" si="1"/>
        <v>0</v>
      </c>
      <c r="O73" s="11"/>
      <c r="P73" s="2">
        <f>-2688.97</f>
        <v>-2688.97</v>
      </c>
      <c r="Q73" s="2"/>
      <c r="R73" s="19"/>
      <c r="S73" s="2"/>
      <c r="T73" s="2"/>
      <c r="U73" s="2"/>
      <c r="V73" s="19"/>
      <c r="W73" s="2"/>
      <c r="X73" s="2">
        <f t="shared" si="2"/>
        <v>-2688.97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"4304", " - ", "SALES RETURN NON TAXABLE-DIGIT")</f>
        <v xml:space="preserve">          4304 - SALES RETURN NON TAXABLE-DIGIT</v>
      </c>
      <c r="C74" s="11"/>
      <c r="D74" s="2">
        <f>-144.89</f>
        <v>-144.88999999999999</v>
      </c>
      <c r="E74" s="2"/>
      <c r="F74" s="19"/>
      <c r="G74" s="2"/>
      <c r="H74" s="2"/>
      <c r="I74" s="2"/>
      <c r="J74" s="19"/>
      <c r="K74" s="2"/>
      <c r="L74" s="2">
        <f t="shared" si="0"/>
        <v>-144.88999999999999</v>
      </c>
      <c r="M74" s="2"/>
      <c r="N74" s="19">
        <f t="shared" si="1"/>
        <v>0</v>
      </c>
      <c r="O74" s="11"/>
      <c r="P74" s="2">
        <f>-31026.87</f>
        <v>-31026.87</v>
      </c>
      <c r="Q74" s="2"/>
      <c r="R74" s="19"/>
      <c r="S74" s="2"/>
      <c r="T74" s="2"/>
      <c r="U74" s="2"/>
      <c r="V74" s="19"/>
      <c r="W74" s="2"/>
      <c r="X74" s="2">
        <f t="shared" si="2"/>
        <v>-31026.87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"4327", " - ", "SALES RETURN NON TAXABLE-SCHOO")</f>
        <v xml:space="preserve">          4327 - SALES RETURN NON TAXABLE-SCHOO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-17.41</f>
        <v>-17.41</v>
      </c>
      <c r="Q75" s="2"/>
      <c r="R75" s="19"/>
      <c r="S75" s="2"/>
      <c r="T75" s="2"/>
      <c r="U75" s="2"/>
      <c r="V75" s="19"/>
      <c r="W75" s="2"/>
      <c r="X75" s="2">
        <f t="shared" si="2"/>
        <v>-17.41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"4340", " - ", "SALES RETURN NON TAXABLE-LOGO")</f>
        <v xml:space="preserve">          4340 - SALES RETURN NON TAXABLE-LOGO</v>
      </c>
      <c r="C76" s="11"/>
      <c r="D76" s="2">
        <f>-286.5</f>
        <v>-286.5</v>
      </c>
      <c r="E76" s="2"/>
      <c r="F76" s="19"/>
      <c r="G76" s="2"/>
      <c r="H76" s="2"/>
      <c r="I76" s="2"/>
      <c r="J76" s="19"/>
      <c r="K76" s="2"/>
      <c r="L76" s="2">
        <f t="shared" si="0"/>
        <v>-286.5</v>
      </c>
      <c r="M76" s="2"/>
      <c r="N76" s="19">
        <f t="shared" si="1"/>
        <v>0</v>
      </c>
      <c r="O76" s="11"/>
      <c r="P76" s="2">
        <f>-3737.76</f>
        <v>-3737.76</v>
      </c>
      <c r="Q76" s="2"/>
      <c r="R76" s="19"/>
      <c r="S76" s="2"/>
      <c r="T76" s="2"/>
      <c r="U76" s="2"/>
      <c r="V76" s="19"/>
      <c r="W76" s="2"/>
      <c r="X76" s="2">
        <f t="shared" si="2"/>
        <v>-3737.76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"4341", " - ", "SALES RETURN NON TAXABLE-LOGO")</f>
        <v xml:space="preserve">          4341 - SALES RETURN NON TAXABLE-LOGO</v>
      </c>
      <c r="C77" s="11"/>
      <c r="D77" s="2">
        <f>-20.85</f>
        <v>-20.85</v>
      </c>
      <c r="E77" s="2"/>
      <c r="F77" s="19"/>
      <c r="G77" s="2"/>
      <c r="H77" s="2"/>
      <c r="I77" s="2"/>
      <c r="J77" s="19"/>
      <c r="K77" s="2"/>
      <c r="L77" s="2">
        <f t="shared" si="0"/>
        <v>-20.85</v>
      </c>
      <c r="M77" s="2"/>
      <c r="N77" s="19">
        <f t="shared" si="1"/>
        <v>0</v>
      </c>
      <c r="O77" s="11"/>
      <c r="P77" s="2">
        <f>-527.59</f>
        <v>-527.59</v>
      </c>
      <c r="Q77" s="2"/>
      <c r="R77" s="19"/>
      <c r="S77" s="2"/>
      <c r="T77" s="2"/>
      <c r="U77" s="2"/>
      <c r="V77" s="19"/>
      <c r="W77" s="2"/>
      <c r="X77" s="2">
        <f t="shared" si="2"/>
        <v>-527.59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"4342", " - ", "SALES RETURN NON TAXABLE-EVERY")</f>
        <v xml:space="preserve">          4342 - SALES RETURN NON TAXABLE-EVERY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-118.7</f>
        <v>-118.7</v>
      </c>
      <c r="Q78" s="2"/>
      <c r="R78" s="19"/>
      <c r="S78" s="2"/>
      <c r="T78" s="2"/>
      <c r="U78" s="2"/>
      <c r="V78" s="19"/>
      <c r="W78" s="2"/>
      <c r="X78" s="2">
        <f t="shared" si="2"/>
        <v>-118.7</v>
      </c>
      <c r="Y78" s="2"/>
      <c r="Z78" s="19">
        <f t="shared" si="3"/>
        <v>0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collapsed="1" x14ac:dyDescent="0.25">
      <c r="A80" s="10"/>
      <c r="B80" s="29" t="s">
        <v>257</v>
      </c>
      <c r="C80" s="10"/>
      <c r="D80" s="4">
        <f>SUM(OSRRefD16x_0)</f>
        <v>263294.81999999983</v>
      </c>
      <c r="E80" s="4"/>
      <c r="F80" s="12">
        <f t="shared" ref="F80:F128" si="6">IF(D$12=0,0,D80/D$12)</f>
        <v>0.9954278227285478</v>
      </c>
      <c r="G80" s="4"/>
      <c r="H80" s="4">
        <f>SUM(OSRRefH16x_0)</f>
        <v>167079</v>
      </c>
      <c r="I80" s="4"/>
      <c r="J80" s="12">
        <f t="shared" ref="J80:J128" si="7">IF(H$12=0,0,H80/H$12)</f>
        <v>0.45586229100275028</v>
      </c>
      <c r="K80" s="4"/>
      <c r="L80" s="4">
        <f t="shared" ref="L80:L128" si="8">+D80-H80</f>
        <v>96215.819999999832</v>
      </c>
      <c r="M80" s="4"/>
      <c r="N80" s="12">
        <f t="shared" ref="N80:N128" si="9">IF(H80=0,0,L80/H80)</f>
        <v>0.57587021708293584</v>
      </c>
      <c r="O80" s="10"/>
      <c r="P80" s="4">
        <f>SUM(OSRRefP16x_0)</f>
        <v>3456075.64</v>
      </c>
      <c r="Q80" s="4"/>
      <c r="R80" s="12">
        <f t="shared" ref="R80:R128" si="10">IF(P$12=0,0,P80/P$12)</f>
        <v>0.63137285840903601</v>
      </c>
      <c r="S80" s="4"/>
      <c r="T80" s="4">
        <f>SUM(OSRRefT16x_0)</f>
        <v>5216279</v>
      </c>
      <c r="U80" s="4"/>
      <c r="V80" s="12">
        <f t="shared" ref="V80:V128" si="11">IF(T$12=0,0,T80/T$12)</f>
        <v>0.57057083893600791</v>
      </c>
      <c r="W80" s="4"/>
      <c r="X80" s="4">
        <f t="shared" ref="X80:X128" si="12">+P80-T80</f>
        <v>-1760203.3599999999</v>
      </c>
      <c r="Y80" s="4"/>
      <c r="Z80" s="12">
        <f t="shared" ref="Z80:Z128" si="13">IF(T80=0,0,X80/T80)</f>
        <v>-0.33744425096893782</v>
      </c>
    </row>
    <row r="81" spans="1:26" s="24" customFormat="1" hidden="1" outlineLevel="1" x14ac:dyDescent="0.25">
      <c r="A81" s="44"/>
      <c r="B81" s="11" t="str">
        <f>CONCATENATE("          ", "5000", " - ", "PURCHASES @ COST")</f>
        <v xml:space="preserve">          5000 - PURCHASES @ COST</v>
      </c>
      <c r="C81" s="11"/>
      <c r="D81" s="2"/>
      <c r="E81" s="2"/>
      <c r="F81" s="19">
        <f t="shared" si="6"/>
        <v>0</v>
      </c>
      <c r="G81" s="2"/>
      <c r="H81" s="2">
        <v>167079</v>
      </c>
      <c r="I81" s="2"/>
      <c r="J81" s="19">
        <f t="shared" si="7"/>
        <v>0.45586229100275028</v>
      </c>
      <c r="K81" s="2"/>
      <c r="L81" s="2">
        <f t="shared" si="8"/>
        <v>-167079</v>
      </c>
      <c r="M81" s="2"/>
      <c r="N81" s="19">
        <f t="shared" si="9"/>
        <v>-1</v>
      </c>
      <c r="O81" s="11"/>
      <c r="P81" s="2">
        <v>0</v>
      </c>
      <c r="Q81" s="2"/>
      <c r="R81" s="19">
        <f t="shared" si="10"/>
        <v>0</v>
      </c>
      <c r="S81" s="2"/>
      <c r="T81" s="2">
        <v>5216279</v>
      </c>
      <c r="U81" s="2"/>
      <c r="V81" s="19">
        <f t="shared" si="11"/>
        <v>0.57057083893600791</v>
      </c>
      <c r="W81" s="2"/>
      <c r="X81" s="2">
        <f t="shared" si="12"/>
        <v>-5216279</v>
      </c>
      <c r="Y81" s="2"/>
      <c r="Z81" s="19">
        <f t="shared" si="13"/>
        <v>-1</v>
      </c>
    </row>
    <row r="82" spans="1:26" s="24" customFormat="1" hidden="1" outlineLevel="1" x14ac:dyDescent="0.25">
      <c r="A82" s="44"/>
      <c r="B82" s="11" t="str">
        <f>CONCATENATE("          ", "5001", " - ", "PURCHASES @ COST-NEW TEXT")</f>
        <v xml:space="preserve">          5001 - PURCHASES @ COST-NEW TEXT</v>
      </c>
      <c r="C82" s="11"/>
      <c r="D82" s="2">
        <v>142777.26</v>
      </c>
      <c r="E82" s="2"/>
      <c r="F82" s="19">
        <f t="shared" si="6"/>
        <v>0.53979207436343746</v>
      </c>
      <c r="G82" s="2"/>
      <c r="H82" s="2"/>
      <c r="I82" s="2"/>
      <c r="J82" s="19">
        <f t="shared" si="7"/>
        <v>0</v>
      </c>
      <c r="K82" s="2"/>
      <c r="L82" s="2">
        <f t="shared" si="8"/>
        <v>142777.26</v>
      </c>
      <c r="M82" s="2"/>
      <c r="N82" s="19">
        <f t="shared" si="9"/>
        <v>0</v>
      </c>
      <c r="O82" s="11"/>
      <c r="P82" s="2">
        <v>1214343.74</v>
      </c>
      <c r="Q82" s="2"/>
      <c r="R82" s="19">
        <f t="shared" si="10"/>
        <v>0.2218422737457561</v>
      </c>
      <c r="S82" s="2"/>
      <c r="T82" s="2"/>
      <c r="U82" s="2"/>
      <c r="V82" s="19">
        <f t="shared" si="11"/>
        <v>0</v>
      </c>
      <c r="W82" s="2"/>
      <c r="X82" s="2">
        <f t="shared" si="12"/>
        <v>1214343.74</v>
      </c>
      <c r="Y82" s="2"/>
      <c r="Z82" s="19">
        <f t="shared" si="13"/>
        <v>0</v>
      </c>
    </row>
    <row r="83" spans="1:26" s="24" customFormat="1" hidden="1" outlineLevel="1" x14ac:dyDescent="0.25">
      <c r="A83" s="44"/>
      <c r="B83" s="11" t="str">
        <f>CONCATENATE("          ", "5002", " - ", "PURCHASES @ COST-USED TEXT")</f>
        <v xml:space="preserve">          5002 - PURCHASES @ COST-USED TEXT</v>
      </c>
      <c r="C83" s="11"/>
      <c r="D83" s="2">
        <v>-17366.759999999998</v>
      </c>
      <c r="E83" s="2"/>
      <c r="F83" s="19">
        <f t="shared" si="6"/>
        <v>-6.5657790360817744E-2</v>
      </c>
      <c r="G83" s="2"/>
      <c r="H83" s="2"/>
      <c r="I83" s="2"/>
      <c r="J83" s="19">
        <f t="shared" si="7"/>
        <v>0</v>
      </c>
      <c r="K83" s="2"/>
      <c r="L83" s="2">
        <f t="shared" si="8"/>
        <v>-17366.759999999998</v>
      </c>
      <c r="M83" s="2"/>
      <c r="N83" s="19">
        <f t="shared" si="9"/>
        <v>0</v>
      </c>
      <c r="O83" s="11"/>
      <c r="P83" s="2">
        <v>262546.52</v>
      </c>
      <c r="Q83" s="2"/>
      <c r="R83" s="19">
        <f t="shared" si="10"/>
        <v>4.7963286705653564E-2</v>
      </c>
      <c r="S83" s="2"/>
      <c r="T83" s="2"/>
      <c r="U83" s="2"/>
      <c r="V83" s="19">
        <f t="shared" si="11"/>
        <v>0</v>
      </c>
      <c r="W83" s="2"/>
      <c r="X83" s="2">
        <f t="shared" si="12"/>
        <v>262546.52</v>
      </c>
      <c r="Y83" s="2"/>
      <c r="Z83" s="19">
        <f t="shared" si="13"/>
        <v>0</v>
      </c>
    </row>
    <row r="84" spans="1:26" s="24" customFormat="1" hidden="1" outlineLevel="1" x14ac:dyDescent="0.25">
      <c r="A84" s="44"/>
      <c r="B84" s="11" t="str">
        <f>CONCATENATE("          ", "5003", " - ", "PURCHASES @ COST-RENTAL TEXT")</f>
        <v xml:space="preserve">          5003 - PURCHASES @ COST-RENTAL TEXT</v>
      </c>
      <c r="C84" s="11"/>
      <c r="D84" s="2">
        <v>6024.36</v>
      </c>
      <c r="E84" s="2"/>
      <c r="F84" s="19">
        <f t="shared" si="6"/>
        <v>2.2776048378517124E-2</v>
      </c>
      <c r="G84" s="2"/>
      <c r="H84" s="2"/>
      <c r="I84" s="2"/>
      <c r="J84" s="19">
        <f t="shared" si="7"/>
        <v>0</v>
      </c>
      <c r="K84" s="2"/>
      <c r="L84" s="2">
        <f t="shared" si="8"/>
        <v>6024.36</v>
      </c>
      <c r="M84" s="2"/>
      <c r="N84" s="19">
        <f t="shared" si="9"/>
        <v>0</v>
      </c>
      <c r="O84" s="11"/>
      <c r="P84" s="2">
        <v>13236.44</v>
      </c>
      <c r="Q84" s="2"/>
      <c r="R84" s="19">
        <f t="shared" si="10"/>
        <v>2.4180978162734019E-3</v>
      </c>
      <c r="S84" s="2"/>
      <c r="T84" s="2"/>
      <c r="U84" s="2"/>
      <c r="V84" s="19">
        <f t="shared" si="11"/>
        <v>0</v>
      </c>
      <c r="W84" s="2"/>
      <c r="X84" s="2">
        <f t="shared" si="12"/>
        <v>13236.44</v>
      </c>
      <c r="Y84" s="2"/>
      <c r="Z84" s="19">
        <f t="shared" si="13"/>
        <v>0</v>
      </c>
    </row>
    <row r="85" spans="1:26" s="24" customFormat="1" hidden="1" outlineLevel="1" x14ac:dyDescent="0.25">
      <c r="A85" s="44"/>
      <c r="B85" s="11" t="str">
        <f>CONCATENATE("          ", "5004", " - ", "PURCHASES @ COST-DIGITAL TEXT")</f>
        <v xml:space="preserve">          5004 - PURCHASES @ COST-DIGITAL TEXT</v>
      </c>
      <c r="C85" s="11"/>
      <c r="D85" s="2">
        <v>178285.37</v>
      </c>
      <c r="E85" s="2"/>
      <c r="F85" s="19">
        <f t="shared" si="6"/>
        <v>0.67403611542169217</v>
      </c>
      <c r="G85" s="2"/>
      <c r="H85" s="2"/>
      <c r="I85" s="2"/>
      <c r="J85" s="19">
        <f t="shared" si="7"/>
        <v>0</v>
      </c>
      <c r="K85" s="2"/>
      <c r="L85" s="2">
        <f t="shared" si="8"/>
        <v>178285.37</v>
      </c>
      <c r="M85" s="2"/>
      <c r="N85" s="19">
        <f t="shared" si="9"/>
        <v>0</v>
      </c>
      <c r="O85" s="11"/>
      <c r="P85" s="2">
        <v>377891.8</v>
      </c>
      <c r="Q85" s="2"/>
      <c r="R85" s="19">
        <f t="shared" si="10"/>
        <v>6.9035128506428095E-2</v>
      </c>
      <c r="S85" s="2"/>
      <c r="T85" s="2"/>
      <c r="U85" s="2"/>
      <c r="V85" s="19">
        <f t="shared" si="11"/>
        <v>0</v>
      </c>
      <c r="W85" s="2"/>
      <c r="X85" s="2">
        <f t="shared" si="12"/>
        <v>377891.8</v>
      </c>
      <c r="Y85" s="2"/>
      <c r="Z85" s="19">
        <f t="shared" si="13"/>
        <v>0</v>
      </c>
    </row>
    <row r="86" spans="1:26" s="24" customFormat="1" hidden="1" outlineLevel="1" x14ac:dyDescent="0.25">
      <c r="A86" s="44"/>
      <c r="B86" s="11" t="str">
        <f>CONCATENATE("          ", "5011", " - ", "PURCHASES @ COST-NO VALUE TEXT")</f>
        <v xml:space="preserve">          5011 - PURCHASES @ COST-NO VALUE TEXT</v>
      </c>
      <c r="C86" s="11"/>
      <c r="D86" s="2">
        <v>63.17</v>
      </c>
      <c r="E86" s="2"/>
      <c r="F86" s="19">
        <f t="shared" si="6"/>
        <v>2.3882420308064703E-4</v>
      </c>
      <c r="G86" s="2"/>
      <c r="H86" s="2"/>
      <c r="I86" s="2"/>
      <c r="J86" s="19">
        <f t="shared" si="7"/>
        <v>0</v>
      </c>
      <c r="K86" s="2"/>
      <c r="L86" s="2">
        <f t="shared" si="8"/>
        <v>63.17</v>
      </c>
      <c r="M86" s="2"/>
      <c r="N86" s="19">
        <f t="shared" si="9"/>
        <v>0</v>
      </c>
      <c r="O86" s="11"/>
      <c r="P86" s="2">
        <v>130.34</v>
      </c>
      <c r="Q86" s="2"/>
      <c r="R86" s="19">
        <f t="shared" si="10"/>
        <v>2.3811150836106629E-5</v>
      </c>
      <c r="S86" s="2"/>
      <c r="T86" s="2"/>
      <c r="U86" s="2"/>
      <c r="V86" s="19">
        <f t="shared" si="11"/>
        <v>0</v>
      </c>
      <c r="W86" s="2"/>
      <c r="X86" s="2">
        <f t="shared" si="12"/>
        <v>130.34</v>
      </c>
      <c r="Y86" s="2"/>
      <c r="Z86" s="19">
        <f t="shared" si="13"/>
        <v>0</v>
      </c>
    </row>
    <row r="87" spans="1:26" s="24" customFormat="1" hidden="1" outlineLevel="1" x14ac:dyDescent="0.25">
      <c r="A87" s="44"/>
      <c r="B87" s="11" t="str">
        <f>CONCATENATE("          ", "5013", " - ", "PURCHASES @ COST-TRADE BOOKS")</f>
        <v xml:space="preserve">          5013 - PURCHASES @ COST-TRADE BOOKS</v>
      </c>
      <c r="C87" s="11"/>
      <c r="D87" s="2">
        <v>1964.92</v>
      </c>
      <c r="E87" s="2"/>
      <c r="F87" s="19">
        <f t="shared" si="6"/>
        <v>7.4286916751183313E-3</v>
      </c>
      <c r="G87" s="2"/>
      <c r="H87" s="2"/>
      <c r="I87" s="2"/>
      <c r="J87" s="19">
        <f t="shared" si="7"/>
        <v>0</v>
      </c>
      <c r="K87" s="2"/>
      <c r="L87" s="2">
        <f t="shared" si="8"/>
        <v>1964.92</v>
      </c>
      <c r="M87" s="2"/>
      <c r="N87" s="19">
        <f t="shared" si="9"/>
        <v>0</v>
      </c>
      <c r="O87" s="11"/>
      <c r="P87" s="2">
        <v>11634.94</v>
      </c>
      <c r="Q87" s="2"/>
      <c r="R87" s="19">
        <f t="shared" si="10"/>
        <v>2.1255279370036096E-3</v>
      </c>
      <c r="S87" s="2"/>
      <c r="T87" s="2"/>
      <c r="U87" s="2"/>
      <c r="V87" s="19">
        <f t="shared" si="11"/>
        <v>0</v>
      </c>
      <c r="W87" s="2"/>
      <c r="X87" s="2">
        <f t="shared" si="12"/>
        <v>11634.94</v>
      </c>
      <c r="Y87" s="2"/>
      <c r="Z87" s="19">
        <f t="shared" si="13"/>
        <v>0</v>
      </c>
    </row>
    <row r="88" spans="1:26" s="24" customFormat="1" hidden="1" outlineLevel="1" x14ac:dyDescent="0.25">
      <c r="A88" s="44"/>
      <c r="B88" s="11" t="str">
        <f>CONCATENATE("          ", "5014", " - ", "PURCHASES @ COST-REMAINDERS")</f>
        <v xml:space="preserve">          5014 - PURCHASES @ COST-REMAINDERS</v>
      </c>
      <c r="C88" s="11"/>
      <c r="D88" s="2">
        <v>-161.43</v>
      </c>
      <c r="E88" s="2"/>
      <c r="F88" s="19">
        <f t="shared" si="6"/>
        <v>-6.1031171605681258E-4</v>
      </c>
      <c r="G88" s="2"/>
      <c r="H88" s="2"/>
      <c r="I88" s="2"/>
      <c r="J88" s="19">
        <f t="shared" si="7"/>
        <v>0</v>
      </c>
      <c r="K88" s="2"/>
      <c r="L88" s="2">
        <f t="shared" si="8"/>
        <v>-161.43</v>
      </c>
      <c r="M88" s="2"/>
      <c r="N88" s="19">
        <f t="shared" si="9"/>
        <v>0</v>
      </c>
      <c r="O88" s="11"/>
      <c r="P88" s="2">
        <v>-49.86</v>
      </c>
      <c r="Q88" s="2"/>
      <c r="R88" s="19">
        <f t="shared" si="10"/>
        <v>-9.1086694851026264E-6</v>
      </c>
      <c r="S88" s="2"/>
      <c r="T88" s="2"/>
      <c r="U88" s="2"/>
      <c r="V88" s="19">
        <f t="shared" si="11"/>
        <v>0</v>
      </c>
      <c r="W88" s="2"/>
      <c r="X88" s="2">
        <f t="shared" si="12"/>
        <v>-49.86</v>
      </c>
      <c r="Y88" s="2"/>
      <c r="Z88" s="19">
        <f t="shared" si="13"/>
        <v>0</v>
      </c>
    </row>
    <row r="89" spans="1:26" s="24" customFormat="1" hidden="1" outlineLevel="1" x14ac:dyDescent="0.25">
      <c r="A89" s="44"/>
      <c r="B89" s="11" t="str">
        <f>CONCATENATE("          ", "5018", " - ", "PURCHASES @ COST-STUDY GUIDES")</f>
        <v xml:space="preserve">          5018 - PURCHASES @ COST-STUDY GUIDES</v>
      </c>
      <c r="C89" s="11"/>
      <c r="D89" s="2">
        <v>476.17</v>
      </c>
      <c r="E89" s="2"/>
      <c r="F89" s="19">
        <f t="shared" si="6"/>
        <v>1.8002362004260202E-3</v>
      </c>
      <c r="G89" s="2"/>
      <c r="H89" s="2"/>
      <c r="I89" s="2"/>
      <c r="J89" s="19">
        <f t="shared" si="7"/>
        <v>0</v>
      </c>
      <c r="K89" s="2"/>
      <c r="L89" s="2">
        <f t="shared" si="8"/>
        <v>476.17</v>
      </c>
      <c r="M89" s="2"/>
      <c r="N89" s="19">
        <f t="shared" si="9"/>
        <v>0</v>
      </c>
      <c r="O89" s="11"/>
      <c r="P89" s="2">
        <v>1443.38</v>
      </c>
      <c r="Q89" s="2"/>
      <c r="R89" s="19">
        <f t="shared" si="10"/>
        <v>2.6368374170492243E-4</v>
      </c>
      <c r="S89" s="2"/>
      <c r="T89" s="2"/>
      <c r="U89" s="2"/>
      <c r="V89" s="19">
        <f t="shared" si="11"/>
        <v>0</v>
      </c>
      <c r="W89" s="2"/>
      <c r="X89" s="2">
        <f t="shared" si="12"/>
        <v>1443.38</v>
      </c>
      <c r="Y89" s="2"/>
      <c r="Z89" s="19">
        <f t="shared" si="13"/>
        <v>0</v>
      </c>
    </row>
    <row r="90" spans="1:26" s="24" customFormat="1" hidden="1" outlineLevel="1" x14ac:dyDescent="0.25">
      <c r="A90" s="44"/>
      <c r="B90" s="11" t="str">
        <f>CONCATENATE("          ", "5025", " - ", "PURCHASES @ COST-TEST FORMS")</f>
        <v xml:space="preserve">          5025 - PURCHASES @ COST-TEST FORMS</v>
      </c>
      <c r="C90" s="11"/>
      <c r="D90" s="2">
        <v>161</v>
      </c>
      <c r="E90" s="2"/>
      <c r="F90" s="19">
        <f t="shared" si="6"/>
        <v>6.0868603286345056E-4</v>
      </c>
      <c r="G90" s="2"/>
      <c r="H90" s="2"/>
      <c r="I90" s="2"/>
      <c r="J90" s="19">
        <f t="shared" si="7"/>
        <v>0</v>
      </c>
      <c r="K90" s="2"/>
      <c r="L90" s="2">
        <f t="shared" si="8"/>
        <v>161</v>
      </c>
      <c r="M90" s="2"/>
      <c r="N90" s="19">
        <f t="shared" si="9"/>
        <v>0</v>
      </c>
      <c r="O90" s="11"/>
      <c r="P90" s="2">
        <v>760.29</v>
      </c>
      <c r="Q90" s="2"/>
      <c r="R90" s="19">
        <f t="shared" si="10"/>
        <v>1.3889350827975684E-4</v>
      </c>
      <c r="S90" s="2"/>
      <c r="T90" s="2"/>
      <c r="U90" s="2"/>
      <c r="V90" s="19">
        <f t="shared" si="11"/>
        <v>0</v>
      </c>
      <c r="W90" s="2"/>
      <c r="X90" s="2">
        <f t="shared" si="12"/>
        <v>760.29</v>
      </c>
      <c r="Y90" s="2"/>
      <c r="Z90" s="19">
        <f t="shared" si="13"/>
        <v>0</v>
      </c>
    </row>
    <row r="91" spans="1:26" s="24" customFormat="1" hidden="1" outlineLevel="1" x14ac:dyDescent="0.25">
      <c r="A91" s="44"/>
      <c r="B91" s="11" t="str">
        <f>CONCATENATE("          ", "5026", " - ", "PURCHASES @ COST-WRITING INSTR")</f>
        <v xml:space="preserve">          5026 - PURCHASES @ COST-WRITING INSTR</v>
      </c>
      <c r="C91" s="11"/>
      <c r="D91" s="2">
        <v>1361.75</v>
      </c>
      <c r="E91" s="2"/>
      <c r="F91" s="19">
        <f t="shared" si="6"/>
        <v>5.1483118338621356E-3</v>
      </c>
      <c r="G91" s="2"/>
      <c r="H91" s="2"/>
      <c r="I91" s="2"/>
      <c r="J91" s="19">
        <f t="shared" si="7"/>
        <v>0</v>
      </c>
      <c r="K91" s="2"/>
      <c r="L91" s="2">
        <f t="shared" si="8"/>
        <v>1361.75</v>
      </c>
      <c r="M91" s="2"/>
      <c r="N91" s="19">
        <f t="shared" si="9"/>
        <v>0</v>
      </c>
      <c r="O91" s="11"/>
      <c r="P91" s="2">
        <v>1944.25</v>
      </c>
      <c r="Q91" s="2"/>
      <c r="R91" s="19">
        <f t="shared" si="10"/>
        <v>3.5518513129584404E-4</v>
      </c>
      <c r="S91" s="2"/>
      <c r="T91" s="2"/>
      <c r="U91" s="2"/>
      <c r="V91" s="19">
        <f t="shared" si="11"/>
        <v>0</v>
      </c>
      <c r="W91" s="2"/>
      <c r="X91" s="2">
        <f t="shared" si="12"/>
        <v>1944.25</v>
      </c>
      <c r="Y91" s="2"/>
      <c r="Z91" s="19">
        <f t="shared" si="13"/>
        <v>0</v>
      </c>
    </row>
    <row r="92" spans="1:26" s="24" customFormat="1" hidden="1" outlineLevel="1" x14ac:dyDescent="0.25">
      <c r="A92" s="44"/>
      <c r="B92" s="11" t="str">
        <f>CONCATENATE("          ", "5027", " - ", "PURCHASES @ COST-SCHOOL SUPPLI")</f>
        <v xml:space="preserve">          5027 - PURCHASES @ COST-SCHOOL SUPPLI</v>
      </c>
      <c r="C92" s="11"/>
      <c r="D92" s="2">
        <v>-23546.66</v>
      </c>
      <c r="E92" s="2"/>
      <c r="F92" s="19">
        <f t="shared" si="6"/>
        <v>-8.9021882376301223E-2</v>
      </c>
      <c r="G92" s="2"/>
      <c r="H92" s="2"/>
      <c r="I92" s="2"/>
      <c r="J92" s="19">
        <f t="shared" si="7"/>
        <v>0</v>
      </c>
      <c r="K92" s="2"/>
      <c r="L92" s="2">
        <f t="shared" si="8"/>
        <v>-23546.66</v>
      </c>
      <c r="M92" s="2"/>
      <c r="N92" s="19">
        <f t="shared" si="9"/>
        <v>0</v>
      </c>
      <c r="O92" s="11"/>
      <c r="P92" s="2">
        <v>188.33</v>
      </c>
      <c r="Q92" s="2"/>
      <c r="R92" s="19">
        <f t="shared" si="10"/>
        <v>3.4405048618719971E-5</v>
      </c>
      <c r="S92" s="2"/>
      <c r="T92" s="2"/>
      <c r="U92" s="2"/>
      <c r="V92" s="19">
        <f t="shared" si="11"/>
        <v>0</v>
      </c>
      <c r="W92" s="2"/>
      <c r="X92" s="2">
        <f t="shared" si="12"/>
        <v>188.33</v>
      </c>
      <c r="Y92" s="2"/>
      <c r="Z92" s="19">
        <f t="shared" si="13"/>
        <v>0</v>
      </c>
    </row>
    <row r="93" spans="1:26" s="24" customFormat="1" hidden="1" outlineLevel="1" x14ac:dyDescent="0.25">
      <c r="A93" s="44"/>
      <c r="B93" s="11" t="str">
        <f>CONCATENATE("          ", "5028", " - ", "PURCHASES @ COST-ART/TECH")</f>
        <v xml:space="preserve">          5028 - PURCHASES @ COST-ART/TECH</v>
      </c>
      <c r="C93" s="11"/>
      <c r="D93" s="2">
        <v>4965.34</v>
      </c>
      <c r="E93" s="2"/>
      <c r="F93" s="19">
        <f t="shared" si="6"/>
        <v>1.8772255319367735E-2</v>
      </c>
      <c r="G93" s="2"/>
      <c r="H93" s="2"/>
      <c r="I93" s="2"/>
      <c r="J93" s="19">
        <f t="shared" si="7"/>
        <v>0</v>
      </c>
      <c r="K93" s="2"/>
      <c r="L93" s="2">
        <f t="shared" si="8"/>
        <v>4965.34</v>
      </c>
      <c r="M93" s="2"/>
      <c r="N93" s="19">
        <f t="shared" si="9"/>
        <v>0</v>
      </c>
      <c r="O93" s="11"/>
      <c r="P93" s="2">
        <v>52646.080000000002</v>
      </c>
      <c r="Q93" s="2"/>
      <c r="R93" s="19">
        <f t="shared" si="10"/>
        <v>9.6176442520311215E-3</v>
      </c>
      <c r="S93" s="2"/>
      <c r="T93" s="2"/>
      <c r="U93" s="2"/>
      <c r="V93" s="19">
        <f t="shared" si="11"/>
        <v>0</v>
      </c>
      <c r="W93" s="2"/>
      <c r="X93" s="2">
        <f t="shared" si="12"/>
        <v>52646.080000000002</v>
      </c>
      <c r="Y93" s="2"/>
      <c r="Z93" s="19">
        <f t="shared" si="13"/>
        <v>0</v>
      </c>
    </row>
    <row r="94" spans="1:26" s="24" customFormat="1" hidden="1" outlineLevel="1" x14ac:dyDescent="0.25">
      <c r="A94" s="44"/>
      <c r="B94" s="11" t="str">
        <f>CONCATENATE("          ", "5031", " - ", "PURCHASES @ COST-FOOD")</f>
        <v xml:space="preserve">          5031 - PURCHASES @ COST-FOOD</v>
      </c>
      <c r="C94" s="11"/>
      <c r="D94" s="2">
        <v>75599.55</v>
      </c>
      <c r="E94" s="2"/>
      <c r="F94" s="19">
        <f t="shared" si="6"/>
        <v>0.28581608804821163</v>
      </c>
      <c r="G94" s="2"/>
      <c r="H94" s="2"/>
      <c r="I94" s="2"/>
      <c r="J94" s="19">
        <f t="shared" si="7"/>
        <v>0</v>
      </c>
      <c r="K94" s="2"/>
      <c r="L94" s="2">
        <f t="shared" si="8"/>
        <v>75599.55</v>
      </c>
      <c r="M94" s="2"/>
      <c r="N94" s="19">
        <f t="shared" si="9"/>
        <v>0</v>
      </c>
      <c r="O94" s="11"/>
      <c r="P94" s="2">
        <v>83665.64</v>
      </c>
      <c r="Q94" s="2"/>
      <c r="R94" s="19">
        <f t="shared" si="10"/>
        <v>1.5284449699550376E-2</v>
      </c>
      <c r="S94" s="2"/>
      <c r="T94" s="2"/>
      <c r="U94" s="2"/>
      <c r="V94" s="19">
        <f t="shared" si="11"/>
        <v>0</v>
      </c>
      <c r="W94" s="2"/>
      <c r="X94" s="2">
        <f t="shared" si="12"/>
        <v>83665.64</v>
      </c>
      <c r="Y94" s="2"/>
      <c r="Z94" s="19">
        <f t="shared" si="13"/>
        <v>0</v>
      </c>
    </row>
    <row r="95" spans="1:26" s="24" customFormat="1" hidden="1" outlineLevel="1" x14ac:dyDescent="0.25">
      <c r="A95" s="44"/>
      <c r="B95" s="11" t="str">
        <f>CONCATENATE("          ", "5032", " - ", "PURCHASES @ COST-JUICE")</f>
        <v xml:space="preserve">          5032 - PURCHASES @ COST-JUICE</v>
      </c>
      <c r="C95" s="11"/>
      <c r="D95" s="2">
        <v>291</v>
      </c>
      <c r="E95" s="2"/>
      <c r="F95" s="19">
        <f t="shared" si="6"/>
        <v>1.1001716494612678E-3</v>
      </c>
      <c r="G95" s="2"/>
      <c r="H95" s="2"/>
      <c r="I95" s="2"/>
      <c r="J95" s="19">
        <f t="shared" si="7"/>
        <v>0</v>
      </c>
      <c r="K95" s="2"/>
      <c r="L95" s="2">
        <f t="shared" si="8"/>
        <v>291</v>
      </c>
      <c r="M95" s="2"/>
      <c r="N95" s="19">
        <f t="shared" si="9"/>
        <v>0</v>
      </c>
      <c r="O95" s="11"/>
      <c r="P95" s="2">
        <v>291</v>
      </c>
      <c r="Q95" s="2"/>
      <c r="R95" s="19">
        <f t="shared" si="10"/>
        <v>5.3161308065881759E-5</v>
      </c>
      <c r="S95" s="2"/>
      <c r="T95" s="2"/>
      <c r="U95" s="2"/>
      <c r="V95" s="19">
        <f t="shared" si="11"/>
        <v>0</v>
      </c>
      <c r="W95" s="2"/>
      <c r="X95" s="2">
        <f t="shared" si="12"/>
        <v>291</v>
      </c>
      <c r="Y95" s="2"/>
      <c r="Z95" s="19">
        <f t="shared" si="13"/>
        <v>0</v>
      </c>
    </row>
    <row r="96" spans="1:26" s="24" customFormat="1" hidden="1" outlineLevel="1" x14ac:dyDescent="0.25">
      <c r="A96" s="44"/>
      <c r="B96" s="11" t="str">
        <f>CONCATENATE("          ", "5033", " - ", "PURCHASES @ COST-CANDY")</f>
        <v xml:space="preserve">          5033 - PURCHASES @ COST-CANDY</v>
      </c>
      <c r="C96" s="11"/>
      <c r="D96" s="2">
        <v>1266</v>
      </c>
      <c r="E96" s="2"/>
      <c r="F96" s="19">
        <f t="shared" si="6"/>
        <v>4.7863137739448973E-3</v>
      </c>
      <c r="G96" s="2"/>
      <c r="H96" s="2"/>
      <c r="I96" s="2"/>
      <c r="J96" s="19">
        <f t="shared" si="7"/>
        <v>0</v>
      </c>
      <c r="K96" s="2"/>
      <c r="L96" s="2">
        <f t="shared" si="8"/>
        <v>1266</v>
      </c>
      <c r="M96" s="2"/>
      <c r="N96" s="19">
        <f t="shared" si="9"/>
        <v>0</v>
      </c>
      <c r="O96" s="11"/>
      <c r="P96" s="2">
        <v>1266</v>
      </c>
      <c r="Q96" s="2"/>
      <c r="R96" s="19">
        <f t="shared" si="10"/>
        <v>2.3127909282270209E-4</v>
      </c>
      <c r="S96" s="2"/>
      <c r="T96" s="2"/>
      <c r="U96" s="2"/>
      <c r="V96" s="19">
        <f t="shared" si="11"/>
        <v>0</v>
      </c>
      <c r="W96" s="2"/>
      <c r="X96" s="2">
        <f t="shared" si="12"/>
        <v>1266</v>
      </c>
      <c r="Y96" s="2"/>
      <c r="Z96" s="19">
        <f t="shared" si="13"/>
        <v>0</v>
      </c>
    </row>
    <row r="97" spans="1:26" s="24" customFormat="1" hidden="1" outlineLevel="1" x14ac:dyDescent="0.25">
      <c r="A97" s="44"/>
      <c r="B97" s="11" t="str">
        <f>CONCATENATE("          ", "5034", " - ", "PURCHASES @ COST-SODA")</f>
        <v xml:space="preserve">          5034 - PURCHASES @ COST-SODA</v>
      </c>
      <c r="C97" s="11"/>
      <c r="D97" s="2">
        <v>567</v>
      </c>
      <c r="E97" s="2"/>
      <c r="F97" s="19">
        <f t="shared" si="6"/>
        <v>2.1436334200843257E-3</v>
      </c>
      <c r="G97" s="2"/>
      <c r="H97" s="2"/>
      <c r="I97" s="2"/>
      <c r="J97" s="19">
        <f t="shared" si="7"/>
        <v>0</v>
      </c>
      <c r="K97" s="2"/>
      <c r="L97" s="2">
        <f t="shared" si="8"/>
        <v>567</v>
      </c>
      <c r="M97" s="2"/>
      <c r="N97" s="19">
        <f t="shared" si="9"/>
        <v>0</v>
      </c>
      <c r="O97" s="11"/>
      <c r="P97" s="2">
        <v>567</v>
      </c>
      <c r="Q97" s="2"/>
      <c r="R97" s="19">
        <f t="shared" si="10"/>
        <v>1.0358234252012013E-4</v>
      </c>
      <c r="S97" s="2"/>
      <c r="T97" s="2"/>
      <c r="U97" s="2"/>
      <c r="V97" s="19">
        <f t="shared" si="11"/>
        <v>0</v>
      </c>
      <c r="W97" s="2"/>
      <c r="X97" s="2">
        <f t="shared" si="12"/>
        <v>567</v>
      </c>
      <c r="Y97" s="2"/>
      <c r="Z97" s="19">
        <f t="shared" si="13"/>
        <v>0</v>
      </c>
    </row>
    <row r="98" spans="1:26" s="24" customFormat="1" hidden="1" outlineLevel="1" x14ac:dyDescent="0.25">
      <c r="A98" s="44"/>
      <c r="B98" s="11" t="str">
        <f>CONCATENATE("          ", "5035", " - ", "PURCHASES @ COST-HEALTH &amp; BEAU")</f>
        <v xml:space="preserve">          5035 - PURCHASES @ COST-HEALTH &amp; BEAU</v>
      </c>
      <c r="C98" s="11"/>
      <c r="D98" s="2">
        <v>339</v>
      </c>
      <c r="E98" s="2"/>
      <c r="F98" s="19">
        <f t="shared" si="6"/>
        <v>1.2816432617435388E-3</v>
      </c>
      <c r="G98" s="2"/>
      <c r="H98" s="2"/>
      <c r="I98" s="2"/>
      <c r="J98" s="19">
        <f t="shared" si="7"/>
        <v>0</v>
      </c>
      <c r="K98" s="2"/>
      <c r="L98" s="2">
        <f t="shared" si="8"/>
        <v>339</v>
      </c>
      <c r="M98" s="2"/>
      <c r="N98" s="19">
        <f t="shared" si="9"/>
        <v>0</v>
      </c>
      <c r="O98" s="11"/>
      <c r="P98" s="2">
        <v>339</v>
      </c>
      <c r="Q98" s="2"/>
      <c r="R98" s="19">
        <f t="shared" si="10"/>
        <v>6.1930183623140603E-5</v>
      </c>
      <c r="S98" s="2"/>
      <c r="T98" s="2"/>
      <c r="U98" s="2"/>
      <c r="V98" s="19">
        <f t="shared" si="11"/>
        <v>0</v>
      </c>
      <c r="W98" s="2"/>
      <c r="X98" s="2">
        <f t="shared" si="12"/>
        <v>339</v>
      </c>
      <c r="Y98" s="2"/>
      <c r="Z98" s="19">
        <f t="shared" si="13"/>
        <v>0</v>
      </c>
    </row>
    <row r="99" spans="1:26" s="24" customFormat="1" hidden="1" outlineLevel="1" x14ac:dyDescent="0.25">
      <c r="A99" s="44"/>
      <c r="B99" s="11" t="str">
        <f>CONCATENATE("          ", "5037", " - ", "PURCHASES @ COST-WATER")</f>
        <v xml:space="preserve">          5037 - PURCHASES @ COST-WATER</v>
      </c>
      <c r="C99" s="11"/>
      <c r="D99" s="2">
        <v>190.95</v>
      </c>
      <c r="E99" s="2"/>
      <c r="F99" s="19">
        <f t="shared" si="6"/>
        <v>7.2191675761040916E-4</v>
      </c>
      <c r="G99" s="2"/>
      <c r="H99" s="2"/>
      <c r="I99" s="2"/>
      <c r="J99" s="19">
        <f t="shared" si="7"/>
        <v>0</v>
      </c>
      <c r="K99" s="2"/>
      <c r="L99" s="2">
        <f t="shared" si="8"/>
        <v>190.95</v>
      </c>
      <c r="M99" s="2"/>
      <c r="N99" s="19">
        <f t="shared" si="9"/>
        <v>0</v>
      </c>
      <c r="O99" s="11"/>
      <c r="P99" s="2">
        <v>190.95</v>
      </c>
      <c r="Q99" s="2"/>
      <c r="R99" s="19">
        <f t="shared" si="10"/>
        <v>3.4883683076220347E-5</v>
      </c>
      <c r="S99" s="2"/>
      <c r="T99" s="2"/>
      <c r="U99" s="2"/>
      <c r="V99" s="19">
        <f t="shared" si="11"/>
        <v>0</v>
      </c>
      <c r="W99" s="2"/>
      <c r="X99" s="2">
        <f t="shared" si="12"/>
        <v>190.95</v>
      </c>
      <c r="Y99" s="2"/>
      <c r="Z99" s="19">
        <f t="shared" si="13"/>
        <v>0</v>
      </c>
    </row>
    <row r="100" spans="1:26" s="24" customFormat="1" hidden="1" outlineLevel="1" x14ac:dyDescent="0.25">
      <c r="A100" s="44"/>
      <c r="B100" s="11" t="str">
        <f>CONCATENATE("          ", "5040", " - ", "PURCHASES @ COST-LOGO CLOTHING")</f>
        <v xml:space="preserve">          5040 - PURCHASES @ COST-LOGO CLOTHING</v>
      </c>
      <c r="C100" s="11"/>
      <c r="D100" s="2">
        <v>65486.18</v>
      </c>
      <c r="E100" s="2"/>
      <c r="F100" s="19">
        <f t="shared" si="6"/>
        <v>0.24758088889181265</v>
      </c>
      <c r="G100" s="2"/>
      <c r="H100" s="2"/>
      <c r="I100" s="2"/>
      <c r="J100" s="19">
        <f t="shared" si="7"/>
        <v>0</v>
      </c>
      <c r="K100" s="2"/>
      <c r="L100" s="2">
        <f t="shared" si="8"/>
        <v>65486.18</v>
      </c>
      <c r="M100" s="2"/>
      <c r="N100" s="19">
        <f t="shared" si="9"/>
        <v>0</v>
      </c>
      <c r="O100" s="11"/>
      <c r="P100" s="2">
        <v>392865.16</v>
      </c>
      <c r="Q100" s="2"/>
      <c r="R100" s="19">
        <f t="shared" si="10"/>
        <v>7.1770535392137208E-2</v>
      </c>
      <c r="S100" s="2"/>
      <c r="T100" s="2"/>
      <c r="U100" s="2"/>
      <c r="V100" s="19">
        <f t="shared" si="11"/>
        <v>0</v>
      </c>
      <c r="W100" s="2"/>
      <c r="X100" s="2">
        <f t="shared" si="12"/>
        <v>392865.16</v>
      </c>
      <c r="Y100" s="2"/>
      <c r="Z100" s="19">
        <f t="shared" si="13"/>
        <v>0</v>
      </c>
    </row>
    <row r="101" spans="1:26" s="24" customFormat="1" hidden="1" outlineLevel="1" x14ac:dyDescent="0.25">
      <c r="A101" s="44"/>
      <c r="B101" s="11" t="str">
        <f>CONCATENATE("          ", "5041", " - ", "PURCHASES @ COST-LOGO GIFTS")</f>
        <v xml:space="preserve">          5041 - PURCHASES @ COST-LOGO GIFTS</v>
      </c>
      <c r="C101" s="11"/>
      <c r="D101" s="2">
        <v>115476.79</v>
      </c>
      <c r="E101" s="2"/>
      <c r="F101" s="19">
        <f t="shared" si="6"/>
        <v>0.43657831796835883</v>
      </c>
      <c r="G101" s="2"/>
      <c r="H101" s="2"/>
      <c r="I101" s="2"/>
      <c r="J101" s="19">
        <f t="shared" si="7"/>
        <v>0</v>
      </c>
      <c r="K101" s="2"/>
      <c r="L101" s="2">
        <f t="shared" si="8"/>
        <v>115476.79</v>
      </c>
      <c r="M101" s="2"/>
      <c r="N101" s="19">
        <f t="shared" si="9"/>
        <v>0</v>
      </c>
      <c r="O101" s="11"/>
      <c r="P101" s="2">
        <v>221875.64</v>
      </c>
      <c r="Q101" s="2"/>
      <c r="R101" s="19">
        <f t="shared" si="10"/>
        <v>4.0533330757232575E-2</v>
      </c>
      <c r="S101" s="2"/>
      <c r="T101" s="2"/>
      <c r="U101" s="2"/>
      <c r="V101" s="19">
        <f t="shared" si="11"/>
        <v>0</v>
      </c>
      <c r="W101" s="2"/>
      <c r="X101" s="2">
        <f t="shared" si="12"/>
        <v>221875.64</v>
      </c>
      <c r="Y101" s="2"/>
      <c r="Z101" s="19">
        <f t="shared" si="13"/>
        <v>0</v>
      </c>
    </row>
    <row r="102" spans="1:26" s="24" customFormat="1" hidden="1" outlineLevel="1" x14ac:dyDescent="0.25">
      <c r="A102" s="44"/>
      <c r="B102" s="11" t="str">
        <f>CONCATENATE("          ", "5042", " - ", "PURCHASES @ COST-EVERYDAY GIFT")</f>
        <v xml:space="preserve">          5042 - PURCHASES @ COST-EVERYDAY GIFT</v>
      </c>
      <c r="C102" s="11"/>
      <c r="D102" s="2">
        <v>-39.200000000000003</v>
      </c>
      <c r="E102" s="2"/>
      <c r="F102" s="19">
        <f t="shared" si="6"/>
        <v>-1.4820181669718797E-4</v>
      </c>
      <c r="G102" s="2"/>
      <c r="H102" s="2"/>
      <c r="I102" s="2"/>
      <c r="J102" s="19">
        <f t="shared" si="7"/>
        <v>0</v>
      </c>
      <c r="K102" s="2"/>
      <c r="L102" s="2">
        <f t="shared" si="8"/>
        <v>-39.200000000000003</v>
      </c>
      <c r="M102" s="2"/>
      <c r="N102" s="19">
        <f t="shared" si="9"/>
        <v>0</v>
      </c>
      <c r="O102" s="11"/>
      <c r="P102" s="2">
        <v>18708.87</v>
      </c>
      <c r="Q102" s="2"/>
      <c r="R102" s="19">
        <f t="shared" si="10"/>
        <v>3.4178281843111106E-3</v>
      </c>
      <c r="S102" s="2"/>
      <c r="T102" s="2"/>
      <c r="U102" s="2"/>
      <c r="V102" s="19">
        <f t="shared" si="11"/>
        <v>0</v>
      </c>
      <c r="W102" s="2"/>
      <c r="X102" s="2">
        <f t="shared" si="12"/>
        <v>18708.87</v>
      </c>
      <c r="Y102" s="2"/>
      <c r="Z102" s="19">
        <f t="shared" si="13"/>
        <v>0</v>
      </c>
    </row>
    <row r="103" spans="1:26" s="24" customFormat="1" hidden="1" outlineLevel="1" x14ac:dyDescent="0.25">
      <c r="A103" s="44"/>
      <c r="B103" s="11" t="str">
        <f>CONCATENATE("          ", "5043", " - ", "PURCHASES @ COST-CARDS")</f>
        <v xml:space="preserve">          5043 - PURCHASES @ COST-CARDS</v>
      </c>
      <c r="C103" s="11"/>
      <c r="D103" s="2">
        <v>-4615.6499999999996</v>
      </c>
      <c r="E103" s="2"/>
      <c r="F103" s="19">
        <f t="shared" si="6"/>
        <v>-1.7450196817305499E-2</v>
      </c>
      <c r="G103" s="2"/>
      <c r="H103" s="2"/>
      <c r="I103" s="2"/>
      <c r="J103" s="19">
        <f t="shared" si="7"/>
        <v>0</v>
      </c>
      <c r="K103" s="2"/>
      <c r="L103" s="2">
        <f t="shared" si="8"/>
        <v>-4615.6499999999996</v>
      </c>
      <c r="M103" s="2"/>
      <c r="N103" s="19">
        <f t="shared" si="9"/>
        <v>0</v>
      </c>
      <c r="O103" s="11"/>
      <c r="P103" s="2">
        <v>50967.68</v>
      </c>
      <c r="Q103" s="2"/>
      <c r="R103" s="19">
        <f t="shared" si="10"/>
        <v>9.3110259033789711E-3</v>
      </c>
      <c r="S103" s="2"/>
      <c r="T103" s="2"/>
      <c r="U103" s="2"/>
      <c r="V103" s="19">
        <f t="shared" si="11"/>
        <v>0</v>
      </c>
      <c r="W103" s="2"/>
      <c r="X103" s="2">
        <f t="shared" si="12"/>
        <v>50967.68</v>
      </c>
      <c r="Y103" s="2"/>
      <c r="Z103" s="19">
        <f t="shared" si="13"/>
        <v>0</v>
      </c>
    </row>
    <row r="104" spans="1:26" s="24" customFormat="1" hidden="1" outlineLevel="1" x14ac:dyDescent="0.25">
      <c r="A104" s="44"/>
      <c r="B104" s="11" t="str">
        <f>CONCATENATE("          ", "5044", " - ", "PURCHASES @ COST-ACCESSORIES")</f>
        <v xml:space="preserve">          5044 - PURCHASES @ COST-ACCESSORIES</v>
      </c>
      <c r="C104" s="11"/>
      <c r="D104" s="2">
        <v>4371.2</v>
      </c>
      <c r="E104" s="2"/>
      <c r="F104" s="19">
        <f t="shared" si="6"/>
        <v>1.6526014825172141E-2</v>
      </c>
      <c r="G104" s="2"/>
      <c r="H104" s="2"/>
      <c r="I104" s="2"/>
      <c r="J104" s="19">
        <f t="shared" si="7"/>
        <v>0</v>
      </c>
      <c r="K104" s="2"/>
      <c r="L104" s="2">
        <f t="shared" si="8"/>
        <v>4371.2</v>
      </c>
      <c r="M104" s="2"/>
      <c r="N104" s="19">
        <f t="shared" si="9"/>
        <v>0</v>
      </c>
      <c r="O104" s="11"/>
      <c r="P104" s="2">
        <v>6926.91</v>
      </c>
      <c r="Q104" s="2"/>
      <c r="R104" s="19">
        <f t="shared" si="10"/>
        <v>1.2654419122152475E-3</v>
      </c>
      <c r="S104" s="2"/>
      <c r="T104" s="2"/>
      <c r="U104" s="2"/>
      <c r="V104" s="19">
        <f t="shared" si="11"/>
        <v>0</v>
      </c>
      <c r="W104" s="2"/>
      <c r="X104" s="2">
        <f t="shared" si="12"/>
        <v>6926.91</v>
      </c>
      <c r="Y104" s="2"/>
      <c r="Z104" s="19">
        <f t="shared" si="13"/>
        <v>0</v>
      </c>
    </row>
    <row r="105" spans="1:26" s="24" customFormat="1" hidden="1" outlineLevel="1" x14ac:dyDescent="0.25">
      <c r="A105" s="44"/>
      <c r="B105" s="11" t="str">
        <f>CONCATENATE("          ", "5045", " - ", "PURCHASES @ COST-SPECIAL ORDER")</f>
        <v xml:space="preserve">          5045 - PURCHASES @ COST-SPECIAL ORDER</v>
      </c>
      <c r="C105" s="11"/>
      <c r="D105" s="2">
        <v>33785.81</v>
      </c>
      <c r="E105" s="2"/>
      <c r="F105" s="19">
        <f t="shared" si="6"/>
        <v>0.12773261277005152</v>
      </c>
      <c r="G105" s="2"/>
      <c r="H105" s="2"/>
      <c r="I105" s="2"/>
      <c r="J105" s="19">
        <f t="shared" si="7"/>
        <v>0</v>
      </c>
      <c r="K105" s="2"/>
      <c r="L105" s="2">
        <f t="shared" si="8"/>
        <v>33785.81</v>
      </c>
      <c r="M105" s="2"/>
      <c r="N105" s="19">
        <f t="shared" si="9"/>
        <v>0</v>
      </c>
      <c r="O105" s="11"/>
      <c r="P105" s="2">
        <v>172925.05</v>
      </c>
      <c r="Q105" s="2"/>
      <c r="R105" s="19">
        <f t="shared" si="10"/>
        <v>3.1590796753807583E-2</v>
      </c>
      <c r="S105" s="2"/>
      <c r="T105" s="2"/>
      <c r="U105" s="2"/>
      <c r="V105" s="19">
        <f t="shared" si="11"/>
        <v>0</v>
      </c>
      <c r="W105" s="2"/>
      <c r="X105" s="2">
        <f t="shared" si="12"/>
        <v>172925.05</v>
      </c>
      <c r="Y105" s="2"/>
      <c r="Z105" s="19">
        <f t="shared" si="13"/>
        <v>0</v>
      </c>
    </row>
    <row r="106" spans="1:26" s="24" customFormat="1" hidden="1" outlineLevel="1" x14ac:dyDescent="0.25">
      <c r="A106" s="44"/>
      <c r="B106" s="11" t="str">
        <f>CONCATENATE("          ", "5081", " - ", "PURCHASES @ COST-ELECTRONICS")</f>
        <v xml:space="preserve">          5081 - PURCHASES @ COST-ELECTRONICS</v>
      </c>
      <c r="C106" s="11"/>
      <c r="D106" s="2">
        <v>227</v>
      </c>
      <c r="E106" s="2"/>
      <c r="F106" s="19">
        <f t="shared" si="6"/>
        <v>8.582094997515731E-4</v>
      </c>
      <c r="G106" s="2"/>
      <c r="H106" s="2"/>
      <c r="I106" s="2"/>
      <c r="J106" s="19">
        <f t="shared" si="7"/>
        <v>0</v>
      </c>
      <c r="K106" s="2"/>
      <c r="L106" s="2">
        <f t="shared" si="8"/>
        <v>227</v>
      </c>
      <c r="M106" s="2"/>
      <c r="N106" s="19">
        <f t="shared" si="9"/>
        <v>0</v>
      </c>
      <c r="O106" s="11"/>
      <c r="P106" s="2">
        <v>227</v>
      </c>
      <c r="Q106" s="2"/>
      <c r="R106" s="19">
        <f t="shared" si="10"/>
        <v>4.1469473989536631E-5</v>
      </c>
      <c r="S106" s="2"/>
      <c r="T106" s="2"/>
      <c r="U106" s="2"/>
      <c r="V106" s="19">
        <f t="shared" si="11"/>
        <v>0</v>
      </c>
      <c r="W106" s="2"/>
      <c r="X106" s="2">
        <f t="shared" si="12"/>
        <v>227</v>
      </c>
      <c r="Y106" s="2"/>
      <c r="Z106" s="19">
        <f t="shared" si="13"/>
        <v>0</v>
      </c>
    </row>
    <row r="107" spans="1:26" s="24" customFormat="1" hidden="1" outlineLevel="1" x14ac:dyDescent="0.25">
      <c r="A107" s="44"/>
      <c r="B107" s="11" t="str">
        <f>CONCATENATE("          ", "5082", " - ", "PURCHASES @ COST-COMPUTER HARD")</f>
        <v xml:space="preserve">          5082 - PURCHASES @ COST-COMPUTER HARD</v>
      </c>
      <c r="C107" s="11"/>
      <c r="D107" s="2">
        <v>972</v>
      </c>
      <c r="E107" s="2"/>
      <c r="F107" s="19">
        <f t="shared" si="6"/>
        <v>3.6748001487159872E-3</v>
      </c>
      <c r="G107" s="2"/>
      <c r="H107" s="2"/>
      <c r="I107" s="2"/>
      <c r="J107" s="19">
        <f t="shared" si="7"/>
        <v>0</v>
      </c>
      <c r="K107" s="2"/>
      <c r="L107" s="2">
        <f t="shared" si="8"/>
        <v>972</v>
      </c>
      <c r="M107" s="2"/>
      <c r="N107" s="19">
        <f t="shared" si="9"/>
        <v>0</v>
      </c>
      <c r="O107" s="11"/>
      <c r="P107" s="2">
        <v>972</v>
      </c>
      <c r="Q107" s="2"/>
      <c r="R107" s="19">
        <f t="shared" si="10"/>
        <v>1.7756973003449166E-4</v>
      </c>
      <c r="S107" s="2"/>
      <c r="T107" s="2"/>
      <c r="U107" s="2"/>
      <c r="V107" s="19">
        <f t="shared" si="11"/>
        <v>0</v>
      </c>
      <c r="W107" s="2"/>
      <c r="X107" s="2">
        <f t="shared" si="12"/>
        <v>972</v>
      </c>
      <c r="Y107" s="2"/>
      <c r="Z107" s="19">
        <f t="shared" si="13"/>
        <v>0</v>
      </c>
    </row>
    <row r="108" spans="1:26" s="24" customFormat="1" hidden="1" outlineLevel="1" x14ac:dyDescent="0.25">
      <c r="A108" s="44"/>
      <c r="B108" s="11" t="str">
        <f>CONCATENATE("          ", "5083", " - ", "PURCHASES @ COST-COMPUTER EQUI")</f>
        <v xml:space="preserve">          5083 - PURCHASES @ COST-COMPUTER EQUI</v>
      </c>
      <c r="C108" s="11"/>
      <c r="D108" s="2">
        <v>170</v>
      </c>
      <c r="E108" s="2"/>
      <c r="F108" s="19">
        <f t="shared" si="6"/>
        <v>6.4271196016637633E-4</v>
      </c>
      <c r="G108" s="2"/>
      <c r="H108" s="2"/>
      <c r="I108" s="2"/>
      <c r="J108" s="19">
        <f t="shared" si="7"/>
        <v>0</v>
      </c>
      <c r="K108" s="2"/>
      <c r="L108" s="2">
        <f t="shared" si="8"/>
        <v>170</v>
      </c>
      <c r="M108" s="2"/>
      <c r="N108" s="19">
        <f t="shared" si="9"/>
        <v>0</v>
      </c>
      <c r="O108" s="11"/>
      <c r="P108" s="2">
        <v>170</v>
      </c>
      <c r="Q108" s="2"/>
      <c r="R108" s="19">
        <f t="shared" si="10"/>
        <v>3.1056434265291752E-5</v>
      </c>
      <c r="S108" s="2"/>
      <c r="T108" s="2"/>
      <c r="U108" s="2"/>
      <c r="V108" s="19">
        <f t="shared" si="11"/>
        <v>0</v>
      </c>
      <c r="W108" s="2"/>
      <c r="X108" s="2">
        <f t="shared" si="12"/>
        <v>170</v>
      </c>
      <c r="Y108" s="2"/>
      <c r="Z108" s="19">
        <f t="shared" si="13"/>
        <v>0</v>
      </c>
    </row>
    <row r="109" spans="1:26" s="24" customFormat="1" hidden="1" outlineLevel="1" x14ac:dyDescent="0.25">
      <c r="A109" s="44"/>
      <c r="B109" s="11" t="str">
        <f>CONCATENATE("          ", "5086", " - ", "PURCHASES @ COST-COMPUTER SUPP")</f>
        <v xml:space="preserve">          5086 - PURCHASES @ COST-COMPUTER SUPP</v>
      </c>
      <c r="C109" s="11"/>
      <c r="D109" s="2">
        <v>156.21</v>
      </c>
      <c r="E109" s="2"/>
      <c r="F109" s="19">
        <f t="shared" si="6"/>
        <v>5.9057667822111565E-4</v>
      </c>
      <c r="G109" s="2"/>
      <c r="H109" s="2"/>
      <c r="I109" s="2"/>
      <c r="J109" s="19">
        <f t="shared" si="7"/>
        <v>0</v>
      </c>
      <c r="K109" s="2"/>
      <c r="L109" s="2">
        <f t="shared" si="8"/>
        <v>156.21</v>
      </c>
      <c r="M109" s="2"/>
      <c r="N109" s="19">
        <f t="shared" si="9"/>
        <v>0</v>
      </c>
      <c r="O109" s="11"/>
      <c r="P109" s="2">
        <v>169.42</v>
      </c>
      <c r="Q109" s="2"/>
      <c r="R109" s="19">
        <f t="shared" si="10"/>
        <v>3.0950477018974871E-5</v>
      </c>
      <c r="S109" s="2"/>
      <c r="T109" s="2"/>
      <c r="U109" s="2"/>
      <c r="V109" s="19">
        <f t="shared" si="11"/>
        <v>0</v>
      </c>
      <c r="W109" s="2"/>
      <c r="X109" s="2">
        <f t="shared" si="12"/>
        <v>169.42</v>
      </c>
      <c r="Y109" s="2"/>
      <c r="Z109" s="19">
        <f t="shared" si="13"/>
        <v>0</v>
      </c>
    </row>
    <row r="110" spans="1:26" s="24" customFormat="1" hidden="1" outlineLevel="1" x14ac:dyDescent="0.25">
      <c r="A110" s="44"/>
      <c r="B110" s="11" t="str">
        <f>CONCATENATE("          ", "5092", " - ", "PURCHASES @ COST-GRAD MERCH")</f>
        <v xml:space="preserve">          5092 - PURCHASES @ COST-GRAD MERCH</v>
      </c>
      <c r="C110" s="11"/>
      <c r="D110" s="2"/>
      <c r="E110" s="2"/>
      <c r="F110" s="19">
        <f t="shared" si="6"/>
        <v>0</v>
      </c>
      <c r="G110" s="2"/>
      <c r="H110" s="2"/>
      <c r="I110" s="2"/>
      <c r="J110" s="19">
        <f t="shared" si="7"/>
        <v>0</v>
      </c>
      <c r="K110" s="2"/>
      <c r="L110" s="2">
        <f t="shared" si="8"/>
        <v>0</v>
      </c>
      <c r="M110" s="2"/>
      <c r="N110" s="19">
        <f t="shared" si="9"/>
        <v>0</v>
      </c>
      <c r="O110" s="11"/>
      <c r="P110" s="2">
        <v>0</v>
      </c>
      <c r="Q110" s="2"/>
      <c r="R110" s="19">
        <f t="shared" si="10"/>
        <v>0</v>
      </c>
      <c r="S110" s="2"/>
      <c r="T110" s="2"/>
      <c r="U110" s="2"/>
      <c r="V110" s="19">
        <f t="shared" si="11"/>
        <v>0</v>
      </c>
      <c r="W110" s="2"/>
      <c r="X110" s="2">
        <f t="shared" si="12"/>
        <v>0</v>
      </c>
      <c r="Y110" s="2"/>
      <c r="Z110" s="19">
        <f t="shared" si="13"/>
        <v>0</v>
      </c>
    </row>
    <row r="111" spans="1:26" s="24" customFormat="1" hidden="1" outlineLevel="1" x14ac:dyDescent="0.25">
      <c r="A111" s="44"/>
      <c r="B111" s="11" t="str">
        <f>CONCATENATE("          ", "5200", " - ", "PURCHASES OFFSET")</f>
        <v xml:space="preserve">          5200 - PURCHASES OFFSET</v>
      </c>
      <c r="C111" s="11"/>
      <c r="D111" s="2">
        <v>-486860.31</v>
      </c>
      <c r="E111" s="2"/>
      <c r="F111" s="19">
        <f t="shared" si="6"/>
        <v>-1.8406526127488803</v>
      </c>
      <c r="G111" s="2"/>
      <c r="H111" s="2"/>
      <c r="I111" s="2"/>
      <c r="J111" s="19">
        <f t="shared" si="7"/>
        <v>0</v>
      </c>
      <c r="K111" s="2"/>
      <c r="L111" s="2">
        <f t="shared" si="8"/>
        <v>-486860.31</v>
      </c>
      <c r="M111" s="2"/>
      <c r="N111" s="19">
        <f t="shared" si="9"/>
        <v>0</v>
      </c>
      <c r="O111" s="11"/>
      <c r="P111" s="2">
        <v>-2334827.4700000002</v>
      </c>
      <c r="Q111" s="2"/>
      <c r="R111" s="19">
        <f t="shared" si="10"/>
        <v>-0.42653774025207325</v>
      </c>
      <c r="S111" s="2"/>
      <c r="T111" s="2"/>
      <c r="U111" s="2"/>
      <c r="V111" s="19">
        <f t="shared" si="11"/>
        <v>0</v>
      </c>
      <c r="W111" s="2"/>
      <c r="X111" s="2">
        <f t="shared" si="12"/>
        <v>-2334827.4700000002</v>
      </c>
      <c r="Y111" s="2"/>
      <c r="Z111" s="19">
        <f t="shared" si="13"/>
        <v>0</v>
      </c>
    </row>
    <row r="112" spans="1:26" s="24" customFormat="1" hidden="1" outlineLevel="1" x14ac:dyDescent="0.25">
      <c r="A112" s="44"/>
      <c r="B112" s="11" t="str">
        <f>CONCATENATE("          ", "5300", " - ", "COG$ OFFSET")</f>
        <v xml:space="preserve">          5300 - COG$ OFFSET</v>
      </c>
      <c r="C112" s="11"/>
      <c r="D112" s="2">
        <v>155831</v>
      </c>
      <c r="E112" s="2"/>
      <c r="F112" s="19">
        <f t="shared" si="6"/>
        <v>0.58914380861580351</v>
      </c>
      <c r="G112" s="2"/>
      <c r="H112" s="2"/>
      <c r="I112" s="2"/>
      <c r="J112" s="19">
        <f t="shared" si="7"/>
        <v>0</v>
      </c>
      <c r="K112" s="2"/>
      <c r="L112" s="2">
        <f t="shared" si="8"/>
        <v>155831</v>
      </c>
      <c r="M112" s="2"/>
      <c r="N112" s="19">
        <f t="shared" si="9"/>
        <v>0</v>
      </c>
      <c r="O112" s="11"/>
      <c r="P112" s="2">
        <v>2797463</v>
      </c>
      <c r="Q112" s="2"/>
      <c r="R112" s="19">
        <f t="shared" si="10"/>
        <v>0.51105426922991681</v>
      </c>
      <c r="S112" s="2"/>
      <c r="T112" s="2"/>
      <c r="U112" s="2"/>
      <c r="V112" s="19">
        <f t="shared" si="11"/>
        <v>0</v>
      </c>
      <c r="W112" s="2"/>
      <c r="X112" s="2">
        <f t="shared" si="12"/>
        <v>2797463</v>
      </c>
      <c r="Y112" s="2"/>
      <c r="Z112" s="19">
        <f t="shared" si="13"/>
        <v>0</v>
      </c>
    </row>
    <row r="113" spans="1:26" s="24" customFormat="1" hidden="1" outlineLevel="1" x14ac:dyDescent="0.25">
      <c r="A113" s="44"/>
      <c r="B113" s="11" t="str">
        <f>CONCATENATE("          ", "5500", " - ", "FREIGHT-IN")</f>
        <v xml:space="preserve">          5500 - FREIGHT-IN</v>
      </c>
      <c r="C113" s="11"/>
      <c r="D113" s="2">
        <v>65</v>
      </c>
      <c r="E113" s="2"/>
      <c r="F113" s="19">
        <f t="shared" si="6"/>
        <v>2.4574280829890862E-4</v>
      </c>
      <c r="G113" s="2"/>
      <c r="H113" s="2"/>
      <c r="I113" s="2"/>
      <c r="J113" s="19">
        <f t="shared" si="7"/>
        <v>0</v>
      </c>
      <c r="K113" s="2"/>
      <c r="L113" s="2">
        <f t="shared" si="8"/>
        <v>65</v>
      </c>
      <c r="M113" s="2"/>
      <c r="N113" s="19">
        <f t="shared" si="9"/>
        <v>0</v>
      </c>
      <c r="O113" s="11"/>
      <c r="P113" s="2">
        <v>65</v>
      </c>
      <c r="Q113" s="2"/>
      <c r="R113" s="19">
        <f t="shared" si="10"/>
        <v>1.1874518983788021E-5</v>
      </c>
      <c r="S113" s="2"/>
      <c r="T113" s="2"/>
      <c r="U113" s="2"/>
      <c r="V113" s="19">
        <f t="shared" si="11"/>
        <v>0</v>
      </c>
      <c r="W113" s="2"/>
      <c r="X113" s="2">
        <f t="shared" si="12"/>
        <v>65</v>
      </c>
      <c r="Y113" s="2"/>
      <c r="Z113" s="19">
        <f t="shared" si="13"/>
        <v>0</v>
      </c>
    </row>
    <row r="114" spans="1:26" s="24" customFormat="1" hidden="1" outlineLevel="1" x14ac:dyDescent="0.25">
      <c r="A114" s="44"/>
      <c r="B114" s="11" t="str">
        <f>CONCATENATE("          ", "5501", " - ", "FREIGHT-IN-NEW TEXT")</f>
        <v xml:space="preserve">          5501 - FREIGHT-IN-NEW TEXT</v>
      </c>
      <c r="C114" s="11"/>
      <c r="D114" s="2">
        <v>1565.85</v>
      </c>
      <c r="E114" s="2"/>
      <c r="F114" s="19">
        <f t="shared" si="6"/>
        <v>5.9199442519207082E-3</v>
      </c>
      <c r="G114" s="2"/>
      <c r="H114" s="2"/>
      <c r="I114" s="2"/>
      <c r="J114" s="19">
        <f t="shared" si="7"/>
        <v>0</v>
      </c>
      <c r="K114" s="2"/>
      <c r="L114" s="2">
        <f t="shared" si="8"/>
        <v>1565.85</v>
      </c>
      <c r="M114" s="2"/>
      <c r="N114" s="19">
        <f t="shared" si="9"/>
        <v>0</v>
      </c>
      <c r="O114" s="11"/>
      <c r="P114" s="2">
        <v>53401.99</v>
      </c>
      <c r="Q114" s="2"/>
      <c r="R114" s="19">
        <f t="shared" si="10"/>
        <v>9.7557376004162779E-3</v>
      </c>
      <c r="S114" s="2"/>
      <c r="T114" s="2"/>
      <c r="U114" s="2"/>
      <c r="V114" s="19">
        <f t="shared" si="11"/>
        <v>0</v>
      </c>
      <c r="W114" s="2"/>
      <c r="X114" s="2">
        <f t="shared" si="12"/>
        <v>53401.99</v>
      </c>
      <c r="Y114" s="2"/>
      <c r="Z114" s="19">
        <f t="shared" si="13"/>
        <v>0</v>
      </c>
    </row>
    <row r="115" spans="1:26" s="24" customFormat="1" hidden="1" outlineLevel="1" x14ac:dyDescent="0.25">
      <c r="A115" s="44"/>
      <c r="B115" s="11" t="str">
        <f>CONCATENATE("          ", "5502", " - ", "FREIGHT-IN-USED TEXT")</f>
        <v xml:space="preserve">          5502 - FREIGHT-IN-USED TEXT</v>
      </c>
      <c r="C115" s="11"/>
      <c r="D115" s="2">
        <v>149.80000000000001</v>
      </c>
      <c r="E115" s="2"/>
      <c r="F115" s="19">
        <f t="shared" si="6"/>
        <v>5.6634265666425407E-4</v>
      </c>
      <c r="G115" s="2"/>
      <c r="H115" s="2"/>
      <c r="I115" s="2"/>
      <c r="J115" s="19">
        <f t="shared" si="7"/>
        <v>0</v>
      </c>
      <c r="K115" s="2"/>
      <c r="L115" s="2">
        <f t="shared" si="8"/>
        <v>149.80000000000001</v>
      </c>
      <c r="M115" s="2"/>
      <c r="N115" s="19">
        <f t="shared" si="9"/>
        <v>0</v>
      </c>
      <c r="O115" s="11"/>
      <c r="P115" s="2">
        <v>18142.669999999998</v>
      </c>
      <c r="Q115" s="2"/>
      <c r="R115" s="19">
        <f t="shared" si="10"/>
        <v>3.314391989716945E-3</v>
      </c>
      <c r="S115" s="2"/>
      <c r="T115" s="2"/>
      <c r="U115" s="2"/>
      <c r="V115" s="19">
        <f t="shared" si="11"/>
        <v>0</v>
      </c>
      <c r="W115" s="2"/>
      <c r="X115" s="2">
        <f t="shared" si="12"/>
        <v>18142.669999999998</v>
      </c>
      <c r="Y115" s="2"/>
      <c r="Z115" s="19">
        <f t="shared" si="13"/>
        <v>0</v>
      </c>
    </row>
    <row r="116" spans="1:26" s="24" customFormat="1" hidden="1" outlineLevel="1" x14ac:dyDescent="0.25">
      <c r="A116" s="44"/>
      <c r="B116" s="11" t="str">
        <f>CONCATENATE("          ", "5504", " - ", "FREIGHT-IN-DIGITAL TEXT")</f>
        <v xml:space="preserve">          5504 - FREIGHT-IN-DIGITAL TEXT</v>
      </c>
      <c r="C116" s="11"/>
      <c r="D116" s="2">
        <v>4.28</v>
      </c>
      <c r="E116" s="2"/>
      <c r="F116" s="19">
        <f t="shared" si="6"/>
        <v>1.6181218761835828E-5</v>
      </c>
      <c r="G116" s="2"/>
      <c r="H116" s="2"/>
      <c r="I116" s="2"/>
      <c r="J116" s="19">
        <f t="shared" si="7"/>
        <v>0</v>
      </c>
      <c r="K116" s="2"/>
      <c r="L116" s="2">
        <f t="shared" si="8"/>
        <v>4.28</v>
      </c>
      <c r="M116" s="2"/>
      <c r="N116" s="19">
        <f t="shared" si="9"/>
        <v>0</v>
      </c>
      <c r="O116" s="11"/>
      <c r="P116" s="2">
        <v>33.200000000000003</v>
      </c>
      <c r="Q116" s="2"/>
      <c r="R116" s="19">
        <f t="shared" si="10"/>
        <v>6.065138927104036E-6</v>
      </c>
      <c r="S116" s="2"/>
      <c r="T116" s="2"/>
      <c r="U116" s="2"/>
      <c r="V116" s="19">
        <f t="shared" si="11"/>
        <v>0</v>
      </c>
      <c r="W116" s="2"/>
      <c r="X116" s="2">
        <f t="shared" si="12"/>
        <v>33.200000000000003</v>
      </c>
      <c r="Y116" s="2"/>
      <c r="Z116" s="19">
        <f t="shared" si="13"/>
        <v>0</v>
      </c>
    </row>
    <row r="117" spans="1:26" s="24" customFormat="1" hidden="1" outlineLevel="1" x14ac:dyDescent="0.25">
      <c r="A117" s="44"/>
      <c r="B117" s="11" t="str">
        <f>CONCATENATE("          ", "5513", " - ", "FREIGHT-IN-TRADE BOOKS")</f>
        <v xml:space="preserve">          5513 - FREIGHT-IN-TRADE BOOKS</v>
      </c>
      <c r="C117" s="11"/>
      <c r="D117" s="2"/>
      <c r="E117" s="2"/>
      <c r="F117" s="19">
        <f t="shared" si="6"/>
        <v>0</v>
      </c>
      <c r="G117" s="2"/>
      <c r="H117" s="2"/>
      <c r="I117" s="2"/>
      <c r="J117" s="19">
        <f t="shared" si="7"/>
        <v>0</v>
      </c>
      <c r="K117" s="2"/>
      <c r="L117" s="2">
        <f t="shared" si="8"/>
        <v>0</v>
      </c>
      <c r="M117" s="2"/>
      <c r="N117" s="19">
        <f t="shared" si="9"/>
        <v>0</v>
      </c>
      <c r="O117" s="11"/>
      <c r="P117" s="2">
        <v>85.28</v>
      </c>
      <c r="Q117" s="2"/>
      <c r="R117" s="19">
        <f t="shared" si="10"/>
        <v>1.5579368906729886E-5</v>
      </c>
      <c r="S117" s="2"/>
      <c r="T117" s="2"/>
      <c r="U117" s="2"/>
      <c r="V117" s="19">
        <f t="shared" si="11"/>
        <v>0</v>
      </c>
      <c r="W117" s="2"/>
      <c r="X117" s="2">
        <f t="shared" si="12"/>
        <v>85.28</v>
      </c>
      <c r="Y117" s="2"/>
      <c r="Z117" s="19">
        <f t="shared" si="13"/>
        <v>0</v>
      </c>
    </row>
    <row r="118" spans="1:26" s="24" customFormat="1" hidden="1" outlineLevel="1" x14ac:dyDescent="0.25">
      <c r="A118" s="44"/>
      <c r="B118" s="11" t="str">
        <f>CONCATENATE("          ", "5525", " - ", "FREIGHT-IN-TEST FORMS")</f>
        <v xml:space="preserve">          5525 - FREIGHT-IN-TEST FORMS</v>
      </c>
      <c r="C118" s="11"/>
      <c r="D118" s="2"/>
      <c r="E118" s="2"/>
      <c r="F118" s="19">
        <f t="shared" si="6"/>
        <v>0</v>
      </c>
      <c r="G118" s="2"/>
      <c r="H118" s="2"/>
      <c r="I118" s="2"/>
      <c r="J118" s="19">
        <f t="shared" si="7"/>
        <v>0</v>
      </c>
      <c r="K118" s="2"/>
      <c r="L118" s="2">
        <f t="shared" si="8"/>
        <v>0</v>
      </c>
      <c r="M118" s="2"/>
      <c r="N118" s="19">
        <f t="shared" si="9"/>
        <v>0</v>
      </c>
      <c r="O118" s="11"/>
      <c r="P118" s="2">
        <v>48.14</v>
      </c>
      <c r="Q118" s="2"/>
      <c r="R118" s="19">
        <f t="shared" si="10"/>
        <v>8.7944514443008524E-6</v>
      </c>
      <c r="S118" s="2"/>
      <c r="T118" s="2"/>
      <c r="U118" s="2"/>
      <c r="V118" s="19">
        <f t="shared" si="11"/>
        <v>0</v>
      </c>
      <c r="W118" s="2"/>
      <c r="X118" s="2">
        <f t="shared" si="12"/>
        <v>48.14</v>
      </c>
      <c r="Y118" s="2"/>
      <c r="Z118" s="19">
        <f t="shared" si="13"/>
        <v>0</v>
      </c>
    </row>
    <row r="119" spans="1:26" s="24" customFormat="1" hidden="1" outlineLevel="1" x14ac:dyDescent="0.25">
      <c r="A119" s="44"/>
      <c r="B119" s="11" t="str">
        <f>CONCATENATE("          ", "5526", " - ", "FREIGHT-IN-WRITING INSTRUMENTS")</f>
        <v xml:space="preserve">          5526 - FREIGHT-IN-WRITING INSTRUMENTS</v>
      </c>
      <c r="C119" s="11"/>
      <c r="D119" s="2"/>
      <c r="E119" s="2"/>
      <c r="F119" s="19">
        <f t="shared" si="6"/>
        <v>0</v>
      </c>
      <c r="G119" s="2"/>
      <c r="H119" s="2"/>
      <c r="I119" s="2"/>
      <c r="J119" s="19">
        <f t="shared" si="7"/>
        <v>0</v>
      </c>
      <c r="K119" s="2"/>
      <c r="L119" s="2">
        <f t="shared" si="8"/>
        <v>0</v>
      </c>
      <c r="M119" s="2"/>
      <c r="N119" s="19">
        <f t="shared" si="9"/>
        <v>0</v>
      </c>
      <c r="O119" s="11"/>
      <c r="P119" s="2">
        <v>0</v>
      </c>
      <c r="Q119" s="2"/>
      <c r="R119" s="19">
        <f t="shared" si="10"/>
        <v>0</v>
      </c>
      <c r="S119" s="2"/>
      <c r="T119" s="2"/>
      <c r="U119" s="2"/>
      <c r="V119" s="19">
        <f t="shared" si="11"/>
        <v>0</v>
      </c>
      <c r="W119" s="2"/>
      <c r="X119" s="2">
        <f t="shared" si="12"/>
        <v>0</v>
      </c>
      <c r="Y119" s="2"/>
      <c r="Z119" s="19">
        <f t="shared" si="13"/>
        <v>0</v>
      </c>
    </row>
    <row r="120" spans="1:26" s="24" customFormat="1" hidden="1" outlineLevel="1" x14ac:dyDescent="0.25">
      <c r="A120" s="44"/>
      <c r="B120" s="11" t="str">
        <f>CONCATENATE("          ", "5527", " - ", "FREIGHT-IN-SCHOOL SUPPLIES")</f>
        <v xml:space="preserve">          5527 - FREIGHT-IN-SCHOOL SUPPLIES</v>
      </c>
      <c r="C120" s="11"/>
      <c r="D120" s="2">
        <v>58.29</v>
      </c>
      <c r="E120" s="2"/>
      <c r="F120" s="19">
        <f t="shared" si="6"/>
        <v>2.2037458916528282E-4</v>
      </c>
      <c r="G120" s="2"/>
      <c r="H120" s="2"/>
      <c r="I120" s="2"/>
      <c r="J120" s="19">
        <f t="shared" si="7"/>
        <v>0</v>
      </c>
      <c r="K120" s="2"/>
      <c r="L120" s="2">
        <f t="shared" si="8"/>
        <v>58.29</v>
      </c>
      <c r="M120" s="2"/>
      <c r="N120" s="19">
        <f t="shared" si="9"/>
        <v>0</v>
      </c>
      <c r="O120" s="11"/>
      <c r="P120" s="2">
        <v>276.91000000000003</v>
      </c>
      <c r="Q120" s="2"/>
      <c r="R120" s="19">
        <f t="shared" si="10"/>
        <v>5.0587277720011405E-5</v>
      </c>
      <c r="S120" s="2"/>
      <c r="T120" s="2"/>
      <c r="U120" s="2"/>
      <c r="V120" s="19">
        <f t="shared" si="11"/>
        <v>0</v>
      </c>
      <c r="W120" s="2"/>
      <c r="X120" s="2">
        <f t="shared" si="12"/>
        <v>276.91000000000003</v>
      </c>
      <c r="Y120" s="2"/>
      <c r="Z120" s="19">
        <f t="shared" si="13"/>
        <v>0</v>
      </c>
    </row>
    <row r="121" spans="1:26" s="24" customFormat="1" hidden="1" outlineLevel="1" x14ac:dyDescent="0.25">
      <c r="A121" s="44"/>
      <c r="B121" s="11" t="str">
        <f>CONCATENATE("          ", "5528", " - ", "FREIGHT-IN-ART/TECH")</f>
        <v xml:space="preserve">          5528 - FREIGHT-IN-ART/TECH</v>
      </c>
      <c r="C121" s="11"/>
      <c r="D121" s="2">
        <v>102.68</v>
      </c>
      <c r="E121" s="2"/>
      <c r="F121" s="19">
        <f t="shared" si="6"/>
        <v>3.8819802394049133E-4</v>
      </c>
      <c r="G121" s="2"/>
      <c r="H121" s="2"/>
      <c r="I121" s="2"/>
      <c r="J121" s="19">
        <f t="shared" si="7"/>
        <v>0</v>
      </c>
      <c r="K121" s="2"/>
      <c r="L121" s="2">
        <f t="shared" si="8"/>
        <v>102.68</v>
      </c>
      <c r="M121" s="2"/>
      <c r="N121" s="19">
        <f t="shared" si="9"/>
        <v>0</v>
      </c>
      <c r="O121" s="11"/>
      <c r="P121" s="2">
        <v>675.64</v>
      </c>
      <c r="Q121" s="2"/>
      <c r="R121" s="19">
        <f t="shared" si="10"/>
        <v>1.2342923086471598E-4</v>
      </c>
      <c r="S121" s="2"/>
      <c r="T121" s="2"/>
      <c r="U121" s="2"/>
      <c r="V121" s="19">
        <f t="shared" si="11"/>
        <v>0</v>
      </c>
      <c r="W121" s="2"/>
      <c r="X121" s="2">
        <f t="shared" si="12"/>
        <v>675.64</v>
      </c>
      <c r="Y121" s="2"/>
      <c r="Z121" s="19">
        <f t="shared" si="13"/>
        <v>0</v>
      </c>
    </row>
    <row r="122" spans="1:26" s="24" customFormat="1" hidden="1" outlineLevel="1" x14ac:dyDescent="0.25">
      <c r="A122" s="44"/>
      <c r="B122" s="11" t="str">
        <f>CONCATENATE("          ", "5540", " - ", "FREIGHT-IN-LOGO CLOTHING")</f>
        <v xml:space="preserve">          5540 - FREIGHT-IN-LOGO CLOTHING</v>
      </c>
      <c r="C122" s="11"/>
      <c r="D122" s="2">
        <v>1384.09</v>
      </c>
      <c r="E122" s="2"/>
      <c r="F122" s="19">
        <f t="shared" si="6"/>
        <v>5.232771746745175E-3</v>
      </c>
      <c r="G122" s="2"/>
      <c r="H122" s="2"/>
      <c r="I122" s="2"/>
      <c r="J122" s="19">
        <f t="shared" si="7"/>
        <v>0</v>
      </c>
      <c r="K122" s="2"/>
      <c r="L122" s="2">
        <f t="shared" si="8"/>
        <v>1384.09</v>
      </c>
      <c r="M122" s="2"/>
      <c r="N122" s="19">
        <f t="shared" si="9"/>
        <v>0</v>
      </c>
      <c r="O122" s="11"/>
      <c r="P122" s="2">
        <v>11883.79</v>
      </c>
      <c r="Q122" s="2"/>
      <c r="R122" s="19">
        <f t="shared" si="10"/>
        <v>2.1709890762207735E-3</v>
      </c>
      <c r="S122" s="2"/>
      <c r="T122" s="2"/>
      <c r="U122" s="2"/>
      <c r="V122" s="19">
        <f t="shared" si="11"/>
        <v>0</v>
      </c>
      <c r="W122" s="2"/>
      <c r="X122" s="2">
        <f t="shared" si="12"/>
        <v>11883.79</v>
      </c>
      <c r="Y122" s="2"/>
      <c r="Z122" s="19">
        <f t="shared" si="13"/>
        <v>0</v>
      </c>
    </row>
    <row r="123" spans="1:26" s="24" customFormat="1" hidden="1" outlineLevel="1" x14ac:dyDescent="0.25">
      <c r="A123" s="44"/>
      <c r="B123" s="11" t="str">
        <f>CONCATENATE("          ", "5541", " - ", "FREIGHT-IN-LOGO GIFTS")</f>
        <v xml:space="preserve">          5541 - FREIGHT-IN-LOGO GIFTS</v>
      </c>
      <c r="C123" s="11"/>
      <c r="D123" s="2">
        <v>1606.81</v>
      </c>
      <c r="E123" s="2"/>
      <c r="F123" s="19">
        <f t="shared" si="6"/>
        <v>6.0748000277349124E-3</v>
      </c>
      <c r="G123" s="2"/>
      <c r="H123" s="2"/>
      <c r="I123" s="2"/>
      <c r="J123" s="19">
        <f t="shared" si="7"/>
        <v>0</v>
      </c>
      <c r="K123" s="2"/>
      <c r="L123" s="2">
        <f t="shared" si="8"/>
        <v>1606.81</v>
      </c>
      <c r="M123" s="2"/>
      <c r="N123" s="19">
        <f t="shared" si="9"/>
        <v>0</v>
      </c>
      <c r="O123" s="11"/>
      <c r="P123" s="2">
        <v>7584.01</v>
      </c>
      <c r="Q123" s="2"/>
      <c r="R123" s="19">
        <f t="shared" si="10"/>
        <v>1.3854841648959723E-3</v>
      </c>
      <c r="S123" s="2"/>
      <c r="T123" s="2"/>
      <c r="U123" s="2"/>
      <c r="V123" s="19">
        <f t="shared" si="11"/>
        <v>0</v>
      </c>
      <c r="W123" s="2"/>
      <c r="X123" s="2">
        <f t="shared" si="12"/>
        <v>7584.01</v>
      </c>
      <c r="Y123" s="2"/>
      <c r="Z123" s="19">
        <f t="shared" si="13"/>
        <v>0</v>
      </c>
    </row>
    <row r="124" spans="1:26" s="24" customFormat="1" hidden="1" outlineLevel="1" x14ac:dyDescent="0.25">
      <c r="A124" s="44"/>
      <c r="B124" s="11" t="str">
        <f>CONCATENATE("          ", "5542", " - ", "FREIGHT-IN-EVERYDAY GIFTS")</f>
        <v xml:space="preserve">          5542 - FREIGHT-IN-EVERYDAY GIFTS</v>
      </c>
      <c r="C124" s="11"/>
      <c r="D124" s="2"/>
      <c r="E124" s="2"/>
      <c r="F124" s="19">
        <f t="shared" si="6"/>
        <v>0</v>
      </c>
      <c r="G124" s="2"/>
      <c r="H124" s="2"/>
      <c r="I124" s="2"/>
      <c r="J124" s="19">
        <f t="shared" si="7"/>
        <v>0</v>
      </c>
      <c r="K124" s="2"/>
      <c r="L124" s="2">
        <f t="shared" si="8"/>
        <v>0</v>
      </c>
      <c r="M124" s="2"/>
      <c r="N124" s="19">
        <f t="shared" si="9"/>
        <v>0</v>
      </c>
      <c r="O124" s="11"/>
      <c r="P124" s="2">
        <v>681.72</v>
      </c>
      <c r="Q124" s="2"/>
      <c r="R124" s="19">
        <f t="shared" si="10"/>
        <v>1.2453995510196877E-4</v>
      </c>
      <c r="S124" s="2"/>
      <c r="T124" s="2"/>
      <c r="U124" s="2"/>
      <c r="V124" s="19">
        <f t="shared" si="11"/>
        <v>0</v>
      </c>
      <c r="W124" s="2"/>
      <c r="X124" s="2">
        <f t="shared" si="12"/>
        <v>681.72</v>
      </c>
      <c r="Y124" s="2"/>
      <c r="Z124" s="19">
        <f t="shared" si="13"/>
        <v>0</v>
      </c>
    </row>
    <row r="125" spans="1:26" s="24" customFormat="1" hidden="1" outlineLevel="1" x14ac:dyDescent="0.25">
      <c r="A125" s="44"/>
      <c r="B125" s="11" t="str">
        <f>CONCATENATE("          ", "5543", " - ", "FREIGHT-IN-CARDS")</f>
        <v xml:space="preserve">          5543 - FREIGHT-IN-CARDS</v>
      </c>
      <c r="C125" s="11"/>
      <c r="D125" s="2"/>
      <c r="E125" s="2"/>
      <c r="F125" s="19">
        <f t="shared" si="6"/>
        <v>0</v>
      </c>
      <c r="G125" s="2"/>
      <c r="H125" s="2"/>
      <c r="I125" s="2"/>
      <c r="J125" s="19">
        <f t="shared" si="7"/>
        <v>0</v>
      </c>
      <c r="K125" s="2"/>
      <c r="L125" s="2">
        <f t="shared" si="8"/>
        <v>0</v>
      </c>
      <c r="M125" s="2"/>
      <c r="N125" s="19">
        <f t="shared" si="9"/>
        <v>0</v>
      </c>
      <c r="O125" s="11"/>
      <c r="P125" s="2">
        <v>9110.5300000000007</v>
      </c>
      <c r="Q125" s="2"/>
      <c r="R125" s="19">
        <f t="shared" si="10"/>
        <v>1.6643563298056969E-3</v>
      </c>
      <c r="S125" s="2"/>
      <c r="T125" s="2"/>
      <c r="U125" s="2"/>
      <c r="V125" s="19">
        <f t="shared" si="11"/>
        <v>0</v>
      </c>
      <c r="W125" s="2"/>
      <c r="X125" s="2">
        <f t="shared" si="12"/>
        <v>9110.5300000000007</v>
      </c>
      <c r="Y125" s="2"/>
      <c r="Z125" s="19">
        <f t="shared" si="13"/>
        <v>0</v>
      </c>
    </row>
    <row r="126" spans="1:26" s="24" customFormat="1" hidden="1" outlineLevel="1" x14ac:dyDescent="0.25">
      <c r="A126" s="44"/>
      <c r="B126" s="11" t="str">
        <f>CONCATENATE("          ", "5544", " - ", "FREIGHT-IN-ACCESSORIES")</f>
        <v xml:space="preserve">          5544 - FREIGHT-IN-ACCESSORIES</v>
      </c>
      <c r="C126" s="11"/>
      <c r="D126" s="2">
        <v>48.59</v>
      </c>
      <c r="E126" s="2"/>
      <c r="F126" s="19">
        <f t="shared" si="6"/>
        <v>1.8370220084990723E-4</v>
      </c>
      <c r="G126" s="2"/>
      <c r="H126" s="2"/>
      <c r="I126" s="2"/>
      <c r="J126" s="19">
        <f t="shared" si="7"/>
        <v>0</v>
      </c>
      <c r="K126" s="2"/>
      <c r="L126" s="2">
        <f t="shared" si="8"/>
        <v>48.59</v>
      </c>
      <c r="M126" s="2"/>
      <c r="N126" s="19">
        <f t="shared" si="9"/>
        <v>0</v>
      </c>
      <c r="O126" s="11"/>
      <c r="P126" s="2">
        <v>48.59</v>
      </c>
      <c r="Q126" s="2"/>
      <c r="R126" s="19">
        <f t="shared" si="10"/>
        <v>8.8766596526501535E-6</v>
      </c>
      <c r="S126" s="2"/>
      <c r="T126" s="2"/>
      <c r="U126" s="2"/>
      <c r="V126" s="19">
        <f t="shared" si="11"/>
        <v>0</v>
      </c>
      <c r="W126" s="2"/>
      <c r="X126" s="2">
        <f t="shared" si="12"/>
        <v>48.59</v>
      </c>
      <c r="Y126" s="2"/>
      <c r="Z126" s="19">
        <f t="shared" si="13"/>
        <v>0</v>
      </c>
    </row>
    <row r="127" spans="1:26" s="24" customFormat="1" hidden="1" outlineLevel="1" x14ac:dyDescent="0.25">
      <c r="A127" s="44"/>
      <c r="B127" s="11" t="str">
        <f>CONCATENATE("          ", "5545", " - ", "FREIGHT-IN-SPECIAL ORDERS")</f>
        <v xml:space="preserve">          5545 - FREIGHT-IN-SPECIAL ORDERS</v>
      </c>
      <c r="C127" s="11"/>
      <c r="D127" s="2">
        <v>90.41</v>
      </c>
      <c r="E127" s="2"/>
      <c r="F127" s="19">
        <f t="shared" si="6"/>
        <v>3.4180934305083578E-4</v>
      </c>
      <c r="G127" s="2"/>
      <c r="H127" s="2"/>
      <c r="I127" s="2"/>
      <c r="J127" s="19">
        <f t="shared" si="7"/>
        <v>0</v>
      </c>
      <c r="K127" s="2"/>
      <c r="L127" s="2">
        <f t="shared" si="8"/>
        <v>90.41</v>
      </c>
      <c r="M127" s="2"/>
      <c r="N127" s="19">
        <f t="shared" si="9"/>
        <v>0</v>
      </c>
      <c r="O127" s="11"/>
      <c r="P127" s="2">
        <v>2559.0700000000002</v>
      </c>
      <c r="Q127" s="2"/>
      <c r="R127" s="19">
        <f t="shared" si="10"/>
        <v>4.675034660898833E-4</v>
      </c>
      <c r="S127" s="2"/>
      <c r="T127" s="2"/>
      <c r="U127" s="2"/>
      <c r="V127" s="19">
        <f t="shared" si="11"/>
        <v>0</v>
      </c>
      <c r="W127" s="2"/>
      <c r="X127" s="2">
        <f t="shared" si="12"/>
        <v>2559.0700000000002</v>
      </c>
      <c r="Y127" s="2"/>
      <c r="Z127" s="19">
        <f t="shared" si="13"/>
        <v>0</v>
      </c>
    </row>
    <row r="128" spans="1:26" s="24" customFormat="1" hidden="1" outlineLevel="1" x14ac:dyDescent="0.25">
      <c r="A128" s="44"/>
      <c r="B128" s="11" t="str">
        <f>CONCATENATE("          ", "5592", " - ", "FREIGHT-IN-GRAD MERCH")</f>
        <v xml:space="preserve">          5592 - FREIGHT-IN-GRAD MERCH</v>
      </c>
      <c r="C128" s="11"/>
      <c r="D128" s="2"/>
      <c r="E128" s="2"/>
      <c r="F128" s="19">
        <f t="shared" si="6"/>
        <v>0</v>
      </c>
      <c r="G128" s="2"/>
      <c r="H128" s="2"/>
      <c r="I128" s="2"/>
      <c r="J128" s="19">
        <f t="shared" si="7"/>
        <v>0</v>
      </c>
      <c r="K128" s="2"/>
      <c r="L128" s="2">
        <f t="shared" si="8"/>
        <v>0</v>
      </c>
      <c r="M128" s="2"/>
      <c r="N128" s="19">
        <f t="shared" si="9"/>
        <v>0</v>
      </c>
      <c r="O128" s="11"/>
      <c r="P128" s="2">
        <v>0</v>
      </c>
      <c r="Q128" s="2"/>
      <c r="R128" s="19">
        <f t="shared" si="10"/>
        <v>0</v>
      </c>
      <c r="S128" s="2"/>
      <c r="T128" s="2"/>
      <c r="U128" s="2"/>
      <c r="V128" s="19">
        <f t="shared" si="11"/>
        <v>0</v>
      </c>
      <c r="W128" s="2"/>
      <c r="X128" s="2">
        <f t="shared" si="12"/>
        <v>0</v>
      </c>
      <c r="Y128" s="2"/>
      <c r="Z128" s="19">
        <f t="shared" si="13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108</v>
      </c>
      <c r="C130" s="28"/>
      <c r="D130" s="20">
        <f>D12-D80</f>
        <v>1209.3600000001024</v>
      </c>
      <c r="E130" s="14"/>
      <c r="F130" s="22">
        <f>IF(D$12=0,0,D130/D$12)</f>
        <v>4.5721772714522046E-3</v>
      </c>
      <c r="G130" s="14"/>
      <c r="H130" s="20">
        <f>H12-H80</f>
        <v>199433</v>
      </c>
      <c r="I130" s="14"/>
      <c r="J130" s="22">
        <f>IF(H$12=0,0,H130/H$12)</f>
        <v>0.54413770899724978</v>
      </c>
      <c r="K130" s="16"/>
      <c r="L130" s="20">
        <f>+D130-H130</f>
        <v>-198223.6399999999</v>
      </c>
      <c r="M130" s="16"/>
      <c r="N130" s="22">
        <f>IF(H130=0,0,L130/H130)</f>
        <v>-0.99393600858433606</v>
      </c>
      <c r="O130" s="29"/>
      <c r="P130" s="20">
        <f>P12-P80</f>
        <v>2017830.2999999984</v>
      </c>
      <c r="Q130" s="14"/>
      <c r="R130" s="22">
        <f>IF(P$12=0,0,P130/P$12)</f>
        <v>0.36862714159096399</v>
      </c>
      <c r="S130" s="14"/>
      <c r="T130" s="20">
        <f>T12-T80</f>
        <v>3925932</v>
      </c>
      <c r="U130" s="14"/>
      <c r="V130" s="22">
        <f>IF(T$12=0,0,T130/T$12)</f>
        <v>0.42942916106399209</v>
      </c>
      <c r="W130" s="16"/>
      <c r="X130" s="20">
        <f>+P130-T130</f>
        <v>-1908101.7000000016</v>
      </c>
      <c r="Y130" s="16"/>
      <c r="Z130" s="22">
        <f>IF(T130=0,0,X130/T130)</f>
        <v>-0.48602515275353764</v>
      </c>
    </row>
    <row r="131" spans="1:26" x14ac:dyDescent="0.25">
      <c r="A131" s="9"/>
      <c r="B131" s="10"/>
      <c r="C131" s="9"/>
      <c r="D131" s="1"/>
      <c r="E131" s="1"/>
      <c r="F131" s="5"/>
      <c r="G131" s="1"/>
      <c r="H131" s="1"/>
      <c r="I131" s="1"/>
      <c r="J131" s="5"/>
      <c r="K131" s="1"/>
      <c r="L131" s="1"/>
      <c r="M131" s="1"/>
      <c r="N131" s="5"/>
      <c r="O131" s="36"/>
      <c r="P131" s="1"/>
      <c r="Q131" s="1"/>
      <c r="R131" s="5"/>
      <c r="S131" s="1"/>
      <c r="T131" s="1"/>
      <c r="U131" s="1"/>
      <c r="V131" s="5"/>
      <c r="W131" s="1"/>
      <c r="X131" s="1"/>
      <c r="Y131" s="1"/>
      <c r="Z131" s="5"/>
    </row>
    <row r="132" spans="1:26" s="23" customFormat="1" x14ac:dyDescent="0.25">
      <c r="A132" s="10"/>
      <c r="B132" s="29" t="s">
        <v>295</v>
      </c>
      <c r="C132" s="10"/>
      <c r="D132" s="21">
        <f>SUM(OSRRefD22x_0)</f>
        <v>249472.28</v>
      </c>
      <c r="E132" s="21"/>
      <c r="F132" s="30">
        <f t="shared" ref="F132:F143" si="14">IF(D$12=0,0,D132/D$12)</f>
        <v>0.94316951815279459</v>
      </c>
      <c r="G132" s="21"/>
      <c r="H132" s="21">
        <f>SUM(OSRRefH22x_0)</f>
        <v>340468.66609200346</v>
      </c>
      <c r="I132" s="21"/>
      <c r="J132" s="30">
        <f t="shared" ref="J132:J143" si="15">IF(H$12=0,0,H132/H$12)</f>
        <v>0.92894275246650437</v>
      </c>
      <c r="K132" s="4"/>
      <c r="L132" s="21">
        <f t="shared" ref="L132:L143" si="16">+D132-H132</f>
        <v>-90996.386092003464</v>
      </c>
      <c r="M132" s="4"/>
      <c r="N132" s="30">
        <f t="shared" ref="N132:N143" si="17">IF(H132=0,0,L132/H132)</f>
        <v>-0.26726801951112261</v>
      </c>
      <c r="O132" s="10"/>
      <c r="P132" s="21">
        <f>SUM(OSRRefP22x_0)</f>
        <v>3118538.1200000024</v>
      </c>
      <c r="Q132" s="21"/>
      <c r="R132" s="30">
        <f t="shared" ref="R132:R143" si="18">IF(P$12=0,0,P132/P$12)</f>
        <v>0.56970984780933287</v>
      </c>
      <c r="S132" s="21"/>
      <c r="T132" s="21">
        <f>SUM(OSRRefT22x_0)</f>
        <v>4423232.5267378855</v>
      </c>
      <c r="U132" s="21"/>
      <c r="V132" s="30">
        <f t="shared" ref="V132:V143" si="19">IF(T$12=0,0,T132/T$12)</f>
        <v>0.48382525044957786</v>
      </c>
      <c r="W132" s="4"/>
      <c r="X132" s="21">
        <f t="shared" ref="X132:X143" si="20">+P132-T132</f>
        <v>-1304694.4067378831</v>
      </c>
      <c r="Y132" s="4"/>
      <c r="Z132" s="30">
        <f t="shared" ref="Z132:Z143" si="21">IF(T132=0,0,X132/T132)</f>
        <v>-0.29496401078875439</v>
      </c>
    </row>
    <row r="133" spans="1:26" s="27" customFormat="1" outlineLevel="1" collapsed="1" x14ac:dyDescent="0.25">
      <c r="A133" s="25"/>
      <c r="B133" s="13" t="str">
        <f>CONCATENATE("     ","*Benefits                                         ")</f>
        <v xml:space="preserve">     *Benefits                                         </v>
      </c>
      <c r="C133" s="13"/>
      <c r="D133" s="1">
        <f>SUM(OSRRefD22_0x_0)</f>
        <v>53691.33</v>
      </c>
      <c r="E133" s="1"/>
      <c r="F133" s="5">
        <f t="shared" si="14"/>
        <v>0.20298858793082217</v>
      </c>
      <c r="G133" s="1"/>
      <c r="H133" s="1">
        <f>SUM(OSRRefH22_0x_0)</f>
        <v>45006.603148311129</v>
      </c>
      <c r="I133" s="1"/>
      <c r="J133" s="5">
        <f t="shared" si="15"/>
        <v>0.12279707935432163</v>
      </c>
      <c r="K133" s="1"/>
      <c r="L133" s="1">
        <f t="shared" si="16"/>
        <v>8684.7268516888726</v>
      </c>
      <c r="M133" s="1"/>
      <c r="N133" s="5">
        <f t="shared" si="17"/>
        <v>0.19296561491365888</v>
      </c>
      <c r="O133" s="13"/>
      <c r="P133" s="1">
        <f>SUM(OSRRefP22_0x_0)</f>
        <v>565194.29999999993</v>
      </c>
      <c r="Q133" s="1"/>
      <c r="R133" s="5">
        <f t="shared" si="18"/>
        <v>0.10325246838275048</v>
      </c>
      <c r="S133" s="1"/>
      <c r="T133" s="1">
        <f>SUM(OSRRefT22_0x_0)</f>
        <v>540834.45951988501</v>
      </c>
      <c r="U133" s="1"/>
      <c r="V133" s="5">
        <f t="shared" si="19"/>
        <v>5.915794981322188E-2</v>
      </c>
      <c r="W133" s="1"/>
      <c r="X133" s="1">
        <f t="shared" si="20"/>
        <v>24359.840480114915</v>
      </c>
      <c r="Y133" s="1"/>
      <c r="Z133" s="5">
        <f t="shared" si="21"/>
        <v>4.504121372321556E-2</v>
      </c>
    </row>
    <row r="134" spans="1:26" s="24" customFormat="1" hidden="1" outlineLevel="2" x14ac:dyDescent="0.25">
      <c r="A134" s="26"/>
      <c r="B134" s="11" t="str">
        <f>CONCATENATE("          ", "6111", " - ", "F.I.C.A.")</f>
        <v xml:space="preserve">          6111 - F.I.C.A.</v>
      </c>
      <c r="C134" s="11"/>
      <c r="D134" s="6">
        <v>9383.11</v>
      </c>
      <c r="E134" s="2"/>
      <c r="F134" s="7">
        <f t="shared" si="14"/>
        <v>3.5474335415039575E-2</v>
      </c>
      <c r="G134" s="2"/>
      <c r="H134" s="6">
        <v>10344.405989184201</v>
      </c>
      <c r="I134" s="2"/>
      <c r="J134" s="7">
        <f t="shared" si="15"/>
        <v>2.8223921697472936E-2</v>
      </c>
      <c r="K134" s="2"/>
      <c r="L134" s="6">
        <f t="shared" si="16"/>
        <v>-961.29598918420015</v>
      </c>
      <c r="M134" s="2"/>
      <c r="N134" s="7">
        <f t="shared" si="17"/>
        <v>-9.2929066220844611E-2</v>
      </c>
      <c r="O134" s="11"/>
      <c r="P134" s="6">
        <v>106861.05</v>
      </c>
      <c r="Q134" s="2"/>
      <c r="R134" s="7">
        <f t="shared" si="18"/>
        <v>1.9521901028500325E-2</v>
      </c>
      <c r="S134" s="2"/>
      <c r="T134" s="6">
        <v>98889.751120560002</v>
      </c>
      <c r="U134" s="2"/>
      <c r="V134" s="7">
        <f t="shared" si="19"/>
        <v>1.0816830974537778E-2</v>
      </c>
      <c r="W134" s="2"/>
      <c r="X134" s="6">
        <f t="shared" si="20"/>
        <v>7971.2988794400007</v>
      </c>
      <c r="Y134" s="2"/>
      <c r="Z134" s="7">
        <f t="shared" si="21"/>
        <v>8.0607937517426939E-2</v>
      </c>
    </row>
    <row r="135" spans="1:26" s="24" customFormat="1" hidden="1" outlineLevel="2" x14ac:dyDescent="0.25">
      <c r="A135" s="26"/>
      <c r="B135" s="11" t="str">
        <f>CONCATENATE("          ", "6112", " - ", "COMPENSATION INSURANCE")</f>
        <v xml:space="preserve">          6112 - COMPENSATION INSURANCE</v>
      </c>
      <c r="C135" s="11"/>
      <c r="D135" s="6">
        <v>1986.74</v>
      </c>
      <c r="E135" s="2"/>
      <c r="F135" s="7">
        <f t="shared" si="14"/>
        <v>7.5111856455349797E-3</v>
      </c>
      <c r="G135" s="2"/>
      <c r="H135" s="6">
        <v>2653.7566659807699</v>
      </c>
      <c r="I135" s="2"/>
      <c r="J135" s="7">
        <f t="shared" si="15"/>
        <v>7.2405723850263292E-3</v>
      </c>
      <c r="K135" s="2"/>
      <c r="L135" s="6">
        <f t="shared" si="16"/>
        <v>-667.01666598076986</v>
      </c>
      <c r="M135" s="2"/>
      <c r="N135" s="7">
        <f t="shared" si="17"/>
        <v>-0.25134808874206077</v>
      </c>
      <c r="O135" s="11"/>
      <c r="P135" s="6">
        <v>26278.76</v>
      </c>
      <c r="Q135" s="2"/>
      <c r="R135" s="7">
        <f t="shared" si="18"/>
        <v>4.8007328383139897E-3</v>
      </c>
      <c r="S135" s="2"/>
      <c r="T135" s="6">
        <v>38206.261988874998</v>
      </c>
      <c r="U135" s="2"/>
      <c r="V135" s="7">
        <f t="shared" si="19"/>
        <v>4.1791052502370592E-3</v>
      </c>
      <c r="W135" s="2"/>
      <c r="X135" s="6">
        <f t="shared" si="20"/>
        <v>-11927.501988874999</v>
      </c>
      <c r="Y135" s="2"/>
      <c r="Z135" s="7">
        <f t="shared" si="21"/>
        <v>-0.31218709625003571</v>
      </c>
    </row>
    <row r="136" spans="1:26" s="24" customFormat="1" hidden="1" outlineLevel="2" x14ac:dyDescent="0.25">
      <c r="A136" s="26"/>
      <c r="B136" s="11" t="str">
        <f>CONCATENATE("          ", "6113", " - ", "GROUP INSURANCE")</f>
        <v xml:space="preserve">          6113 - GROUP INSURANCE</v>
      </c>
      <c r="C136" s="11"/>
      <c r="D136" s="6">
        <v>18284.05</v>
      </c>
      <c r="E136" s="2"/>
      <c r="F136" s="7">
        <f t="shared" si="14"/>
        <v>6.9125750678117839E-2</v>
      </c>
      <c r="G136" s="2"/>
      <c r="H136" s="6">
        <v>17287.5</v>
      </c>
      <c r="I136" s="2"/>
      <c r="J136" s="7">
        <f t="shared" si="15"/>
        <v>4.7167623433884837E-2</v>
      </c>
      <c r="K136" s="2"/>
      <c r="L136" s="6">
        <f t="shared" si="16"/>
        <v>996.54999999999927</v>
      </c>
      <c r="M136" s="2"/>
      <c r="N136" s="7">
        <f t="shared" si="17"/>
        <v>5.7645697758495984E-2</v>
      </c>
      <c r="O136" s="11"/>
      <c r="P136" s="6">
        <v>201438.24</v>
      </c>
      <c r="Q136" s="2"/>
      <c r="R136" s="7">
        <f t="shared" si="18"/>
        <v>3.6799726229859192E-2</v>
      </c>
      <c r="S136" s="2"/>
      <c r="T136" s="6">
        <v>210570</v>
      </c>
      <c r="U136" s="2"/>
      <c r="V136" s="7">
        <f t="shared" si="19"/>
        <v>2.3032721515615862E-2</v>
      </c>
      <c r="W136" s="2"/>
      <c r="X136" s="6">
        <f t="shared" si="20"/>
        <v>-9131.7600000000093</v>
      </c>
      <c r="Y136" s="2"/>
      <c r="Z136" s="7">
        <f t="shared" si="21"/>
        <v>-4.3366861376264471E-2</v>
      </c>
    </row>
    <row r="137" spans="1:26" s="24" customFormat="1" hidden="1" outlineLevel="2" x14ac:dyDescent="0.25">
      <c r="A137" s="26"/>
      <c r="B137" s="11" t="str">
        <f>CONCATENATE("          ", "6114", " - ", "STATE UNEMPLOYMENT INSURANCE")</f>
        <v xml:space="preserve">          6114 - STATE UNEMPLOYMENT INSURANCE</v>
      </c>
      <c r="C137" s="11"/>
      <c r="D137" s="6">
        <v>346.7</v>
      </c>
      <c r="E137" s="2"/>
      <c r="F137" s="7">
        <f t="shared" si="14"/>
        <v>1.3107543328804863E-3</v>
      </c>
      <c r="G137" s="2"/>
      <c r="H137" s="6">
        <v>372.96039630000001</v>
      </c>
      <c r="I137" s="2"/>
      <c r="J137" s="7">
        <f t="shared" si="15"/>
        <v>1.0175939568145109E-3</v>
      </c>
      <c r="K137" s="2"/>
      <c r="L137" s="6">
        <f t="shared" si="16"/>
        <v>-26.260396300000025</v>
      </c>
      <c r="M137" s="2"/>
      <c r="N137" s="7">
        <f t="shared" si="17"/>
        <v>-7.0410683173118521E-2</v>
      </c>
      <c r="O137" s="11"/>
      <c r="P137" s="6">
        <v>4361.7</v>
      </c>
      <c r="Q137" s="2"/>
      <c r="R137" s="7">
        <f t="shared" si="18"/>
        <v>7.9681676079366482E-4</v>
      </c>
      <c r="S137" s="2"/>
      <c r="T137" s="6">
        <v>5414.7828559500003</v>
      </c>
      <c r="U137" s="2"/>
      <c r="V137" s="7">
        <f t="shared" si="19"/>
        <v>5.9228373267145116E-4</v>
      </c>
      <c r="W137" s="2"/>
      <c r="X137" s="6">
        <f t="shared" si="20"/>
        <v>-1053.0828559500005</v>
      </c>
      <c r="Y137" s="2"/>
      <c r="Z137" s="7">
        <f t="shared" si="21"/>
        <v>-0.19448293384338156</v>
      </c>
    </row>
    <row r="138" spans="1:26" s="24" customFormat="1" hidden="1" outlineLevel="2" x14ac:dyDescent="0.25">
      <c r="A138" s="26"/>
      <c r="B138" s="11" t="str">
        <f>CONCATENATE("          ", "6115", " - ", "P.E.R.S.")</f>
        <v xml:space="preserve">          6115 - P.E.R.S.</v>
      </c>
      <c r="C138" s="11"/>
      <c r="D138" s="6">
        <v>11653.4</v>
      </c>
      <c r="E138" s="2"/>
      <c r="F138" s="7">
        <f t="shared" si="14"/>
        <v>4.4057526803546174E-2</v>
      </c>
      <c r="G138" s="2"/>
      <c r="H138" s="6">
        <v>4739.7712141538505</v>
      </c>
      <c r="I138" s="2"/>
      <c r="J138" s="7">
        <f t="shared" si="15"/>
        <v>1.2932103762370264E-2</v>
      </c>
      <c r="K138" s="2"/>
      <c r="L138" s="6">
        <f t="shared" si="16"/>
        <v>6913.6287858461492</v>
      </c>
      <c r="M138" s="2"/>
      <c r="N138" s="7">
        <f t="shared" si="17"/>
        <v>1.4586418781566397</v>
      </c>
      <c r="O138" s="11"/>
      <c r="P138" s="6">
        <v>86353.84</v>
      </c>
      <c r="Q138" s="2"/>
      <c r="R138" s="7">
        <f t="shared" si="18"/>
        <v>1.5775543267738359E-2</v>
      </c>
      <c r="S138" s="2"/>
      <c r="T138" s="6">
        <v>61311.425042000003</v>
      </c>
      <c r="U138" s="2"/>
      <c r="V138" s="7">
        <f t="shared" si="19"/>
        <v>6.7064110686134897E-3</v>
      </c>
      <c r="W138" s="2"/>
      <c r="X138" s="6">
        <f t="shared" si="20"/>
        <v>25042.414957999994</v>
      </c>
      <c r="Y138" s="2"/>
      <c r="Z138" s="7">
        <f t="shared" si="21"/>
        <v>0.40844614100626847</v>
      </c>
    </row>
    <row r="139" spans="1:26" s="24" customFormat="1" hidden="1" outlineLevel="2" x14ac:dyDescent="0.25">
      <c r="A139" s="26"/>
      <c r="B139" s="11" t="str">
        <f>CONCATENATE("          ", "6116", " - ", "EDUCATIONAL BENEFITS")</f>
        <v xml:space="preserve">          6116 - EDUCATIONAL BENEFITS</v>
      </c>
      <c r="C139" s="11"/>
      <c r="D139" s="6"/>
      <c r="E139" s="2"/>
      <c r="F139" s="7">
        <f t="shared" si="14"/>
        <v>0</v>
      </c>
      <c r="G139" s="2"/>
      <c r="H139" s="6">
        <v>0</v>
      </c>
      <c r="I139" s="2"/>
      <c r="J139" s="7">
        <f t="shared" si="15"/>
        <v>0</v>
      </c>
      <c r="K139" s="2"/>
      <c r="L139" s="6">
        <f t="shared" si="16"/>
        <v>0</v>
      </c>
      <c r="M139" s="2"/>
      <c r="N139" s="7">
        <f t="shared" si="17"/>
        <v>0</v>
      </c>
      <c r="O139" s="11"/>
      <c r="P139" s="6">
        <v>0</v>
      </c>
      <c r="Q139" s="2"/>
      <c r="R139" s="7">
        <f t="shared" si="18"/>
        <v>0</v>
      </c>
      <c r="S139" s="2"/>
      <c r="T139" s="6">
        <v>0</v>
      </c>
      <c r="U139" s="2"/>
      <c r="V139" s="7">
        <f t="shared" si="19"/>
        <v>0</v>
      </c>
      <c r="W139" s="2"/>
      <c r="X139" s="6">
        <f t="shared" si="20"/>
        <v>0</v>
      </c>
      <c r="Y139" s="2"/>
      <c r="Z139" s="7">
        <f t="shared" si="21"/>
        <v>0</v>
      </c>
    </row>
    <row r="140" spans="1:26" s="24" customFormat="1" hidden="1" outlineLevel="2" x14ac:dyDescent="0.25">
      <c r="A140" s="26"/>
      <c r="B140" s="11" t="str">
        <f>CONCATENATE("          ", "6117", " - ", "RETIREMENT STAFF HOURLY")</f>
        <v xml:space="preserve">          6117 - RETIREMENT STAFF HOURLY</v>
      </c>
      <c r="C140" s="11"/>
      <c r="D140" s="6">
        <v>530.78</v>
      </c>
      <c r="E140" s="2"/>
      <c r="F140" s="7">
        <f t="shared" si="14"/>
        <v>2.0066979659829954E-3</v>
      </c>
      <c r="G140" s="2"/>
      <c r="H140" s="6"/>
      <c r="I140" s="2"/>
      <c r="J140" s="7">
        <f t="shared" si="15"/>
        <v>0</v>
      </c>
      <c r="K140" s="2"/>
      <c r="L140" s="6">
        <f t="shared" si="16"/>
        <v>530.78</v>
      </c>
      <c r="M140" s="2"/>
      <c r="N140" s="7">
        <f t="shared" si="17"/>
        <v>0</v>
      </c>
      <c r="O140" s="11"/>
      <c r="P140" s="6">
        <v>4769.1000000000004</v>
      </c>
      <c r="Q140" s="2"/>
      <c r="R140" s="7">
        <f t="shared" si="18"/>
        <v>8.7124259208589934E-4</v>
      </c>
      <c r="S140" s="2"/>
      <c r="T140" s="6"/>
      <c r="U140" s="2"/>
      <c r="V140" s="7">
        <f t="shared" si="19"/>
        <v>0</v>
      </c>
      <c r="W140" s="2"/>
      <c r="X140" s="6">
        <f t="shared" si="20"/>
        <v>4769.1000000000004</v>
      </c>
      <c r="Y140" s="2"/>
      <c r="Z140" s="7">
        <f t="shared" si="21"/>
        <v>0</v>
      </c>
    </row>
    <row r="141" spans="1:26" s="24" customFormat="1" hidden="1" outlineLevel="2" x14ac:dyDescent="0.25">
      <c r="A141" s="26"/>
      <c r="B141" s="11" t="str">
        <f>CONCATENATE("          ", "6118", " - ", "VACATION")</f>
        <v xml:space="preserve">          6118 - VACATION</v>
      </c>
      <c r="C141" s="11"/>
      <c r="D141" s="6">
        <v>5732.87</v>
      </c>
      <c r="E141" s="2"/>
      <c r="F141" s="7">
        <f t="shared" si="14"/>
        <v>2.1674024206347141E-2</v>
      </c>
      <c r="G141" s="2"/>
      <c r="H141" s="6">
        <v>3978.83801230769</v>
      </c>
      <c r="I141" s="2"/>
      <c r="J141" s="7">
        <f t="shared" si="15"/>
        <v>1.085595563667135E-2</v>
      </c>
      <c r="K141" s="2"/>
      <c r="L141" s="6">
        <f t="shared" si="16"/>
        <v>1754.0319876923099</v>
      </c>
      <c r="M141" s="2"/>
      <c r="N141" s="7">
        <f t="shared" si="17"/>
        <v>0.44084026096729362</v>
      </c>
      <c r="O141" s="11"/>
      <c r="P141" s="6">
        <v>68857.600000000006</v>
      </c>
      <c r="Q141" s="2"/>
      <c r="R141" s="7">
        <f t="shared" si="18"/>
        <v>1.2579244282739726E-2</v>
      </c>
      <c r="S141" s="2"/>
      <c r="T141" s="6">
        <v>51509.779309999998</v>
      </c>
      <c r="U141" s="2"/>
      <c r="V141" s="7">
        <f t="shared" si="19"/>
        <v>5.6342802971841273E-3</v>
      </c>
      <c r="W141" s="2"/>
      <c r="X141" s="6">
        <f t="shared" si="20"/>
        <v>17347.820690000008</v>
      </c>
      <c r="Y141" s="2"/>
      <c r="Z141" s="7">
        <f t="shared" si="21"/>
        <v>0.33678693487689121</v>
      </c>
    </row>
    <row r="142" spans="1:26" s="24" customFormat="1" hidden="1" outlineLevel="2" x14ac:dyDescent="0.25">
      <c r="A142" s="26"/>
      <c r="B142" s="11" t="str">
        <f>CONCATENATE("          ", "6119", " - ", "SICK LEAVE")</f>
        <v xml:space="preserve">          6119 - SICK LEAVE</v>
      </c>
      <c r="C142" s="11"/>
      <c r="D142" s="6">
        <v>4267.55</v>
      </c>
      <c r="E142" s="2"/>
      <c r="F142" s="7">
        <f t="shared" si="14"/>
        <v>1.6134149562400116E-2</v>
      </c>
      <c r="G142" s="2"/>
      <c r="H142" s="6">
        <v>4004.37087038461</v>
      </c>
      <c r="I142" s="2"/>
      <c r="J142" s="7">
        <f t="shared" si="15"/>
        <v>1.0925620089886852E-2</v>
      </c>
      <c r="K142" s="2"/>
      <c r="L142" s="6">
        <f t="shared" si="16"/>
        <v>263.17912961539014</v>
      </c>
      <c r="M142" s="2"/>
      <c r="N142" s="7">
        <f t="shared" si="17"/>
        <v>6.572296576268731E-2</v>
      </c>
      <c r="O142" s="11"/>
      <c r="P142" s="6">
        <v>48796.13</v>
      </c>
      <c r="Q142" s="2"/>
      <c r="R142" s="7">
        <f t="shared" si="18"/>
        <v>8.9143164926213572E-3</v>
      </c>
      <c r="S142" s="2"/>
      <c r="T142" s="6">
        <v>55432.459202500002</v>
      </c>
      <c r="U142" s="2"/>
      <c r="V142" s="7">
        <f t="shared" si="19"/>
        <v>6.0633537338505971E-3</v>
      </c>
      <c r="W142" s="2"/>
      <c r="X142" s="6">
        <f t="shared" si="20"/>
        <v>-6636.3292025000046</v>
      </c>
      <c r="Y142" s="2"/>
      <c r="Z142" s="7">
        <f t="shared" si="21"/>
        <v>-0.11971919157071614</v>
      </c>
    </row>
    <row r="143" spans="1:26" s="24" customFormat="1" hidden="1" outlineLevel="2" x14ac:dyDescent="0.25">
      <c r="A143" s="26"/>
      <c r="B143" s="11" t="str">
        <f>CONCATENATE("          ", "6156", " - ", "EMPLOYEE MEALS")</f>
        <v xml:space="preserve">          6156 - EMPLOYEE MEALS</v>
      </c>
      <c r="C143" s="11"/>
      <c r="D143" s="6">
        <v>1506.13</v>
      </c>
      <c r="E143" s="2"/>
      <c r="F143" s="7">
        <f t="shared" si="14"/>
        <v>5.6941633209728502E-3</v>
      </c>
      <c r="G143" s="2"/>
      <c r="H143" s="6">
        <v>1625</v>
      </c>
      <c r="I143" s="2"/>
      <c r="J143" s="7">
        <f t="shared" si="15"/>
        <v>4.4336883921945259E-3</v>
      </c>
      <c r="K143" s="2"/>
      <c r="L143" s="6">
        <f t="shared" si="16"/>
        <v>-118.86999999999989</v>
      </c>
      <c r="M143" s="2"/>
      <c r="N143" s="7">
        <f t="shared" si="17"/>
        <v>-7.3150769230769158E-2</v>
      </c>
      <c r="O143" s="11"/>
      <c r="P143" s="6">
        <v>17477.88</v>
      </c>
      <c r="Q143" s="2"/>
      <c r="R143" s="7">
        <f t="shared" si="18"/>
        <v>3.1929448900979845E-3</v>
      </c>
      <c r="S143" s="2"/>
      <c r="T143" s="6">
        <v>19500</v>
      </c>
      <c r="U143" s="2"/>
      <c r="V143" s="7">
        <f t="shared" si="19"/>
        <v>2.1329632405115129E-3</v>
      </c>
      <c r="W143" s="2"/>
      <c r="X143" s="6">
        <f t="shared" si="20"/>
        <v>-2022.119999999999</v>
      </c>
      <c r="Y143" s="2"/>
      <c r="Z143" s="7">
        <f t="shared" si="21"/>
        <v>-0.10369846153846149</v>
      </c>
    </row>
    <row r="144" spans="1:26" s="27" customFormat="1" outlineLevel="1" collapsed="1" x14ac:dyDescent="0.25">
      <c r="A144" s="25"/>
      <c r="B144" s="13" t="str">
        <f>CONCATENATE("     ","*Payroll                                          ")</f>
        <v xml:space="preserve">     *Payroll                                          </v>
      </c>
      <c r="C144" s="13"/>
      <c r="D144" s="1">
        <f>SUM(OSRRefD22_1x_0)</f>
        <v>126856.57</v>
      </c>
      <c r="E144" s="1"/>
      <c r="F144" s="5">
        <f t="shared" ref="F144:F154" si="22">IF(D$12=0,0,D144/D$12)</f>
        <v>0.47960138096872434</v>
      </c>
      <c r="G144" s="1"/>
      <c r="H144" s="1">
        <f>SUM(OSRRefH22_1x_0)</f>
        <v>132302.06294369232</v>
      </c>
      <c r="I144" s="1"/>
      <c r="J144" s="5">
        <f t="shared" ref="J144:J154" si="23">IF(H$12=0,0,H144/H$12)</f>
        <v>0.36097607429959272</v>
      </c>
      <c r="K144" s="1"/>
      <c r="L144" s="1">
        <f t="shared" ref="L144:L154" si="24">+D144-H144</f>
        <v>-5445.4929436923121</v>
      </c>
      <c r="M144" s="1"/>
      <c r="N144" s="5">
        <f t="shared" ref="N144:N154" si="25">IF(H144=0,0,L144/H144)</f>
        <v>-4.1159546741231921E-2</v>
      </c>
      <c r="O144" s="13"/>
      <c r="P144" s="1">
        <f>SUM(OSRRefP22_1x_0)</f>
        <v>1498227.28</v>
      </c>
      <c r="Q144" s="1"/>
      <c r="R144" s="5">
        <f t="shared" ref="R144:R154" si="26">IF(P$12=0,0,P144/P$12)</f>
        <v>0.27370351197521681</v>
      </c>
      <c r="S144" s="1"/>
      <c r="T144" s="1">
        <f>SUM(OSRRefT22_1x_0)</f>
        <v>1933137.0672180001</v>
      </c>
      <c r="U144" s="1"/>
      <c r="V144" s="5">
        <f t="shared" ref="V144:V154" si="27">IF(T$12=0,0,T144/T$12)</f>
        <v>0.2114518104228835</v>
      </c>
      <c r="W144" s="1"/>
      <c r="X144" s="1">
        <f t="shared" ref="X144:X154" si="28">+P144-T144</f>
        <v>-434909.78721800004</v>
      </c>
      <c r="Y144" s="1"/>
      <c r="Z144" s="5">
        <f t="shared" ref="Z144:Z154" si="29">IF(T144=0,0,X144/T144)</f>
        <v>-0.22497617711292647</v>
      </c>
    </row>
    <row r="145" spans="1:26" s="24" customFormat="1" hidden="1" outlineLevel="2" x14ac:dyDescent="0.25">
      <c r="A145" s="26"/>
      <c r="B145" s="11" t="str">
        <f>CONCATENATE("          ", "6001", " - ", "ADMINISTRATIVE SALARIES")</f>
        <v xml:space="preserve">          6001 - ADMINISTRATIVE SALARIES</v>
      </c>
      <c r="C145" s="11"/>
      <c r="D145" s="6">
        <v>3583.28</v>
      </c>
      <c r="E145" s="2"/>
      <c r="F145" s="7">
        <f t="shared" si="22"/>
        <v>1.3547158309558665E-2</v>
      </c>
      <c r="G145" s="2"/>
      <c r="H145" s="6">
        <v>7759.6923076923104</v>
      </c>
      <c r="I145" s="2"/>
      <c r="J145" s="7">
        <f t="shared" si="23"/>
        <v>2.1171727822533262E-2</v>
      </c>
      <c r="K145" s="2"/>
      <c r="L145" s="6">
        <f t="shared" si="24"/>
        <v>-4176.4123076923097</v>
      </c>
      <c r="M145" s="2"/>
      <c r="N145" s="7">
        <f t="shared" si="25"/>
        <v>-0.5382188032832389</v>
      </c>
      <c r="O145" s="11"/>
      <c r="P145" s="6">
        <v>50981.81</v>
      </c>
      <c r="Q145" s="2"/>
      <c r="R145" s="7">
        <f t="shared" si="26"/>
        <v>9.3136072411211385E-3</v>
      </c>
      <c r="S145" s="2"/>
      <c r="T145" s="6">
        <v>100876</v>
      </c>
      <c r="U145" s="2"/>
      <c r="V145" s="7">
        <f t="shared" si="27"/>
        <v>1.1034092299991763E-2</v>
      </c>
      <c r="W145" s="2"/>
      <c r="X145" s="6">
        <f t="shared" si="28"/>
        <v>-49894.19</v>
      </c>
      <c r="Y145" s="2"/>
      <c r="Z145" s="7">
        <f t="shared" si="29"/>
        <v>-0.49460912407311952</v>
      </c>
    </row>
    <row r="146" spans="1:26" s="24" customFormat="1" hidden="1" outlineLevel="2" x14ac:dyDescent="0.25">
      <c r="A146" s="26"/>
      <c r="B146" s="11" t="str">
        <f>CONCATENATE("          ", "6002", " - ", "STAFF SALARIES")</f>
        <v xml:space="preserve">          6002 - STAFF SALARIES</v>
      </c>
      <c r="C146" s="11"/>
      <c r="D146" s="6">
        <v>56900.92</v>
      </c>
      <c r="E146" s="2"/>
      <c r="F146" s="7">
        <f t="shared" si="22"/>
        <v>0.21512295193217745</v>
      </c>
      <c r="G146" s="2"/>
      <c r="H146" s="6">
        <v>41699.298056</v>
      </c>
      <c r="I146" s="2"/>
      <c r="J146" s="7">
        <f t="shared" si="23"/>
        <v>0.11377335000218274</v>
      </c>
      <c r="K146" s="2"/>
      <c r="L146" s="6">
        <f t="shared" si="24"/>
        <v>15201.621943999999</v>
      </c>
      <c r="M146" s="2"/>
      <c r="N146" s="7">
        <f t="shared" si="25"/>
        <v>0.36455342542181424</v>
      </c>
      <c r="O146" s="11"/>
      <c r="P146" s="6">
        <v>723631.64</v>
      </c>
      <c r="Q146" s="2"/>
      <c r="R146" s="7">
        <f t="shared" si="26"/>
        <v>0.1321965791761486</v>
      </c>
      <c r="S146" s="2"/>
      <c r="T146" s="6">
        <v>538892.72742799995</v>
      </c>
      <c r="U146" s="2"/>
      <c r="V146" s="7">
        <f t="shared" si="27"/>
        <v>5.894555785553407E-2</v>
      </c>
      <c r="W146" s="2"/>
      <c r="X146" s="6">
        <f t="shared" si="28"/>
        <v>184738.91257200006</v>
      </c>
      <c r="Y146" s="2"/>
      <c r="Z146" s="7">
        <f t="shared" si="29"/>
        <v>0.34281203506626007</v>
      </c>
    </row>
    <row r="147" spans="1:26" s="24" customFormat="1" hidden="1" outlineLevel="2" x14ac:dyDescent="0.25">
      <c r="A147" s="26"/>
      <c r="B147" s="11" t="str">
        <f>CONCATENATE("          ", "6003", " - ", "STAFF HOURLY-9 MONTH")</f>
        <v xml:space="preserve">          6003 - STAFF HOURLY-9 MONTH</v>
      </c>
      <c r="C147" s="11"/>
      <c r="D147" s="6"/>
      <c r="E147" s="2"/>
      <c r="F147" s="7">
        <f t="shared" si="22"/>
        <v>0</v>
      </c>
      <c r="G147" s="2"/>
      <c r="H147" s="6">
        <v>0</v>
      </c>
      <c r="I147" s="2"/>
      <c r="J147" s="7">
        <f t="shared" si="23"/>
        <v>0</v>
      </c>
      <c r="K147" s="2"/>
      <c r="L147" s="6">
        <f t="shared" si="24"/>
        <v>0</v>
      </c>
      <c r="M147" s="2"/>
      <c r="N147" s="7">
        <f t="shared" si="25"/>
        <v>0</v>
      </c>
      <c r="O147" s="11"/>
      <c r="P147" s="6"/>
      <c r="Q147" s="2"/>
      <c r="R147" s="7">
        <f t="shared" si="26"/>
        <v>0</v>
      </c>
      <c r="S147" s="2"/>
      <c r="T147" s="6">
        <v>0</v>
      </c>
      <c r="U147" s="2"/>
      <c r="V147" s="7">
        <f t="shared" si="27"/>
        <v>0</v>
      </c>
      <c r="W147" s="2"/>
      <c r="X147" s="6">
        <f t="shared" si="28"/>
        <v>0</v>
      </c>
      <c r="Y147" s="2"/>
      <c r="Z147" s="7">
        <f t="shared" si="29"/>
        <v>0</v>
      </c>
    </row>
    <row r="148" spans="1:26" s="24" customFormat="1" hidden="1" outlineLevel="2" x14ac:dyDescent="0.25">
      <c r="A148" s="26"/>
      <c r="B148" s="11" t="str">
        <f>CONCATENATE("          ", "6004", " - ", "STAFF HOURLY")</f>
        <v xml:space="preserve">          6004 - STAFF HOURLY</v>
      </c>
      <c r="C148" s="11"/>
      <c r="D148" s="6">
        <v>17280.169999999998</v>
      </c>
      <c r="E148" s="2"/>
      <c r="F148" s="7">
        <f t="shared" si="22"/>
        <v>6.5330423133577703E-2</v>
      </c>
      <c r="G148" s="2"/>
      <c r="H148" s="6">
        <v>24999.160080000001</v>
      </c>
      <c r="I148" s="2"/>
      <c r="J148" s="7">
        <f t="shared" si="23"/>
        <v>6.8208298991574629E-2</v>
      </c>
      <c r="K148" s="2"/>
      <c r="L148" s="6">
        <f t="shared" si="24"/>
        <v>-7718.9900800000032</v>
      </c>
      <c r="M148" s="2"/>
      <c r="N148" s="7">
        <f t="shared" si="25"/>
        <v>-0.30876997688315944</v>
      </c>
      <c r="O148" s="11"/>
      <c r="P148" s="6">
        <v>185624.67</v>
      </c>
      <c r="Q148" s="2"/>
      <c r="R148" s="7">
        <f t="shared" si="26"/>
        <v>3.3910825658067495E-2</v>
      </c>
      <c r="S148" s="2"/>
      <c r="T148" s="6">
        <v>332022.26604000002</v>
      </c>
      <c r="U148" s="2"/>
      <c r="V148" s="7">
        <f t="shared" si="27"/>
        <v>3.6317501974084829E-2</v>
      </c>
      <c r="W148" s="2"/>
      <c r="X148" s="6">
        <f t="shared" si="28"/>
        <v>-146397.59604</v>
      </c>
      <c r="Y148" s="2"/>
      <c r="Z148" s="7">
        <f t="shared" si="29"/>
        <v>-0.44092704319523834</v>
      </c>
    </row>
    <row r="149" spans="1:26" s="24" customFormat="1" hidden="1" outlineLevel="2" x14ac:dyDescent="0.25">
      <c r="A149" s="26"/>
      <c r="B149" s="11" t="str">
        <f>CONCATENATE("          ", "6005", " - ", "TEMPORARY WAGES-HOURLY")</f>
        <v xml:space="preserve">          6005 - TEMPORARY WAGES-HOURLY</v>
      </c>
      <c r="C149" s="11"/>
      <c r="D149" s="6">
        <v>9126.32</v>
      </c>
      <c r="E149" s="2"/>
      <c r="F149" s="7">
        <f t="shared" si="22"/>
        <v>3.4503500095915317E-2</v>
      </c>
      <c r="G149" s="2"/>
      <c r="H149" s="6">
        <v>3942.12</v>
      </c>
      <c r="I149" s="2"/>
      <c r="J149" s="7">
        <f t="shared" si="23"/>
        <v>1.0755773344392544E-2</v>
      </c>
      <c r="K149" s="2"/>
      <c r="L149" s="6">
        <f t="shared" si="24"/>
        <v>5184.2</v>
      </c>
      <c r="M149" s="2"/>
      <c r="N149" s="7">
        <f t="shared" si="25"/>
        <v>1.3150791959656225</v>
      </c>
      <c r="O149" s="11"/>
      <c r="P149" s="6">
        <v>168966.08</v>
      </c>
      <c r="Q149" s="2"/>
      <c r="R149" s="7">
        <f t="shared" si="26"/>
        <v>3.0867552685788391E-2</v>
      </c>
      <c r="S149" s="2"/>
      <c r="T149" s="6">
        <v>55119.76</v>
      </c>
      <c r="U149" s="2"/>
      <c r="V149" s="7">
        <f t="shared" si="27"/>
        <v>6.0291498413239429E-3</v>
      </c>
      <c r="W149" s="2"/>
      <c r="X149" s="6">
        <f t="shared" si="28"/>
        <v>113846.31999999998</v>
      </c>
      <c r="Y149" s="2"/>
      <c r="Z149" s="7">
        <f t="shared" si="29"/>
        <v>2.0654356985589191</v>
      </c>
    </row>
    <row r="150" spans="1:26" s="24" customFormat="1" hidden="1" outlineLevel="2" x14ac:dyDescent="0.25">
      <c r="A150" s="26"/>
      <c r="B150" s="11" t="str">
        <f>CONCATENATE("          ", "6006", " - ", "TEMPORARY PART TIME")</f>
        <v xml:space="preserve">          6006 - TEMPORARY PART TIME</v>
      </c>
      <c r="C150" s="11"/>
      <c r="D150" s="6">
        <v>4232.72</v>
      </c>
      <c r="E150" s="2"/>
      <c r="F150" s="7">
        <f t="shared" si="22"/>
        <v>1.6002469223737794E-2</v>
      </c>
      <c r="G150" s="2"/>
      <c r="H150" s="6">
        <v>0</v>
      </c>
      <c r="I150" s="2"/>
      <c r="J150" s="7">
        <f t="shared" si="23"/>
        <v>0</v>
      </c>
      <c r="K150" s="2"/>
      <c r="L150" s="6">
        <f t="shared" si="24"/>
        <v>4232.72</v>
      </c>
      <c r="M150" s="2"/>
      <c r="N150" s="7">
        <f t="shared" si="25"/>
        <v>0</v>
      </c>
      <c r="O150" s="11"/>
      <c r="P150" s="6">
        <v>23949.45</v>
      </c>
      <c r="Q150" s="2"/>
      <c r="R150" s="7">
        <f t="shared" si="26"/>
        <v>4.3752030565581855E-3</v>
      </c>
      <c r="S150" s="2"/>
      <c r="T150" s="6">
        <v>0</v>
      </c>
      <c r="U150" s="2"/>
      <c r="V150" s="7">
        <f t="shared" si="27"/>
        <v>0</v>
      </c>
      <c r="W150" s="2"/>
      <c r="X150" s="6">
        <f t="shared" si="28"/>
        <v>23949.45</v>
      </c>
      <c r="Y150" s="2"/>
      <c r="Z150" s="7">
        <f t="shared" si="29"/>
        <v>0</v>
      </c>
    </row>
    <row r="151" spans="1:26" s="24" customFormat="1" hidden="1" outlineLevel="2" x14ac:dyDescent="0.25">
      <c r="A151" s="26"/>
      <c r="B151" s="11" t="str">
        <f>CONCATENATE("          ", "6007", " - ", "STUDENT HOURLY")</f>
        <v xml:space="preserve">          6007 - STUDENT HOURLY</v>
      </c>
      <c r="C151" s="11"/>
      <c r="D151" s="6">
        <v>28915.24</v>
      </c>
      <c r="E151" s="2"/>
      <c r="F151" s="7">
        <f t="shared" si="22"/>
        <v>0.1093186504651836</v>
      </c>
      <c r="G151" s="2"/>
      <c r="H151" s="6">
        <v>49565.592499999999</v>
      </c>
      <c r="I151" s="2"/>
      <c r="J151" s="7">
        <f t="shared" si="23"/>
        <v>0.13523593361199632</v>
      </c>
      <c r="K151" s="2"/>
      <c r="L151" s="6">
        <f t="shared" si="24"/>
        <v>-20650.352499999997</v>
      </c>
      <c r="M151" s="2"/>
      <c r="N151" s="7">
        <f t="shared" si="25"/>
        <v>-0.41662676583559449</v>
      </c>
      <c r="O151" s="11"/>
      <c r="P151" s="6">
        <v>325714.3</v>
      </c>
      <c r="Q151" s="2"/>
      <c r="R151" s="7">
        <f t="shared" si="26"/>
        <v>5.9503086748326564E-2</v>
      </c>
      <c r="S151" s="2"/>
      <c r="T151" s="6">
        <v>202317.83</v>
      </c>
      <c r="U151" s="2"/>
      <c r="V151" s="7">
        <f t="shared" si="27"/>
        <v>2.2130076630259354E-2</v>
      </c>
      <c r="W151" s="2"/>
      <c r="X151" s="6">
        <f t="shared" si="28"/>
        <v>123396.47</v>
      </c>
      <c r="Y151" s="2"/>
      <c r="Z151" s="7">
        <f t="shared" si="29"/>
        <v>0.60991396556596134</v>
      </c>
    </row>
    <row r="152" spans="1:26" s="24" customFormat="1" hidden="1" outlineLevel="2" x14ac:dyDescent="0.25">
      <c r="A152" s="26"/>
      <c r="B152" s="11" t="str">
        <f>CONCATENATE("          ", "6008", " - ", "STUDENT HOURLY-FICA EXEMPT")</f>
        <v xml:space="preserve">          6008 - STUDENT HOURLY-FICA EXEMPT</v>
      </c>
      <c r="C152" s="11"/>
      <c r="D152" s="6">
        <v>6817.92</v>
      </c>
      <c r="E152" s="2"/>
      <c r="F152" s="7">
        <f t="shared" si="22"/>
        <v>2.5776227808573769E-2</v>
      </c>
      <c r="G152" s="2"/>
      <c r="H152" s="6">
        <v>4336.2</v>
      </c>
      <c r="I152" s="2"/>
      <c r="J152" s="7">
        <f t="shared" si="23"/>
        <v>1.1830990526913171E-2</v>
      </c>
      <c r="K152" s="2"/>
      <c r="L152" s="6">
        <f t="shared" si="24"/>
        <v>2481.7200000000003</v>
      </c>
      <c r="M152" s="2"/>
      <c r="N152" s="7">
        <f t="shared" si="25"/>
        <v>0.57232599972326004</v>
      </c>
      <c r="O152" s="11"/>
      <c r="P152" s="6">
        <v>19359.330000000002</v>
      </c>
      <c r="Q152" s="2"/>
      <c r="R152" s="7">
        <f t="shared" si="26"/>
        <v>3.5366574092064152E-3</v>
      </c>
      <c r="S152" s="2"/>
      <c r="T152" s="6">
        <v>703908.48375000001</v>
      </c>
      <c r="U152" s="2"/>
      <c r="V152" s="7">
        <f t="shared" si="27"/>
        <v>7.6995431821689525E-2</v>
      </c>
      <c r="W152" s="2"/>
      <c r="X152" s="6">
        <f t="shared" si="28"/>
        <v>-684549.15375000006</v>
      </c>
      <c r="Y152" s="2"/>
      <c r="Z152" s="7">
        <f t="shared" si="29"/>
        <v>-0.97249737650999013</v>
      </c>
    </row>
    <row r="153" spans="1:26" s="24" customFormat="1" hidden="1" outlineLevel="2" x14ac:dyDescent="0.25">
      <c r="A153" s="26"/>
      <c r="B153" s="11" t="str">
        <f>CONCATENATE("          ", "6009", " - ", "TEMPORARY-SEASONAL")</f>
        <v xml:space="preserve">          6009 - TEMPORARY-SEASONAL</v>
      </c>
      <c r="C153" s="11"/>
      <c r="D153" s="6"/>
      <c r="E153" s="2"/>
      <c r="F153" s="7">
        <f t="shared" si="22"/>
        <v>0</v>
      </c>
      <c r="G153" s="2"/>
      <c r="H153" s="6">
        <v>0</v>
      </c>
      <c r="I153" s="2"/>
      <c r="J153" s="7">
        <f t="shared" si="23"/>
        <v>0</v>
      </c>
      <c r="K153" s="2"/>
      <c r="L153" s="6">
        <f t="shared" si="24"/>
        <v>0</v>
      </c>
      <c r="M153" s="2"/>
      <c r="N153" s="7">
        <f t="shared" si="25"/>
        <v>0</v>
      </c>
      <c r="O153" s="11"/>
      <c r="P153" s="6"/>
      <c r="Q153" s="2"/>
      <c r="R153" s="7">
        <f t="shared" si="26"/>
        <v>0</v>
      </c>
      <c r="S153" s="2"/>
      <c r="T153" s="6">
        <v>0</v>
      </c>
      <c r="U153" s="2"/>
      <c r="V153" s="7">
        <f t="shared" si="27"/>
        <v>0</v>
      </c>
      <c r="W153" s="2"/>
      <c r="X153" s="6">
        <f t="shared" si="28"/>
        <v>0</v>
      </c>
      <c r="Y153" s="2"/>
      <c r="Z153" s="7">
        <f t="shared" si="29"/>
        <v>0</v>
      </c>
    </row>
    <row r="154" spans="1:26" s="24" customFormat="1" hidden="1" outlineLevel="2" x14ac:dyDescent="0.25">
      <c r="A154" s="26"/>
      <c r="B154" s="11" t="str">
        <f>CONCATENATE("          ", "6010", " - ", "GRATUITY")</f>
        <v xml:space="preserve">          6010 - GRATUITY</v>
      </c>
      <c r="C154" s="11"/>
      <c r="D154" s="6"/>
      <c r="E154" s="2"/>
      <c r="F154" s="7">
        <f t="shared" si="22"/>
        <v>0</v>
      </c>
      <c r="G154" s="2"/>
      <c r="H154" s="6">
        <v>0</v>
      </c>
      <c r="I154" s="2"/>
      <c r="J154" s="7">
        <f t="shared" si="23"/>
        <v>0</v>
      </c>
      <c r="K154" s="2"/>
      <c r="L154" s="6">
        <f t="shared" si="24"/>
        <v>0</v>
      </c>
      <c r="M154" s="2"/>
      <c r="N154" s="7">
        <f t="shared" si="25"/>
        <v>0</v>
      </c>
      <c r="O154" s="11"/>
      <c r="P154" s="6"/>
      <c r="Q154" s="2"/>
      <c r="R154" s="7">
        <f t="shared" si="26"/>
        <v>0</v>
      </c>
      <c r="S154" s="2"/>
      <c r="T154" s="6">
        <v>0</v>
      </c>
      <c r="U154" s="2"/>
      <c r="V154" s="7">
        <f t="shared" si="27"/>
        <v>0</v>
      </c>
      <c r="W154" s="2"/>
      <c r="X154" s="6">
        <f t="shared" si="28"/>
        <v>0</v>
      </c>
      <c r="Y154" s="2"/>
      <c r="Z154" s="7">
        <f t="shared" si="29"/>
        <v>0</v>
      </c>
    </row>
    <row r="155" spans="1:26" s="27" customFormat="1" outlineLevel="1" collapsed="1" x14ac:dyDescent="0.25">
      <c r="A155" s="25"/>
      <c r="B155" s="13" t="str">
        <f>CONCATENATE("     ","Advertising/Promo                                 ")</f>
        <v xml:space="preserve">     Advertising/Promo                                 </v>
      </c>
      <c r="C155" s="13"/>
      <c r="D155" s="1">
        <f>SUM(OSRRefD22_2x_0)</f>
        <v>1324.8</v>
      </c>
      <c r="E155" s="1"/>
      <c r="F155" s="5">
        <f t="shared" ref="F155:F159" si="30">IF(D$12=0,0,D155/D$12)</f>
        <v>5.0086164989906782E-3</v>
      </c>
      <c r="G155" s="1"/>
      <c r="H155" s="1">
        <f>SUM(OSRRefH22_2x_0)</f>
        <v>880</v>
      </c>
      <c r="I155" s="1"/>
      <c r="J155" s="5">
        <f t="shared" ref="J155:J159" si="31">IF(H$12=0,0,H155/H$12)</f>
        <v>2.4010127908499585E-3</v>
      </c>
      <c r="K155" s="1"/>
      <c r="L155" s="1">
        <f t="shared" ref="L155:L159" si="32">+D155-H155</f>
        <v>444.79999999999995</v>
      </c>
      <c r="M155" s="1"/>
      <c r="N155" s="5">
        <f t="shared" ref="N155:N159" si="33">IF(H155=0,0,L155/H155)</f>
        <v>0.50545454545454538</v>
      </c>
      <c r="O155" s="13"/>
      <c r="P155" s="1">
        <f>SUM(OSRRefP22_2x_0)</f>
        <v>18868.32</v>
      </c>
      <c r="Q155" s="1"/>
      <c r="R155" s="5">
        <f t="shared" ref="R155:R159" si="34">IF(P$12=0,0,P155/P$12)</f>
        <v>3.4469572928028801E-3</v>
      </c>
      <c r="S155" s="1"/>
      <c r="T155" s="1">
        <f>SUM(OSRRefT22_2x_0)</f>
        <v>15260</v>
      </c>
      <c r="U155" s="1"/>
      <c r="V155" s="5">
        <f t="shared" ref="V155:V159" si="35">IF(T$12=0,0,T155/T$12)</f>
        <v>1.6691804641131122E-3</v>
      </c>
      <c r="W155" s="1"/>
      <c r="X155" s="1">
        <f t="shared" ref="X155:X159" si="36">+P155-T155</f>
        <v>3608.3199999999997</v>
      </c>
      <c r="Y155" s="1"/>
      <c r="Z155" s="5">
        <f t="shared" ref="Z155:Z159" si="37">IF(T155=0,0,X155/T155)</f>
        <v>0.23645609436435122</v>
      </c>
    </row>
    <row r="156" spans="1:26" s="24" customFormat="1" hidden="1" outlineLevel="2" x14ac:dyDescent="0.25">
      <c r="A156" s="26"/>
      <c r="B156" s="11" t="str">
        <f>CONCATENATE("          ", "6362", " - ", "ADVERTISING EXPENSE")</f>
        <v xml:space="preserve">          6362 - ADVERTISING EXPENSE</v>
      </c>
      <c r="C156" s="11"/>
      <c r="D156" s="6">
        <v>1324.8</v>
      </c>
      <c r="E156" s="2"/>
      <c r="F156" s="7">
        <f t="shared" si="30"/>
        <v>5.0086164989906782E-3</v>
      </c>
      <c r="G156" s="2"/>
      <c r="H156" s="6">
        <v>880</v>
      </c>
      <c r="I156" s="2"/>
      <c r="J156" s="7">
        <f t="shared" si="31"/>
        <v>2.4010127908499585E-3</v>
      </c>
      <c r="K156" s="2"/>
      <c r="L156" s="6">
        <f t="shared" si="32"/>
        <v>444.79999999999995</v>
      </c>
      <c r="M156" s="2"/>
      <c r="N156" s="7">
        <f t="shared" si="33"/>
        <v>0.50545454545454538</v>
      </c>
      <c r="O156" s="11"/>
      <c r="P156" s="6">
        <v>18868.32</v>
      </c>
      <c r="Q156" s="2"/>
      <c r="R156" s="7">
        <f t="shared" si="34"/>
        <v>3.4469572928028801E-3</v>
      </c>
      <c r="S156" s="2"/>
      <c r="T156" s="6">
        <v>15260</v>
      </c>
      <c r="U156" s="2"/>
      <c r="V156" s="7">
        <f t="shared" si="35"/>
        <v>1.6691804641131122E-3</v>
      </c>
      <c r="W156" s="2"/>
      <c r="X156" s="6">
        <f t="shared" si="36"/>
        <v>3608.3199999999997</v>
      </c>
      <c r="Y156" s="2"/>
      <c r="Z156" s="7">
        <f t="shared" si="37"/>
        <v>0.23645609436435122</v>
      </c>
    </row>
    <row r="157" spans="1:26" s="27" customFormat="1" outlineLevel="1" collapsed="1" x14ac:dyDescent="0.25">
      <c r="A157" s="25"/>
      <c r="B157" s="13" t="str">
        <f>CONCATENATE("     ","Bad Debts/Over/Short                              ")</f>
        <v xml:space="preserve">     Bad Debts/Over/Short                              </v>
      </c>
      <c r="C157" s="13"/>
      <c r="D157" s="1">
        <f>SUM(OSRRefD22_3x_0)</f>
        <v>10.39</v>
      </c>
      <c r="E157" s="1"/>
      <c r="F157" s="5">
        <f t="shared" si="30"/>
        <v>3.9281042741933242E-5</v>
      </c>
      <c r="G157" s="1"/>
      <c r="H157" s="1">
        <f>SUM(OSRRefH22_3x_0)</f>
        <v>110</v>
      </c>
      <c r="I157" s="1"/>
      <c r="J157" s="5">
        <f t="shared" si="31"/>
        <v>3.0012659885624482E-4</v>
      </c>
      <c r="K157" s="1"/>
      <c r="L157" s="1">
        <f t="shared" si="32"/>
        <v>-99.61</v>
      </c>
      <c r="M157" s="1"/>
      <c r="N157" s="5">
        <f t="shared" si="33"/>
        <v>-0.90554545454545454</v>
      </c>
      <c r="O157" s="13"/>
      <c r="P157" s="1">
        <f>SUM(OSRRefP22_3x_0)</f>
        <v>5214.6499999999996</v>
      </c>
      <c r="Q157" s="1"/>
      <c r="R157" s="5">
        <f t="shared" si="34"/>
        <v>9.5263785259708006E-4</v>
      </c>
      <c r="S157" s="1"/>
      <c r="T157" s="1">
        <f>SUM(OSRRefT22_3x_0)</f>
        <v>1320</v>
      </c>
      <c r="U157" s="1"/>
      <c r="V157" s="5">
        <f t="shared" si="35"/>
        <v>1.4438520397308703E-4</v>
      </c>
      <c r="W157" s="1"/>
      <c r="X157" s="1">
        <f t="shared" si="36"/>
        <v>3894.6499999999996</v>
      </c>
      <c r="Y157" s="1"/>
      <c r="Z157" s="5">
        <f t="shared" si="37"/>
        <v>2.950492424242424</v>
      </c>
    </row>
    <row r="158" spans="1:26" s="24" customFormat="1" hidden="1" outlineLevel="2" x14ac:dyDescent="0.25">
      <c r="A158" s="26"/>
      <c r="B158" s="11" t="str">
        <f>CONCATENATE("          ", "6272", " - ", "CASH (OVER/SHORT)")</f>
        <v xml:space="preserve">          6272 - CASH (OVER/SHORT)</v>
      </c>
      <c r="C158" s="11"/>
      <c r="D158" s="6">
        <v>10.39</v>
      </c>
      <c r="E158" s="2"/>
      <c r="F158" s="7">
        <f t="shared" si="30"/>
        <v>3.9281042741933242E-5</v>
      </c>
      <c r="G158" s="2"/>
      <c r="H158" s="6">
        <v>60</v>
      </c>
      <c r="I158" s="2"/>
      <c r="J158" s="7">
        <f t="shared" si="31"/>
        <v>1.6370541755795172E-4</v>
      </c>
      <c r="K158" s="2"/>
      <c r="L158" s="6">
        <f t="shared" si="32"/>
        <v>-49.61</v>
      </c>
      <c r="M158" s="2"/>
      <c r="N158" s="7">
        <f t="shared" si="33"/>
        <v>-0.82683333333333331</v>
      </c>
      <c r="O158" s="11"/>
      <c r="P158" s="6">
        <v>-134.77000000000001</v>
      </c>
      <c r="Q158" s="2"/>
      <c r="R158" s="7">
        <f t="shared" si="34"/>
        <v>-2.4620444976078643E-5</v>
      </c>
      <c r="S158" s="2"/>
      <c r="T158" s="6">
        <v>720</v>
      </c>
      <c r="U158" s="2"/>
      <c r="V158" s="7">
        <f t="shared" si="35"/>
        <v>7.875556580350202E-5</v>
      </c>
      <c r="W158" s="2"/>
      <c r="X158" s="6">
        <f t="shared" si="36"/>
        <v>-854.77</v>
      </c>
      <c r="Y158" s="2"/>
      <c r="Z158" s="7">
        <f t="shared" si="37"/>
        <v>-1.1871805555555555</v>
      </c>
    </row>
    <row r="159" spans="1:26" s="24" customFormat="1" hidden="1" outlineLevel="2" x14ac:dyDescent="0.25">
      <c r="A159" s="26"/>
      <c r="B159" s="11" t="str">
        <f>CONCATENATE("          ", "6342", " - ", "BAD DEBT")</f>
        <v xml:space="preserve">          6342 - BAD DEBT</v>
      </c>
      <c r="C159" s="11"/>
      <c r="D159" s="6"/>
      <c r="E159" s="2"/>
      <c r="F159" s="7">
        <f t="shared" si="30"/>
        <v>0</v>
      </c>
      <c r="G159" s="2"/>
      <c r="H159" s="6">
        <v>50</v>
      </c>
      <c r="I159" s="2"/>
      <c r="J159" s="7">
        <f t="shared" si="31"/>
        <v>1.364211812982931E-4</v>
      </c>
      <c r="K159" s="2"/>
      <c r="L159" s="6">
        <f t="shared" si="32"/>
        <v>-50</v>
      </c>
      <c r="M159" s="2"/>
      <c r="N159" s="7">
        <f t="shared" si="33"/>
        <v>-1</v>
      </c>
      <c r="O159" s="11"/>
      <c r="P159" s="6">
        <v>5349.42</v>
      </c>
      <c r="Q159" s="2"/>
      <c r="R159" s="7">
        <f t="shared" si="34"/>
        <v>9.7725829757315877E-4</v>
      </c>
      <c r="S159" s="2"/>
      <c r="T159" s="6">
        <v>600</v>
      </c>
      <c r="U159" s="2"/>
      <c r="V159" s="7">
        <f t="shared" si="35"/>
        <v>6.5629638169585012E-5</v>
      </c>
      <c r="W159" s="2"/>
      <c r="X159" s="6">
        <f t="shared" si="36"/>
        <v>4749.42</v>
      </c>
      <c r="Y159" s="2"/>
      <c r="Z159" s="7">
        <f t="shared" si="37"/>
        <v>7.9157000000000002</v>
      </c>
    </row>
    <row r="160" spans="1:26" s="27" customFormat="1" outlineLevel="1" collapsed="1" x14ac:dyDescent="0.25">
      <c r="A160" s="25"/>
      <c r="B160" s="13" t="str">
        <f>CONCATENATE("     ","Bank/card Fees                                    ")</f>
        <v xml:space="preserve">     Bank/card Fees                                    </v>
      </c>
      <c r="C160" s="13"/>
      <c r="D160" s="1">
        <f>SUM(OSRRefD22_4x_0)</f>
        <v>10272.450000000001</v>
      </c>
      <c r="E160" s="1"/>
      <c r="F160" s="5">
        <f t="shared" ref="F160:F164" si="38">IF(D$12=0,0,D160/D$12)</f>
        <v>3.883662632477114E-2</v>
      </c>
      <c r="G160" s="1"/>
      <c r="H160" s="1">
        <f>SUM(OSRRefH22_4x_0)</f>
        <v>956</v>
      </c>
      <c r="I160" s="1"/>
      <c r="J160" s="5">
        <f t="shared" ref="J160:J164" si="39">IF(H$12=0,0,H160/H$12)</f>
        <v>2.6083729864233639E-3</v>
      </c>
      <c r="K160" s="1"/>
      <c r="L160" s="1">
        <f t="shared" ref="L160:L164" si="40">+D160-H160</f>
        <v>9316.4500000000007</v>
      </c>
      <c r="M160" s="1"/>
      <c r="N160" s="5">
        <f t="shared" ref="N160:N164" si="41">IF(H160=0,0,L160/H160)</f>
        <v>9.7452405857740594</v>
      </c>
      <c r="O160" s="13"/>
      <c r="P160" s="1">
        <f>SUM(OSRRefP22_4x_0)</f>
        <v>88875.99</v>
      </c>
      <c r="Q160" s="1"/>
      <c r="R160" s="5">
        <f t="shared" ref="R160:R164" si="42">IF(P$12=0,0,P160/P$12)</f>
        <v>1.6236302007045452E-2</v>
      </c>
      <c r="S160" s="1"/>
      <c r="T160" s="1">
        <f>SUM(OSRRefT22_4x_0)</f>
        <v>198503</v>
      </c>
      <c r="U160" s="1"/>
      <c r="V160" s="5">
        <f t="shared" ref="V160:V164" si="43">IF(T$12=0,0,T160/T$12)</f>
        <v>2.1712800109295223E-2</v>
      </c>
      <c r="W160" s="1"/>
      <c r="X160" s="1">
        <f t="shared" ref="X160:X164" si="44">+P160-T160</f>
        <v>-109627.01</v>
      </c>
      <c r="Y160" s="1"/>
      <c r="Z160" s="5">
        <f t="shared" ref="Z160:Z164" si="45">IF(T160=0,0,X160/T160)</f>
        <v>-0.55226878183201256</v>
      </c>
    </row>
    <row r="161" spans="1:26" s="24" customFormat="1" hidden="1" outlineLevel="2" x14ac:dyDescent="0.25">
      <c r="A161" s="26"/>
      <c r="B161" s="11" t="str">
        <f>CONCATENATE("          ", "6381", " - ", "BANK/CREDIT CARD FEES")</f>
        <v xml:space="preserve">          6381 - BANK/CREDIT CARD FEES</v>
      </c>
      <c r="C161" s="11"/>
      <c r="D161" s="6">
        <v>10272.450000000001</v>
      </c>
      <c r="E161" s="2"/>
      <c r="F161" s="7">
        <f t="shared" si="38"/>
        <v>3.883662632477114E-2</v>
      </c>
      <c r="G161" s="2"/>
      <c r="H161" s="6">
        <v>956</v>
      </c>
      <c r="I161" s="2"/>
      <c r="J161" s="7">
        <f t="shared" si="39"/>
        <v>2.6083729864233639E-3</v>
      </c>
      <c r="K161" s="2"/>
      <c r="L161" s="6">
        <f t="shared" si="40"/>
        <v>9316.4500000000007</v>
      </c>
      <c r="M161" s="2"/>
      <c r="N161" s="7">
        <f t="shared" si="41"/>
        <v>9.7452405857740594</v>
      </c>
      <c r="O161" s="11"/>
      <c r="P161" s="6">
        <v>88875.99</v>
      </c>
      <c r="Q161" s="2"/>
      <c r="R161" s="7">
        <f t="shared" si="42"/>
        <v>1.6236302007045452E-2</v>
      </c>
      <c r="S161" s="2"/>
      <c r="T161" s="6">
        <v>198503</v>
      </c>
      <c r="U161" s="2"/>
      <c r="V161" s="7">
        <f t="shared" si="43"/>
        <v>2.1712800109295223E-2</v>
      </c>
      <c r="W161" s="2"/>
      <c r="X161" s="6">
        <f t="shared" si="44"/>
        <v>-109627.01</v>
      </c>
      <c r="Y161" s="2"/>
      <c r="Z161" s="7">
        <f t="shared" si="45"/>
        <v>-0.55226878183201256</v>
      </c>
    </row>
    <row r="162" spans="1:26" s="27" customFormat="1" outlineLevel="1" collapsed="1" x14ac:dyDescent="0.25">
      <c r="A162" s="25"/>
      <c r="B162" s="13" t="str">
        <f>CONCATENATE("     ","Depreciation                                      ")</f>
        <v xml:space="preserve">     Depreciation                                      </v>
      </c>
      <c r="C162" s="13"/>
      <c r="D162" s="1">
        <f>SUM(OSRRefD22_5x_0)</f>
        <v>30718.46</v>
      </c>
      <c r="E162" s="1"/>
      <c r="F162" s="5">
        <f t="shared" si="38"/>
        <v>0.11613600964642602</v>
      </c>
      <c r="G162" s="1"/>
      <c r="H162" s="1">
        <f>SUM(OSRRefH22_5x_0)</f>
        <v>29877</v>
      </c>
      <c r="I162" s="1"/>
      <c r="J162" s="5">
        <f t="shared" si="39"/>
        <v>8.1517112672982062E-2</v>
      </c>
      <c r="K162" s="1"/>
      <c r="L162" s="1">
        <f t="shared" si="40"/>
        <v>841.45999999999913</v>
      </c>
      <c r="M162" s="1"/>
      <c r="N162" s="5">
        <f t="shared" si="41"/>
        <v>2.8164139639187305E-2</v>
      </c>
      <c r="O162" s="13"/>
      <c r="P162" s="1">
        <f>SUM(OSRRefP22_5x_0)</f>
        <v>369108.3</v>
      </c>
      <c r="Q162" s="1"/>
      <c r="R162" s="5">
        <f t="shared" si="42"/>
        <v>6.7430515621903456E-2</v>
      </c>
      <c r="S162" s="1"/>
      <c r="T162" s="1">
        <f>SUM(OSRRefT22_5x_0)</f>
        <v>364119</v>
      </c>
      <c r="U162" s="1"/>
      <c r="V162" s="5">
        <f t="shared" si="43"/>
        <v>3.9828330367785214E-2</v>
      </c>
      <c r="W162" s="1"/>
      <c r="X162" s="1">
        <f t="shared" si="44"/>
        <v>4989.2999999999884</v>
      </c>
      <c r="Y162" s="1"/>
      <c r="Z162" s="5">
        <f t="shared" si="45"/>
        <v>1.3702388504856897E-2</v>
      </c>
    </row>
    <row r="163" spans="1:26" s="24" customFormat="1" hidden="1" outlineLevel="2" x14ac:dyDescent="0.25">
      <c r="A163" s="26"/>
      <c r="B163" s="11" t="str">
        <f>CONCATENATE("          ", "6321", " - ", "BUILDING DEPRECIATION")</f>
        <v xml:space="preserve">          6321 - BUILDING DEPRECIATION</v>
      </c>
      <c r="C163" s="11"/>
      <c r="D163" s="6">
        <v>16396.25</v>
      </c>
      <c r="E163" s="2"/>
      <c r="F163" s="7">
        <f t="shared" si="38"/>
        <v>6.1988623393399694E-2</v>
      </c>
      <c r="G163" s="2"/>
      <c r="H163" s="6"/>
      <c r="I163" s="2"/>
      <c r="J163" s="7">
        <f t="shared" si="39"/>
        <v>0</v>
      </c>
      <c r="K163" s="2"/>
      <c r="L163" s="6">
        <f t="shared" si="40"/>
        <v>16396.25</v>
      </c>
      <c r="M163" s="2"/>
      <c r="N163" s="7">
        <f t="shared" si="41"/>
        <v>0</v>
      </c>
      <c r="O163" s="11"/>
      <c r="P163" s="6">
        <v>196757.97</v>
      </c>
      <c r="Q163" s="2"/>
      <c r="R163" s="7">
        <f t="shared" si="42"/>
        <v>3.594471153810145E-2</v>
      </c>
      <c r="S163" s="2"/>
      <c r="T163" s="6"/>
      <c r="U163" s="2"/>
      <c r="V163" s="7">
        <f t="shared" si="43"/>
        <v>0</v>
      </c>
      <c r="W163" s="2"/>
      <c r="X163" s="6">
        <f t="shared" si="44"/>
        <v>196757.97</v>
      </c>
      <c r="Y163" s="2"/>
      <c r="Z163" s="7">
        <f t="shared" si="45"/>
        <v>0</v>
      </c>
    </row>
    <row r="164" spans="1:26" s="24" customFormat="1" hidden="1" outlineLevel="2" x14ac:dyDescent="0.25">
      <c r="A164" s="26"/>
      <c r="B164" s="11" t="str">
        <f>CONCATENATE("          ", "6322", " - ", "EQUIPMENT DEPRECIATION EXPENSE")</f>
        <v xml:space="preserve">          6322 - EQUIPMENT DEPRECIATION EXPENSE</v>
      </c>
      <c r="C164" s="11"/>
      <c r="D164" s="6">
        <v>14322.21</v>
      </c>
      <c r="E164" s="2"/>
      <c r="F164" s="7">
        <f t="shared" si="38"/>
        <v>5.4147386253026335E-2</v>
      </c>
      <c r="G164" s="2"/>
      <c r="H164" s="6">
        <v>29877</v>
      </c>
      <c r="I164" s="2"/>
      <c r="J164" s="7">
        <f t="shared" si="39"/>
        <v>8.1517112672982062E-2</v>
      </c>
      <c r="K164" s="2"/>
      <c r="L164" s="6">
        <f t="shared" si="40"/>
        <v>-15554.79</v>
      </c>
      <c r="M164" s="2"/>
      <c r="N164" s="7">
        <f t="shared" si="41"/>
        <v>-0.52062757304950302</v>
      </c>
      <c r="O164" s="11"/>
      <c r="P164" s="6">
        <v>172350.33</v>
      </c>
      <c r="Q164" s="2"/>
      <c r="R164" s="7">
        <f t="shared" si="42"/>
        <v>3.1485804083801999E-2</v>
      </c>
      <c r="S164" s="2"/>
      <c r="T164" s="6">
        <v>364119</v>
      </c>
      <c r="U164" s="2"/>
      <c r="V164" s="7">
        <f t="shared" si="43"/>
        <v>3.9828330367785214E-2</v>
      </c>
      <c r="W164" s="2"/>
      <c r="X164" s="6">
        <f t="shared" si="44"/>
        <v>-191768.67</v>
      </c>
      <c r="Y164" s="2"/>
      <c r="Z164" s="7">
        <f t="shared" si="45"/>
        <v>-0.52666482660888336</v>
      </c>
    </row>
    <row r="165" spans="1:26" s="27" customFormat="1" outlineLevel="1" collapsed="1" x14ac:dyDescent="0.25">
      <c r="A165" s="25"/>
      <c r="B165" s="13" t="str">
        <f>CONCATENATE("     ","Discounts and Markdowns                           ")</f>
        <v xml:space="preserve">     Discounts and Markdowns                           </v>
      </c>
      <c r="C165" s="13"/>
      <c r="D165" s="1">
        <f>SUM(OSRRefD22_6x_0)</f>
        <v>0</v>
      </c>
      <c r="E165" s="1"/>
      <c r="F165" s="5">
        <f t="shared" ref="F165:F167" si="46">IF(D$12=0,0,D165/D$12)</f>
        <v>0</v>
      </c>
      <c r="G165" s="1"/>
      <c r="H165" s="1">
        <f>SUM(OSRRefH22_6x_0)</f>
        <v>27752</v>
      </c>
      <c r="I165" s="1"/>
      <c r="J165" s="5">
        <f t="shared" ref="J165:J167" si="47">IF(H$12=0,0,H165/H$12)</f>
        <v>7.5719212467804595E-2</v>
      </c>
      <c r="K165" s="1"/>
      <c r="L165" s="1">
        <f t="shared" ref="L165:L167" si="48">+D165-H165</f>
        <v>-27752</v>
      </c>
      <c r="M165" s="1"/>
      <c r="N165" s="5">
        <f t="shared" ref="N165:N167" si="49">IF(H165=0,0,L165/H165)</f>
        <v>-1</v>
      </c>
      <c r="O165" s="13"/>
      <c r="P165" s="1">
        <f>SUM(OSRRefP22_6x_0)</f>
        <v>-15.43</v>
      </c>
      <c r="Q165" s="1"/>
      <c r="R165" s="5">
        <f t="shared" ref="R165:R167" si="50">IF(P$12=0,0,P165/P$12)</f>
        <v>-2.8188281218438336E-6</v>
      </c>
      <c r="S165" s="1"/>
      <c r="T165" s="1">
        <f>SUM(OSRRefT22_6x_0)</f>
        <v>346785</v>
      </c>
      <c r="U165" s="1"/>
      <c r="V165" s="5">
        <f t="shared" ref="V165:V167" si="51">IF(T$12=0,0,T165/T$12)</f>
        <v>3.7932290121065901E-2</v>
      </c>
      <c r="W165" s="1"/>
      <c r="X165" s="1">
        <f t="shared" ref="X165:X167" si="52">+P165-T165</f>
        <v>-346800.43</v>
      </c>
      <c r="Y165" s="1"/>
      <c r="Z165" s="5">
        <f t="shared" ref="Z165:Z167" si="53">IF(T165=0,0,X165/T165)</f>
        <v>-1.000044494427383</v>
      </c>
    </row>
    <row r="166" spans="1:26" s="24" customFormat="1" hidden="1" outlineLevel="2" x14ac:dyDescent="0.25">
      <c r="A166" s="26"/>
      <c r="B166" s="11" t="str">
        <f>CONCATENATE("          ", "6382", " - ", "DISCOUNTS/MARK DOWNS")</f>
        <v xml:space="preserve">          6382 - DISCOUNTS/MARK DOWNS</v>
      </c>
      <c r="C166" s="11"/>
      <c r="D166" s="6">
        <v>0</v>
      </c>
      <c r="E166" s="2"/>
      <c r="F166" s="7">
        <f t="shared" si="46"/>
        <v>0</v>
      </c>
      <c r="G166" s="2"/>
      <c r="H166" s="6">
        <v>27752</v>
      </c>
      <c r="I166" s="2"/>
      <c r="J166" s="7">
        <f t="shared" si="47"/>
        <v>7.5719212467804595E-2</v>
      </c>
      <c r="K166" s="2"/>
      <c r="L166" s="6">
        <f t="shared" si="48"/>
        <v>-27752</v>
      </c>
      <c r="M166" s="2"/>
      <c r="N166" s="7">
        <f t="shared" si="49"/>
        <v>-1</v>
      </c>
      <c r="O166" s="11"/>
      <c r="P166" s="6">
        <v>0</v>
      </c>
      <c r="Q166" s="2"/>
      <c r="R166" s="7">
        <f t="shared" si="50"/>
        <v>0</v>
      </c>
      <c r="S166" s="2"/>
      <c r="T166" s="6">
        <v>346785</v>
      </c>
      <c r="U166" s="2"/>
      <c r="V166" s="7">
        <f t="shared" si="51"/>
        <v>3.7932290121065901E-2</v>
      </c>
      <c r="W166" s="2"/>
      <c r="X166" s="6">
        <f t="shared" si="52"/>
        <v>-346785</v>
      </c>
      <c r="Y166" s="2"/>
      <c r="Z166" s="7">
        <f t="shared" si="53"/>
        <v>-1</v>
      </c>
    </row>
    <row r="167" spans="1:26" s="24" customFormat="1" hidden="1" outlineLevel="2" x14ac:dyDescent="0.25">
      <c r="A167" s="26"/>
      <c r="B167" s="11" t="str">
        <f>CONCATENATE("          ", "9175", " - ", "EARNED DISCOUNTS")</f>
        <v xml:space="preserve">          9175 - EARNED DISCOUNTS</v>
      </c>
      <c r="C167" s="11"/>
      <c r="D167" s="6">
        <v>0</v>
      </c>
      <c r="E167" s="2"/>
      <c r="F167" s="7">
        <f t="shared" si="46"/>
        <v>0</v>
      </c>
      <c r="G167" s="2"/>
      <c r="H167" s="6"/>
      <c r="I167" s="2"/>
      <c r="J167" s="7">
        <f t="shared" si="47"/>
        <v>0</v>
      </c>
      <c r="K167" s="2"/>
      <c r="L167" s="6">
        <f t="shared" si="48"/>
        <v>0</v>
      </c>
      <c r="M167" s="2"/>
      <c r="N167" s="7">
        <f t="shared" si="49"/>
        <v>0</v>
      </c>
      <c r="O167" s="11"/>
      <c r="P167" s="6">
        <v>-15.43</v>
      </c>
      <c r="Q167" s="2"/>
      <c r="R167" s="7">
        <f t="shared" si="50"/>
        <v>-2.8188281218438336E-6</v>
      </c>
      <c r="S167" s="2"/>
      <c r="T167" s="6"/>
      <c r="U167" s="2"/>
      <c r="V167" s="7">
        <f t="shared" si="51"/>
        <v>0</v>
      </c>
      <c r="W167" s="2"/>
      <c r="X167" s="6">
        <f t="shared" si="52"/>
        <v>-15.43</v>
      </c>
      <c r="Y167" s="2"/>
      <c r="Z167" s="7">
        <f t="shared" si="53"/>
        <v>0</v>
      </c>
    </row>
    <row r="168" spans="1:26" s="27" customFormat="1" outlineLevel="1" collapsed="1" x14ac:dyDescent="0.25">
      <c r="A168" s="25"/>
      <c r="B168" s="13" t="str">
        <f>CONCATENATE("     ","Donations                                         ")</f>
        <v xml:space="preserve">     Donations                                         </v>
      </c>
      <c r="C168" s="13"/>
      <c r="D168" s="1">
        <f>SUM(OSRRefD22_7x_0)</f>
        <v>0</v>
      </c>
      <c r="E168" s="1"/>
      <c r="F168" s="5">
        <f t="shared" ref="F168:F170" si="54">IF(D$12=0,0,D168/D$12)</f>
        <v>0</v>
      </c>
      <c r="G168" s="1"/>
      <c r="H168" s="1">
        <f>SUM(OSRRefH22_7x_0)</f>
        <v>1000</v>
      </c>
      <c r="I168" s="1"/>
      <c r="J168" s="5">
        <f t="shared" ref="J168:J170" si="55">IF(H$12=0,0,H168/H$12)</f>
        <v>2.7284236259658618E-3</v>
      </c>
      <c r="K168" s="1"/>
      <c r="L168" s="1">
        <f t="shared" ref="L168:L170" si="56">+D168-H168</f>
        <v>-1000</v>
      </c>
      <c r="M168" s="1"/>
      <c r="N168" s="5">
        <f t="shared" ref="N168:N170" si="57">IF(H168=0,0,L168/H168)</f>
        <v>-1</v>
      </c>
      <c r="O168" s="13"/>
      <c r="P168" s="1">
        <f>SUM(OSRRefP22_7x_0)</f>
        <v>360.9</v>
      </c>
      <c r="Q168" s="1"/>
      <c r="R168" s="5">
        <f t="shared" ref="R168:R170" si="58">IF(P$12=0,0,P168/P$12)</f>
        <v>6.593098309613995E-5</v>
      </c>
      <c r="S168" s="1"/>
      <c r="T168" s="1">
        <f>SUM(OSRRefT22_7x_0)</f>
        <v>12000</v>
      </c>
      <c r="U168" s="1"/>
      <c r="V168" s="5">
        <f t="shared" ref="V168:V170" si="59">IF(T$12=0,0,T168/T$12)</f>
        <v>1.3125927633917003E-3</v>
      </c>
      <c r="W168" s="1"/>
      <c r="X168" s="1">
        <f t="shared" ref="X168:X170" si="60">+P168-T168</f>
        <v>-11639.1</v>
      </c>
      <c r="Y168" s="1"/>
      <c r="Z168" s="5">
        <f t="shared" ref="Z168:Z170" si="61">IF(T168=0,0,X168/T168)</f>
        <v>-0.96992500000000004</v>
      </c>
    </row>
    <row r="169" spans="1:26" s="24" customFormat="1" hidden="1" outlineLevel="2" x14ac:dyDescent="0.25">
      <c r="A169" s="26"/>
      <c r="B169" s="11" t="str">
        <f>CONCATENATE("          ", "6395", " - ", "DONATION-OFF CAMPUS")</f>
        <v xml:space="preserve">          6395 - DONATION-OFF CAMPUS</v>
      </c>
      <c r="C169" s="11"/>
      <c r="D169" s="6"/>
      <c r="E169" s="2"/>
      <c r="F169" s="7">
        <f t="shared" si="54"/>
        <v>0</v>
      </c>
      <c r="G169" s="2"/>
      <c r="H169" s="6"/>
      <c r="I169" s="2"/>
      <c r="J169" s="7">
        <f t="shared" si="55"/>
        <v>0</v>
      </c>
      <c r="K169" s="2"/>
      <c r="L169" s="6">
        <f t="shared" si="56"/>
        <v>0</v>
      </c>
      <c r="M169" s="2"/>
      <c r="N169" s="7">
        <f t="shared" si="57"/>
        <v>0</v>
      </c>
      <c r="O169" s="11"/>
      <c r="P169" s="6"/>
      <c r="Q169" s="2"/>
      <c r="R169" s="7">
        <f t="shared" si="58"/>
        <v>0</v>
      </c>
      <c r="S169" s="2"/>
      <c r="T169" s="6">
        <v>0</v>
      </c>
      <c r="U169" s="2"/>
      <c r="V169" s="7">
        <f t="shared" si="59"/>
        <v>0</v>
      </c>
      <c r="W169" s="2"/>
      <c r="X169" s="6">
        <f t="shared" si="60"/>
        <v>0</v>
      </c>
      <c r="Y169" s="2"/>
      <c r="Z169" s="7">
        <f t="shared" si="61"/>
        <v>0</v>
      </c>
    </row>
    <row r="170" spans="1:26" s="24" customFormat="1" hidden="1" outlineLevel="2" x14ac:dyDescent="0.25">
      <c r="A170" s="26"/>
      <c r="B170" s="11" t="str">
        <f>CONCATENATE("          ", "6399", " - ", "DONATION-ON CAMPUS")</f>
        <v xml:space="preserve">          6399 - DONATION-ON CAMPUS</v>
      </c>
      <c r="C170" s="11"/>
      <c r="D170" s="6"/>
      <c r="E170" s="2"/>
      <c r="F170" s="7">
        <f t="shared" si="54"/>
        <v>0</v>
      </c>
      <c r="G170" s="2"/>
      <c r="H170" s="6">
        <v>1000</v>
      </c>
      <c r="I170" s="2"/>
      <c r="J170" s="7">
        <f t="shared" si="55"/>
        <v>2.7284236259658618E-3</v>
      </c>
      <c r="K170" s="2"/>
      <c r="L170" s="6">
        <f t="shared" si="56"/>
        <v>-1000</v>
      </c>
      <c r="M170" s="2"/>
      <c r="N170" s="7">
        <f t="shared" si="57"/>
        <v>-1</v>
      </c>
      <c r="O170" s="11"/>
      <c r="P170" s="6">
        <v>360.9</v>
      </c>
      <c r="Q170" s="2"/>
      <c r="R170" s="7">
        <f t="shared" si="58"/>
        <v>6.593098309613995E-5</v>
      </c>
      <c r="S170" s="2"/>
      <c r="T170" s="6">
        <v>12000</v>
      </c>
      <c r="U170" s="2"/>
      <c r="V170" s="7">
        <f t="shared" si="59"/>
        <v>1.3125927633917003E-3</v>
      </c>
      <c r="W170" s="2"/>
      <c r="X170" s="6">
        <f t="shared" si="60"/>
        <v>-11639.1</v>
      </c>
      <c r="Y170" s="2"/>
      <c r="Z170" s="7">
        <f t="shared" si="61"/>
        <v>-0.96992500000000004</v>
      </c>
    </row>
    <row r="171" spans="1:26" s="27" customFormat="1" outlineLevel="1" collapsed="1" x14ac:dyDescent="0.25">
      <c r="A171" s="25"/>
      <c r="B171" s="13" t="str">
        <f>CONCATENATE("     ","Employees' Appreciation                           ")</f>
        <v xml:space="preserve">     Employees' Appreciation                           </v>
      </c>
      <c r="C171" s="13"/>
      <c r="D171" s="1">
        <f>SUM(OSRRefD22_8x_0)</f>
        <v>522.86</v>
      </c>
      <c r="E171" s="1"/>
      <c r="F171" s="5">
        <f t="shared" ref="F171:F177" si="62">IF(D$12=0,0,D171/D$12)</f>
        <v>1.9767551499564207E-3</v>
      </c>
      <c r="G171" s="1"/>
      <c r="H171" s="1">
        <f>SUM(OSRRefH22_8x_0)</f>
        <v>400</v>
      </c>
      <c r="I171" s="1"/>
      <c r="J171" s="5">
        <f t="shared" ref="J171:J177" si="63">IF(H$12=0,0,H171/H$12)</f>
        <v>1.0913694503863448E-3</v>
      </c>
      <c r="K171" s="1"/>
      <c r="L171" s="1">
        <f t="shared" ref="L171:L177" si="64">+D171-H171</f>
        <v>122.86000000000001</v>
      </c>
      <c r="M171" s="1"/>
      <c r="N171" s="5">
        <f t="shared" ref="N171:N177" si="65">IF(H171=0,0,L171/H171)</f>
        <v>0.30715000000000003</v>
      </c>
      <c r="O171" s="13"/>
      <c r="P171" s="1">
        <f>SUM(OSRRefP22_8x_0)</f>
        <v>708.89</v>
      </c>
      <c r="Q171" s="1"/>
      <c r="R171" s="5">
        <f t="shared" ref="R171:R177" si="66">IF(P$12=0,0,P171/P$12)</f>
        <v>1.2950350403719216E-4</v>
      </c>
      <c r="S171" s="1"/>
      <c r="T171" s="1">
        <f>SUM(OSRRefT22_8x_0)</f>
        <v>4900</v>
      </c>
      <c r="U171" s="1"/>
      <c r="V171" s="5">
        <f t="shared" ref="V171:V177" si="67">IF(T$12=0,0,T171/T$12)</f>
        <v>5.3597537838494431E-4</v>
      </c>
      <c r="W171" s="1"/>
      <c r="X171" s="1">
        <f t="shared" ref="X171:X177" si="68">+P171-T171</f>
        <v>-4191.1099999999997</v>
      </c>
      <c r="Y171" s="1"/>
      <c r="Z171" s="5">
        <f t="shared" ref="Z171:Z177" si="69">IF(T171=0,0,X171/T171)</f>
        <v>-0.85532857142857133</v>
      </c>
    </row>
    <row r="172" spans="1:26" s="24" customFormat="1" hidden="1" outlineLevel="2" x14ac:dyDescent="0.25">
      <c r="A172" s="26"/>
      <c r="B172" s="11" t="str">
        <f>CONCATENATE("          ", "6277", " - ", "EMPLOYEE APPRECIATION")</f>
        <v xml:space="preserve">          6277 - EMPLOYEE APPRECIATION</v>
      </c>
      <c r="C172" s="11"/>
      <c r="D172" s="6">
        <v>522.86</v>
      </c>
      <c r="E172" s="2"/>
      <c r="F172" s="7">
        <f t="shared" si="62"/>
        <v>1.9767551499564207E-3</v>
      </c>
      <c r="G172" s="2"/>
      <c r="H172" s="6">
        <v>400</v>
      </c>
      <c r="I172" s="2"/>
      <c r="J172" s="7">
        <f t="shared" si="63"/>
        <v>1.0913694503863448E-3</v>
      </c>
      <c r="K172" s="2"/>
      <c r="L172" s="6">
        <f t="shared" si="64"/>
        <v>122.86000000000001</v>
      </c>
      <c r="M172" s="2"/>
      <c r="N172" s="7">
        <f t="shared" si="65"/>
        <v>0.30715000000000003</v>
      </c>
      <c r="O172" s="11"/>
      <c r="P172" s="6">
        <v>708.89</v>
      </c>
      <c r="Q172" s="2"/>
      <c r="R172" s="7">
        <f t="shared" si="66"/>
        <v>1.2950350403719216E-4</v>
      </c>
      <c r="S172" s="2"/>
      <c r="T172" s="6">
        <v>4900</v>
      </c>
      <c r="U172" s="2"/>
      <c r="V172" s="7">
        <f t="shared" si="67"/>
        <v>5.3597537838494431E-4</v>
      </c>
      <c r="W172" s="2"/>
      <c r="X172" s="6">
        <f t="shared" si="68"/>
        <v>-4191.1099999999997</v>
      </c>
      <c r="Y172" s="2"/>
      <c r="Z172" s="7">
        <f t="shared" si="69"/>
        <v>-0.85532857142857133</v>
      </c>
    </row>
    <row r="173" spans="1:26" s="27" customFormat="1" outlineLevel="1" collapsed="1" x14ac:dyDescent="0.25">
      <c r="A173" s="25"/>
      <c r="B173" s="13" t="str">
        <f>CONCATENATE("     ","Equipment Rental                                  ")</f>
        <v xml:space="preserve">     Equipment Rental                                  </v>
      </c>
      <c r="C173" s="13"/>
      <c r="D173" s="1">
        <f>SUM(OSRRefD22_9x_0)</f>
        <v>2220.81</v>
      </c>
      <c r="E173" s="1"/>
      <c r="F173" s="5">
        <f t="shared" si="62"/>
        <v>8.3961244015122952E-3</v>
      </c>
      <c r="G173" s="1"/>
      <c r="H173" s="1">
        <f>SUM(OSRRefH22_9x_0)</f>
        <v>3006</v>
      </c>
      <c r="I173" s="1"/>
      <c r="J173" s="5">
        <f t="shared" si="63"/>
        <v>8.2016414196533806E-3</v>
      </c>
      <c r="K173" s="1"/>
      <c r="L173" s="1">
        <f t="shared" si="64"/>
        <v>-785.19</v>
      </c>
      <c r="M173" s="1"/>
      <c r="N173" s="5">
        <f t="shared" si="65"/>
        <v>-0.26120758483033935</v>
      </c>
      <c r="O173" s="13"/>
      <c r="P173" s="1">
        <f>SUM(OSRRefP22_9x_0)</f>
        <v>18767.03</v>
      </c>
      <c r="Q173" s="1"/>
      <c r="R173" s="5">
        <f t="shared" si="66"/>
        <v>3.4284531385279896E-3</v>
      </c>
      <c r="S173" s="1"/>
      <c r="T173" s="1">
        <f>SUM(OSRRefT22_9x_0)</f>
        <v>36072</v>
      </c>
      <c r="U173" s="1"/>
      <c r="V173" s="5">
        <f t="shared" si="67"/>
        <v>3.9456538467554508E-3</v>
      </c>
      <c r="W173" s="1"/>
      <c r="X173" s="1">
        <f t="shared" si="68"/>
        <v>-17304.97</v>
      </c>
      <c r="Y173" s="1"/>
      <c r="Z173" s="5">
        <f t="shared" si="69"/>
        <v>-0.47973414282546023</v>
      </c>
    </row>
    <row r="174" spans="1:26" s="24" customFormat="1" hidden="1" outlineLevel="2" x14ac:dyDescent="0.25">
      <c r="A174" s="26"/>
      <c r="B174" s="11" t="str">
        <f>CONCATENATE("          ", "6351", " - ", "EQUIPMENT RENTAL")</f>
        <v xml:space="preserve">          6351 - EQUIPMENT RENTAL</v>
      </c>
      <c r="C174" s="11"/>
      <c r="D174" s="6">
        <v>2220.81</v>
      </c>
      <c r="E174" s="2"/>
      <c r="F174" s="7">
        <f t="shared" si="62"/>
        <v>8.3961244015122952E-3</v>
      </c>
      <c r="G174" s="2"/>
      <c r="H174" s="6">
        <v>3006</v>
      </c>
      <c r="I174" s="2"/>
      <c r="J174" s="7">
        <f t="shared" si="63"/>
        <v>8.2016414196533806E-3</v>
      </c>
      <c r="K174" s="2"/>
      <c r="L174" s="6">
        <f t="shared" si="64"/>
        <v>-785.19</v>
      </c>
      <c r="M174" s="2"/>
      <c r="N174" s="7">
        <f t="shared" si="65"/>
        <v>-0.26120758483033935</v>
      </c>
      <c r="O174" s="11"/>
      <c r="P174" s="6">
        <v>18767.03</v>
      </c>
      <c r="Q174" s="2"/>
      <c r="R174" s="7">
        <f t="shared" si="66"/>
        <v>3.4284531385279896E-3</v>
      </c>
      <c r="S174" s="2"/>
      <c r="T174" s="6">
        <v>36072</v>
      </c>
      <c r="U174" s="2"/>
      <c r="V174" s="7">
        <f t="shared" si="67"/>
        <v>3.9456538467554508E-3</v>
      </c>
      <c r="W174" s="2"/>
      <c r="X174" s="6">
        <f t="shared" si="68"/>
        <v>-17304.97</v>
      </c>
      <c r="Y174" s="2"/>
      <c r="Z174" s="7">
        <f t="shared" si="69"/>
        <v>-0.47973414282546023</v>
      </c>
    </row>
    <row r="175" spans="1:26" s="27" customFormat="1" outlineLevel="1" collapsed="1" x14ac:dyDescent="0.25">
      <c r="A175" s="25"/>
      <c r="B175" s="13" t="str">
        <f>CONCATENATE("     ","Freight out/Postage                               ")</f>
        <v xml:space="preserve">     Freight out/Postage                               </v>
      </c>
      <c r="C175" s="13"/>
      <c r="D175" s="1">
        <f>SUM(OSRRefD22_10x_0)</f>
        <v>-7501.3200000000006</v>
      </c>
      <c r="E175" s="1"/>
      <c r="F175" s="5">
        <f t="shared" si="62"/>
        <v>-2.8359929888442603E-2</v>
      </c>
      <c r="G175" s="1"/>
      <c r="H175" s="1">
        <f>SUM(OSRRefH22_10x_0)</f>
        <v>268</v>
      </c>
      <c r="I175" s="1"/>
      <c r="J175" s="5">
        <f t="shared" si="63"/>
        <v>7.3121753175885097E-4</v>
      </c>
      <c r="K175" s="1"/>
      <c r="L175" s="1">
        <f t="shared" si="64"/>
        <v>-7769.3200000000006</v>
      </c>
      <c r="M175" s="1"/>
      <c r="N175" s="5">
        <f t="shared" si="65"/>
        <v>-28.990000000000002</v>
      </c>
      <c r="O175" s="13"/>
      <c r="P175" s="1">
        <f>SUM(OSRRefP22_10x_0)</f>
        <v>-75388.09</v>
      </c>
      <c r="Q175" s="1"/>
      <c r="R175" s="5">
        <f t="shared" si="66"/>
        <v>-1.377226624394646E-2</v>
      </c>
      <c r="S175" s="1"/>
      <c r="T175" s="1">
        <f>SUM(OSRRefT22_10x_0)</f>
        <v>35383</v>
      </c>
      <c r="U175" s="1"/>
      <c r="V175" s="5">
        <f t="shared" si="67"/>
        <v>3.8702891455907112E-3</v>
      </c>
      <c r="W175" s="1"/>
      <c r="X175" s="1">
        <f t="shared" si="68"/>
        <v>-110771.09</v>
      </c>
      <c r="Y175" s="1"/>
      <c r="Z175" s="5">
        <f t="shared" si="69"/>
        <v>-3.1306302461634119</v>
      </c>
    </row>
    <row r="176" spans="1:26" s="24" customFormat="1" hidden="1" outlineLevel="2" x14ac:dyDescent="0.25">
      <c r="A176" s="26"/>
      <c r="B176" s="11" t="str">
        <f>CONCATENATE("          ", "6305", " - ", "FREIGHT OUT")</f>
        <v xml:space="preserve">          6305 - FREIGHT OUT</v>
      </c>
      <c r="C176" s="11"/>
      <c r="D176" s="6">
        <v>7012.69</v>
      </c>
      <c r="E176" s="2"/>
      <c r="F176" s="7">
        <f t="shared" si="62"/>
        <v>2.6512586681994976E-2</v>
      </c>
      <c r="G176" s="2"/>
      <c r="H176" s="6">
        <v>2248</v>
      </c>
      <c r="I176" s="2"/>
      <c r="J176" s="7">
        <f t="shared" si="63"/>
        <v>6.1334963111712576E-3</v>
      </c>
      <c r="K176" s="2"/>
      <c r="L176" s="6">
        <f t="shared" si="64"/>
        <v>4764.6899999999996</v>
      </c>
      <c r="M176" s="2"/>
      <c r="N176" s="7">
        <f t="shared" si="65"/>
        <v>2.119524021352313</v>
      </c>
      <c r="O176" s="11"/>
      <c r="P176" s="6">
        <v>231396.33</v>
      </c>
      <c r="Q176" s="2"/>
      <c r="R176" s="7">
        <f t="shared" si="66"/>
        <v>4.2272617128675041E-2</v>
      </c>
      <c r="S176" s="2"/>
      <c r="T176" s="6">
        <v>66685</v>
      </c>
      <c r="U176" s="2"/>
      <c r="V176" s="7">
        <f t="shared" si="67"/>
        <v>7.2941873688979614E-3</v>
      </c>
      <c r="W176" s="2"/>
      <c r="X176" s="6">
        <f t="shared" si="68"/>
        <v>164711.32999999999</v>
      </c>
      <c r="Y176" s="2"/>
      <c r="Z176" s="7">
        <f t="shared" si="69"/>
        <v>2.4699907025567969</v>
      </c>
    </row>
    <row r="177" spans="1:26" s="24" customFormat="1" hidden="1" outlineLevel="2" x14ac:dyDescent="0.25">
      <c r="A177" s="26"/>
      <c r="B177" s="11" t="str">
        <f>CONCATENATE("          ", "6307", " - ", "POSTAGE")</f>
        <v xml:space="preserve">          6307 - POSTAGE</v>
      </c>
      <c r="C177" s="11"/>
      <c r="D177" s="6">
        <v>-14514.01</v>
      </c>
      <c r="E177" s="2"/>
      <c r="F177" s="7">
        <f t="shared" si="62"/>
        <v>-5.4872516570437575E-2</v>
      </c>
      <c r="G177" s="2"/>
      <c r="H177" s="6">
        <v>-1980</v>
      </c>
      <c r="I177" s="2"/>
      <c r="J177" s="7">
        <f t="shared" si="63"/>
        <v>-5.402278779412407E-3</v>
      </c>
      <c r="K177" s="2"/>
      <c r="L177" s="6">
        <f t="shared" si="64"/>
        <v>-12534.01</v>
      </c>
      <c r="M177" s="2"/>
      <c r="N177" s="7">
        <f t="shared" si="65"/>
        <v>6.3303080808080807</v>
      </c>
      <c r="O177" s="11"/>
      <c r="P177" s="6">
        <v>-306784.42</v>
      </c>
      <c r="Q177" s="2"/>
      <c r="R177" s="7">
        <f t="shared" si="66"/>
        <v>-5.60448833726215E-2</v>
      </c>
      <c r="S177" s="2"/>
      <c r="T177" s="6">
        <v>-31302</v>
      </c>
      <c r="U177" s="2"/>
      <c r="V177" s="7">
        <f t="shared" si="67"/>
        <v>-3.4238982233072502E-3</v>
      </c>
      <c r="W177" s="2"/>
      <c r="X177" s="6">
        <f t="shared" si="68"/>
        <v>-275482.42</v>
      </c>
      <c r="Y177" s="2"/>
      <c r="Z177" s="7">
        <f t="shared" si="69"/>
        <v>8.8007929205801538</v>
      </c>
    </row>
    <row r="178" spans="1:26" s="27" customFormat="1" outlineLevel="1" collapsed="1" x14ac:dyDescent="0.25">
      <c r="A178" s="25"/>
      <c r="B178" s="13" t="str">
        <f>CONCATENATE("     ","General                                           ")</f>
        <v xml:space="preserve">     General                                           </v>
      </c>
      <c r="C178" s="13"/>
      <c r="D178" s="1">
        <f>SUM(OSRRefD22_11x_0)</f>
        <v>-3391.74</v>
      </c>
      <c r="E178" s="1"/>
      <c r="F178" s="5">
        <f t="shared" ref="F178:F181" si="70">IF(D$12=0,0,D178/D$12)</f>
        <v>-1.2823010963380619E-2</v>
      </c>
      <c r="G178" s="1"/>
      <c r="H178" s="1">
        <f>SUM(OSRRefH22_11x_0)</f>
        <v>1500</v>
      </c>
      <c r="I178" s="1"/>
      <c r="J178" s="5">
        <f t="shared" ref="J178:J181" si="71">IF(H$12=0,0,H178/H$12)</f>
        <v>4.092635438948793E-3</v>
      </c>
      <c r="K178" s="1"/>
      <c r="L178" s="1">
        <f t="shared" ref="L178:L181" si="72">+D178-H178</f>
        <v>-4891.74</v>
      </c>
      <c r="M178" s="1"/>
      <c r="N178" s="5">
        <f t="shared" ref="N178:N181" si="73">IF(H178=0,0,L178/H178)</f>
        <v>-3.2611599999999998</v>
      </c>
      <c r="O178" s="13"/>
      <c r="P178" s="1">
        <f>SUM(OSRRefP22_11x_0)</f>
        <v>-788.11</v>
      </c>
      <c r="Q178" s="1"/>
      <c r="R178" s="5">
        <f t="shared" ref="R178:R181" si="74">IF(P$12=0,0,P178/P$12)</f>
        <v>-1.4397580240481812E-4</v>
      </c>
      <c r="S178" s="1"/>
      <c r="T178" s="1">
        <f>SUM(OSRRefT22_11x_0)</f>
        <v>13250</v>
      </c>
      <c r="U178" s="1"/>
      <c r="V178" s="5">
        <f t="shared" ref="V178:V181" si="75">IF(T$12=0,0,T178/T$12)</f>
        <v>1.4493211762450025E-3</v>
      </c>
      <c r="W178" s="1"/>
      <c r="X178" s="1">
        <f t="shared" ref="X178:X181" si="76">+P178-T178</f>
        <v>-14038.11</v>
      </c>
      <c r="Y178" s="1"/>
      <c r="Z178" s="5">
        <f t="shared" ref="Z178:Z181" si="77">IF(T178=0,0,X178/T178)</f>
        <v>-1.05948</v>
      </c>
    </row>
    <row r="179" spans="1:26" s="24" customFormat="1" hidden="1" outlineLevel="2" x14ac:dyDescent="0.25">
      <c r="A179" s="26"/>
      <c r="B179" s="11" t="str">
        <f>CONCATENATE("          ", "6269", " - ", "ENTERTAINMENT")</f>
        <v xml:space="preserve">          6269 - ENTERTAINMENT</v>
      </c>
      <c r="C179" s="11"/>
      <c r="D179" s="6"/>
      <c r="E179" s="2"/>
      <c r="F179" s="7">
        <f t="shared" si="70"/>
        <v>0</v>
      </c>
      <c r="G179" s="2"/>
      <c r="H179" s="6">
        <v>0</v>
      </c>
      <c r="I179" s="2"/>
      <c r="J179" s="7">
        <f t="shared" si="71"/>
        <v>0</v>
      </c>
      <c r="K179" s="2"/>
      <c r="L179" s="6">
        <f t="shared" si="72"/>
        <v>0</v>
      </c>
      <c r="M179" s="2"/>
      <c r="N179" s="7">
        <f t="shared" si="73"/>
        <v>0</v>
      </c>
      <c r="O179" s="11"/>
      <c r="P179" s="6"/>
      <c r="Q179" s="2"/>
      <c r="R179" s="7">
        <f t="shared" si="74"/>
        <v>0</v>
      </c>
      <c r="S179" s="2"/>
      <c r="T179" s="6">
        <v>2750</v>
      </c>
      <c r="U179" s="2"/>
      <c r="V179" s="7">
        <f t="shared" si="75"/>
        <v>3.0080250827726465E-4</v>
      </c>
      <c r="W179" s="2"/>
      <c r="X179" s="6">
        <f t="shared" si="76"/>
        <v>-2750</v>
      </c>
      <c r="Y179" s="2"/>
      <c r="Z179" s="7">
        <f t="shared" si="77"/>
        <v>-1</v>
      </c>
    </row>
    <row r="180" spans="1:26" s="24" customFormat="1" hidden="1" outlineLevel="2" x14ac:dyDescent="0.25">
      <c r="A180" s="26"/>
      <c r="B180" s="11" t="str">
        <f>CONCATENATE("          ", "6276", " - ", "PROPERTY TAX")</f>
        <v xml:space="preserve">          6276 - PROPERTY TAX</v>
      </c>
      <c r="C180" s="11"/>
      <c r="D180" s="6"/>
      <c r="E180" s="2"/>
      <c r="F180" s="7">
        <f t="shared" si="70"/>
        <v>0</v>
      </c>
      <c r="G180" s="2"/>
      <c r="H180" s="6"/>
      <c r="I180" s="2"/>
      <c r="J180" s="7">
        <f t="shared" si="71"/>
        <v>0</v>
      </c>
      <c r="K180" s="2"/>
      <c r="L180" s="6">
        <f t="shared" si="72"/>
        <v>0</v>
      </c>
      <c r="M180" s="2"/>
      <c r="N180" s="7">
        <f t="shared" si="73"/>
        <v>0</v>
      </c>
      <c r="O180" s="11"/>
      <c r="P180" s="6"/>
      <c r="Q180" s="2"/>
      <c r="R180" s="7">
        <f t="shared" si="74"/>
        <v>0</v>
      </c>
      <c r="S180" s="2"/>
      <c r="T180" s="6">
        <v>150</v>
      </c>
      <c r="U180" s="2"/>
      <c r="V180" s="7">
        <f t="shared" si="75"/>
        <v>1.6407409542396253E-5</v>
      </c>
      <c r="W180" s="2"/>
      <c r="X180" s="6">
        <f t="shared" si="76"/>
        <v>-150</v>
      </c>
      <c r="Y180" s="2"/>
      <c r="Z180" s="7">
        <f t="shared" si="77"/>
        <v>-1</v>
      </c>
    </row>
    <row r="181" spans="1:26" s="24" customFormat="1" hidden="1" outlineLevel="2" x14ac:dyDescent="0.25">
      <c r="A181" s="26"/>
      <c r="B181" s="11" t="str">
        <f>CONCATENATE("          ", "6279", " - ", "GENERAL EXPENSE")</f>
        <v xml:space="preserve">          6279 - GENERAL EXPENSE</v>
      </c>
      <c r="C181" s="11"/>
      <c r="D181" s="6">
        <v>-3391.74</v>
      </c>
      <c r="E181" s="2"/>
      <c r="F181" s="7">
        <f t="shared" si="70"/>
        <v>-1.2823010963380619E-2</v>
      </c>
      <c r="G181" s="2"/>
      <c r="H181" s="6">
        <v>1500</v>
      </c>
      <c r="I181" s="2"/>
      <c r="J181" s="7">
        <f t="shared" si="71"/>
        <v>4.092635438948793E-3</v>
      </c>
      <c r="K181" s="2"/>
      <c r="L181" s="6">
        <f t="shared" si="72"/>
        <v>-4891.74</v>
      </c>
      <c r="M181" s="2"/>
      <c r="N181" s="7">
        <f t="shared" si="73"/>
        <v>-3.2611599999999998</v>
      </c>
      <c r="O181" s="11"/>
      <c r="P181" s="6">
        <v>-788.11</v>
      </c>
      <c r="Q181" s="2"/>
      <c r="R181" s="7">
        <f t="shared" si="74"/>
        <v>-1.4397580240481812E-4</v>
      </c>
      <c r="S181" s="2"/>
      <c r="T181" s="6">
        <v>10350</v>
      </c>
      <c r="U181" s="2"/>
      <c r="V181" s="7">
        <f t="shared" si="75"/>
        <v>1.1321112584253416E-3</v>
      </c>
      <c r="W181" s="2"/>
      <c r="X181" s="6">
        <f t="shared" si="76"/>
        <v>-11138.11</v>
      </c>
      <c r="Y181" s="2"/>
      <c r="Z181" s="7">
        <f t="shared" si="77"/>
        <v>-1.0761458937198067</v>
      </c>
    </row>
    <row r="182" spans="1:26" s="27" customFormat="1" outlineLevel="1" collapsed="1" x14ac:dyDescent="0.25">
      <c r="A182" s="25"/>
      <c r="B182" s="13" t="str">
        <f>CONCATENATE("     ","Insurance                                         ")</f>
        <v xml:space="preserve">     Insurance                                         </v>
      </c>
      <c r="C182" s="13"/>
      <c r="D182" s="1">
        <f>SUM(OSRRefD22_12x_0)</f>
        <v>8663.02</v>
      </c>
      <c r="E182" s="1"/>
      <c r="F182" s="5">
        <f t="shared" ref="F182:F186" si="78">IF(D$12=0,0,D182/D$12)</f>
        <v>3.2751920971532483E-2</v>
      </c>
      <c r="G182" s="1"/>
      <c r="H182" s="1">
        <f>SUM(OSRRefH22_12x_0)</f>
        <v>4446</v>
      </c>
      <c r="I182" s="1"/>
      <c r="J182" s="5">
        <f t="shared" ref="J182:J186" si="79">IF(H$12=0,0,H182/H$12)</f>
        <v>1.2130571441044222E-2</v>
      </c>
      <c r="K182" s="1"/>
      <c r="L182" s="1">
        <f t="shared" ref="L182:L186" si="80">+D182-H182</f>
        <v>4217.0200000000004</v>
      </c>
      <c r="M182" s="1"/>
      <c r="N182" s="5">
        <f t="shared" ref="N182:N186" si="81">IF(H182=0,0,L182/H182)</f>
        <v>0.94849752586594704</v>
      </c>
      <c r="O182" s="13"/>
      <c r="P182" s="1">
        <f>SUM(OSRRefP22_12x_0)</f>
        <v>53155.16</v>
      </c>
      <c r="Q182" s="1"/>
      <c r="R182" s="5">
        <f t="shared" ref="R182:R186" si="82">IF(P$12=0,0,P182/P$12)</f>
        <v>9.7106454847121493E-3</v>
      </c>
      <c r="S182" s="1"/>
      <c r="T182" s="1">
        <f>SUM(OSRRefT22_12x_0)</f>
        <v>53352</v>
      </c>
      <c r="U182" s="1"/>
      <c r="V182" s="5">
        <f t="shared" ref="V182:V186" si="83">IF(T$12=0,0,T182/T$12)</f>
        <v>5.8357874260395E-3</v>
      </c>
      <c r="W182" s="1"/>
      <c r="X182" s="1">
        <f t="shared" ref="X182:X186" si="84">+P182-T182</f>
        <v>-196.83999999999651</v>
      </c>
      <c r="Y182" s="1"/>
      <c r="Z182" s="5">
        <f t="shared" ref="Z182:Z186" si="85">IF(T182=0,0,X182/T182)</f>
        <v>-3.6894586894586239E-3</v>
      </c>
    </row>
    <row r="183" spans="1:26" s="24" customFormat="1" hidden="1" outlineLevel="2" x14ac:dyDescent="0.25">
      <c r="A183" s="26"/>
      <c r="B183" s="11" t="str">
        <f>CONCATENATE("          ", "6314", " - ", "LIABILITY INSURANCE")</f>
        <v xml:space="preserve">          6314 - LIABILITY INSURANCE</v>
      </c>
      <c r="C183" s="11"/>
      <c r="D183" s="6">
        <v>8663.02</v>
      </c>
      <c r="E183" s="2"/>
      <c r="F183" s="7">
        <f t="shared" si="78"/>
        <v>3.2751920971532483E-2</v>
      </c>
      <c r="G183" s="2"/>
      <c r="H183" s="6">
        <v>4446</v>
      </c>
      <c r="I183" s="2"/>
      <c r="J183" s="7">
        <f t="shared" si="79"/>
        <v>1.2130571441044222E-2</v>
      </c>
      <c r="K183" s="2"/>
      <c r="L183" s="6">
        <f t="shared" si="80"/>
        <v>4217.0200000000004</v>
      </c>
      <c r="M183" s="2"/>
      <c r="N183" s="7">
        <f t="shared" si="81"/>
        <v>0.94849752586594704</v>
      </c>
      <c r="O183" s="11"/>
      <c r="P183" s="6">
        <v>53155.16</v>
      </c>
      <c r="Q183" s="2"/>
      <c r="R183" s="7">
        <f t="shared" si="82"/>
        <v>9.7106454847121493E-3</v>
      </c>
      <c r="S183" s="2"/>
      <c r="T183" s="6">
        <v>53352</v>
      </c>
      <c r="U183" s="2"/>
      <c r="V183" s="7">
        <f t="shared" si="83"/>
        <v>5.8357874260395E-3</v>
      </c>
      <c r="W183" s="2"/>
      <c r="X183" s="6">
        <f t="shared" si="84"/>
        <v>-196.83999999999651</v>
      </c>
      <c r="Y183" s="2"/>
      <c r="Z183" s="7">
        <f t="shared" si="85"/>
        <v>-3.6894586894586239E-3</v>
      </c>
    </row>
    <row r="184" spans="1:26" s="27" customFormat="1" outlineLevel="1" collapsed="1" x14ac:dyDescent="0.25">
      <c r="A184" s="25"/>
      <c r="B184" s="13" t="str">
        <f>CONCATENATE("     ","Inventory Adjustment                              ")</f>
        <v xml:space="preserve">     Inventory Adjustment                              </v>
      </c>
      <c r="C184" s="13"/>
      <c r="D184" s="1">
        <f>SUM(OSRRefD22_13x_0)</f>
        <v>-28100</v>
      </c>
      <c r="E184" s="1"/>
      <c r="F184" s="5">
        <f t="shared" si="78"/>
        <v>-0.1062365063569128</v>
      </c>
      <c r="G184" s="1"/>
      <c r="H184" s="1">
        <f>SUM(OSRRefH22_13x_0)</f>
        <v>46100</v>
      </c>
      <c r="I184" s="1"/>
      <c r="J184" s="5">
        <f t="shared" si="79"/>
        <v>0.12578032915702625</v>
      </c>
      <c r="K184" s="1"/>
      <c r="L184" s="1">
        <f t="shared" si="80"/>
        <v>-74200</v>
      </c>
      <c r="M184" s="1"/>
      <c r="N184" s="5">
        <f t="shared" si="81"/>
        <v>-1.6095444685466378</v>
      </c>
      <c r="O184" s="13"/>
      <c r="P184" s="1">
        <f>SUM(OSRRefP22_13x_0)</f>
        <v>0</v>
      </c>
      <c r="Q184" s="1"/>
      <c r="R184" s="5">
        <f t="shared" si="82"/>
        <v>0</v>
      </c>
      <c r="S184" s="1"/>
      <c r="T184" s="1">
        <f>SUM(OSRRefT22_13x_0)</f>
        <v>85200</v>
      </c>
      <c r="U184" s="1"/>
      <c r="V184" s="5">
        <f t="shared" si="83"/>
        <v>9.3194086200810728E-3</v>
      </c>
      <c r="W184" s="1"/>
      <c r="X184" s="1">
        <f t="shared" si="84"/>
        <v>-85200</v>
      </c>
      <c r="Y184" s="1"/>
      <c r="Z184" s="5">
        <f t="shared" si="85"/>
        <v>-1</v>
      </c>
    </row>
    <row r="185" spans="1:26" s="24" customFormat="1" hidden="1" outlineLevel="2" x14ac:dyDescent="0.25">
      <c r="A185" s="26"/>
      <c r="B185" s="11" t="str">
        <f>CONCATENATE("          ", "6408", " - ", "INVENTORY ADJUSTMENT")</f>
        <v xml:space="preserve">          6408 - INVENTORY ADJUSTMENT</v>
      </c>
      <c r="C185" s="11"/>
      <c r="D185" s="6">
        <v>-28100</v>
      </c>
      <c r="E185" s="2"/>
      <c r="F185" s="7">
        <f t="shared" si="78"/>
        <v>-0.1062365063569128</v>
      </c>
      <c r="G185" s="2"/>
      <c r="H185" s="6">
        <v>46100</v>
      </c>
      <c r="I185" s="2"/>
      <c r="J185" s="7">
        <f t="shared" si="79"/>
        <v>0.12578032915702625</v>
      </c>
      <c r="K185" s="2"/>
      <c r="L185" s="6">
        <f t="shared" si="80"/>
        <v>-74200</v>
      </c>
      <c r="M185" s="2"/>
      <c r="N185" s="7">
        <f t="shared" si="81"/>
        <v>-1.6095444685466378</v>
      </c>
      <c r="O185" s="11"/>
      <c r="P185" s="6">
        <v>0</v>
      </c>
      <c r="Q185" s="2"/>
      <c r="R185" s="7">
        <f t="shared" si="82"/>
        <v>0</v>
      </c>
      <c r="S185" s="2"/>
      <c r="T185" s="6">
        <v>85200</v>
      </c>
      <c r="U185" s="2"/>
      <c r="V185" s="7">
        <f t="shared" si="83"/>
        <v>9.3194086200810728E-3</v>
      </c>
      <c r="W185" s="2"/>
      <c r="X185" s="6">
        <f t="shared" si="84"/>
        <v>-85200</v>
      </c>
      <c r="Y185" s="2"/>
      <c r="Z185" s="7">
        <f t="shared" si="85"/>
        <v>-1</v>
      </c>
    </row>
    <row r="186" spans="1:26" s="24" customFormat="1" hidden="1" outlineLevel="2" x14ac:dyDescent="0.25">
      <c r="A186" s="26"/>
      <c r="B186" s="11" t="str">
        <f>CONCATENATE("          ", "7741", " - ", "INV. SHRINKAGE-LOGO GIFTS")</f>
        <v xml:space="preserve">          7741 - INV. SHRINKAGE-LOGO GIFTS</v>
      </c>
      <c r="C186" s="11"/>
      <c r="D186" s="6"/>
      <c r="E186" s="2"/>
      <c r="F186" s="7">
        <f t="shared" si="78"/>
        <v>0</v>
      </c>
      <c r="G186" s="2"/>
      <c r="H186" s="6"/>
      <c r="I186" s="2"/>
      <c r="J186" s="7">
        <f t="shared" si="79"/>
        <v>0</v>
      </c>
      <c r="K186" s="2"/>
      <c r="L186" s="6">
        <f t="shared" si="80"/>
        <v>0</v>
      </c>
      <c r="M186" s="2"/>
      <c r="N186" s="7">
        <f t="shared" si="81"/>
        <v>0</v>
      </c>
      <c r="O186" s="11"/>
      <c r="P186" s="6">
        <v>0</v>
      </c>
      <c r="Q186" s="2"/>
      <c r="R186" s="7">
        <f t="shared" si="82"/>
        <v>0</v>
      </c>
      <c r="S186" s="2"/>
      <c r="T186" s="6"/>
      <c r="U186" s="2"/>
      <c r="V186" s="7">
        <f t="shared" si="83"/>
        <v>0</v>
      </c>
      <c r="W186" s="2"/>
      <c r="X186" s="6">
        <f t="shared" si="84"/>
        <v>0</v>
      </c>
      <c r="Y186" s="2"/>
      <c r="Z186" s="7">
        <f t="shared" si="85"/>
        <v>0</v>
      </c>
    </row>
    <row r="187" spans="1:26" s="27" customFormat="1" outlineLevel="1" collapsed="1" x14ac:dyDescent="0.25">
      <c r="A187" s="25"/>
      <c r="B187" s="13" t="str">
        <f>CONCATENATE("     ","Professional Services                             ")</f>
        <v xml:space="preserve">     Professional Services                             </v>
      </c>
      <c r="C187" s="13"/>
      <c r="D187" s="1">
        <f>SUM(OSRRefD22_14x_0)</f>
        <v>1966.87</v>
      </c>
      <c r="E187" s="1"/>
      <c r="F187" s="5">
        <f t="shared" ref="F187:F195" si="86">IF(D$12=0,0,D187/D$12)</f>
        <v>7.436063959367298E-3</v>
      </c>
      <c r="G187" s="1"/>
      <c r="H187" s="1">
        <f>SUM(OSRRefH22_14x_0)</f>
        <v>0</v>
      </c>
      <c r="I187" s="1"/>
      <c r="J187" s="5">
        <f t="shared" ref="J187:J195" si="87">IF(H$12=0,0,H187/H$12)</f>
        <v>0</v>
      </c>
      <c r="K187" s="1"/>
      <c r="L187" s="1">
        <f t="shared" ref="L187:L195" si="88">+D187-H187</f>
        <v>1966.87</v>
      </c>
      <c r="M187" s="1"/>
      <c r="N187" s="5">
        <f t="shared" ref="N187:N195" si="89">IF(H187=0,0,L187/H187)</f>
        <v>0</v>
      </c>
      <c r="O187" s="13"/>
      <c r="P187" s="1">
        <f>SUM(OSRRefP22_14x_0)</f>
        <v>1966.87</v>
      </c>
      <c r="Q187" s="1"/>
      <c r="R187" s="5">
        <f t="shared" ref="R187:R195" si="90">IF(P$12=0,0,P187/P$12)</f>
        <v>3.5931746390220224E-4</v>
      </c>
      <c r="S187" s="1"/>
      <c r="T187" s="1">
        <f>SUM(OSRRefT22_14x_0)</f>
        <v>7300</v>
      </c>
      <c r="U187" s="1"/>
      <c r="V187" s="5">
        <f t="shared" ref="V187:V195" si="91">IF(T$12=0,0,T187/T$12)</f>
        <v>7.9849393106328436E-4</v>
      </c>
      <c r="W187" s="1"/>
      <c r="X187" s="1">
        <f t="shared" ref="X187:X195" si="92">+P187-T187</f>
        <v>-5333.13</v>
      </c>
      <c r="Y187" s="1"/>
      <c r="Z187" s="5">
        <f t="shared" ref="Z187:Z195" si="93">IF(T187=0,0,X187/T187)</f>
        <v>-0.73056575342465757</v>
      </c>
    </row>
    <row r="188" spans="1:26" s="24" customFormat="1" hidden="1" outlineLevel="2" x14ac:dyDescent="0.25">
      <c r="A188" s="26"/>
      <c r="B188" s="11" t="str">
        <f>CONCATENATE("          ", "6336", " - ", "PROFESSIONAL SERVICES")</f>
        <v xml:space="preserve">          6336 - PROFESSIONAL SERVICES</v>
      </c>
      <c r="C188" s="11"/>
      <c r="D188" s="6">
        <v>1966.87</v>
      </c>
      <c r="E188" s="2"/>
      <c r="F188" s="7">
        <f t="shared" si="86"/>
        <v>7.436063959367298E-3</v>
      </c>
      <c r="G188" s="2"/>
      <c r="H188" s="6">
        <v>0</v>
      </c>
      <c r="I188" s="2"/>
      <c r="J188" s="7">
        <f t="shared" si="87"/>
        <v>0</v>
      </c>
      <c r="K188" s="2"/>
      <c r="L188" s="6">
        <f t="shared" si="88"/>
        <v>1966.87</v>
      </c>
      <c r="M188" s="2"/>
      <c r="N188" s="7">
        <f t="shared" si="89"/>
        <v>0</v>
      </c>
      <c r="O188" s="11"/>
      <c r="P188" s="6">
        <v>1966.87</v>
      </c>
      <c r="Q188" s="2"/>
      <c r="R188" s="7">
        <f t="shared" si="90"/>
        <v>3.5931746390220224E-4</v>
      </c>
      <c r="S188" s="2"/>
      <c r="T188" s="6">
        <v>7300</v>
      </c>
      <c r="U188" s="2"/>
      <c r="V188" s="7">
        <f t="shared" si="91"/>
        <v>7.9849393106328436E-4</v>
      </c>
      <c r="W188" s="2"/>
      <c r="X188" s="6">
        <f t="shared" si="92"/>
        <v>-5333.13</v>
      </c>
      <c r="Y188" s="2"/>
      <c r="Z188" s="7">
        <f t="shared" si="93"/>
        <v>-0.73056575342465757</v>
      </c>
    </row>
    <row r="189" spans="1:26" s="27" customFormat="1" outlineLevel="1" collapsed="1" x14ac:dyDescent="0.25">
      <c r="A189" s="25"/>
      <c r="B189" s="13" t="str">
        <f>CONCATENATE("     ","Rent                                              ")</f>
        <v xml:space="preserve">     Rent                                              </v>
      </c>
      <c r="C189" s="13"/>
      <c r="D189" s="1">
        <f>SUM(OSRRefD22_15x_0)</f>
        <v>6100</v>
      </c>
      <c r="E189" s="1"/>
      <c r="F189" s="5">
        <f t="shared" si="86"/>
        <v>2.306201739420527E-2</v>
      </c>
      <c r="G189" s="1"/>
      <c r="H189" s="1">
        <f>SUM(OSRRefH22_15x_0)</f>
        <v>6100</v>
      </c>
      <c r="I189" s="1"/>
      <c r="J189" s="5">
        <f t="shared" si="87"/>
        <v>1.6643384118391759E-2</v>
      </c>
      <c r="K189" s="1"/>
      <c r="L189" s="1">
        <f t="shared" si="88"/>
        <v>0</v>
      </c>
      <c r="M189" s="1"/>
      <c r="N189" s="5">
        <f t="shared" si="89"/>
        <v>0</v>
      </c>
      <c r="O189" s="13"/>
      <c r="P189" s="1">
        <f>SUM(OSRRefP22_15x_0)</f>
        <v>73200</v>
      </c>
      <c r="Q189" s="1"/>
      <c r="R189" s="5">
        <f t="shared" si="90"/>
        <v>1.3372535224819742E-2</v>
      </c>
      <c r="S189" s="1"/>
      <c r="T189" s="1">
        <f>SUM(OSRRefT22_15x_0)</f>
        <v>73201</v>
      </c>
      <c r="U189" s="1"/>
      <c r="V189" s="5">
        <f t="shared" si="91"/>
        <v>8.006925239419654E-3</v>
      </c>
      <c r="W189" s="1"/>
      <c r="X189" s="1">
        <f t="shared" si="92"/>
        <v>-1</v>
      </c>
      <c r="Y189" s="1"/>
      <c r="Z189" s="5">
        <f t="shared" si="93"/>
        <v>-1.3661015559896723E-5</v>
      </c>
    </row>
    <row r="190" spans="1:26" s="24" customFormat="1" hidden="1" outlineLevel="2" x14ac:dyDescent="0.25">
      <c r="A190" s="26"/>
      <c r="B190" s="11" t="str">
        <f>CONCATENATE("          ", "6273", " - ", "RENT")</f>
        <v xml:space="preserve">          6273 - RENT</v>
      </c>
      <c r="C190" s="11"/>
      <c r="D190" s="6">
        <v>6100</v>
      </c>
      <c r="E190" s="2"/>
      <c r="F190" s="7">
        <f t="shared" si="86"/>
        <v>2.306201739420527E-2</v>
      </c>
      <c r="G190" s="2"/>
      <c r="H190" s="6">
        <v>6100</v>
      </c>
      <c r="I190" s="2"/>
      <c r="J190" s="7">
        <f t="shared" si="87"/>
        <v>1.6643384118391759E-2</v>
      </c>
      <c r="K190" s="2"/>
      <c r="L190" s="6">
        <f t="shared" si="88"/>
        <v>0</v>
      </c>
      <c r="M190" s="2"/>
      <c r="N190" s="7">
        <f t="shared" si="89"/>
        <v>0</v>
      </c>
      <c r="O190" s="11"/>
      <c r="P190" s="6">
        <v>73200</v>
      </c>
      <c r="Q190" s="2"/>
      <c r="R190" s="7">
        <f t="shared" si="90"/>
        <v>1.3372535224819742E-2</v>
      </c>
      <c r="S190" s="2"/>
      <c r="T190" s="6">
        <v>73201</v>
      </c>
      <c r="U190" s="2"/>
      <c r="V190" s="7">
        <f t="shared" si="91"/>
        <v>8.006925239419654E-3</v>
      </c>
      <c r="W190" s="2"/>
      <c r="X190" s="6">
        <f t="shared" si="92"/>
        <v>-1</v>
      </c>
      <c r="Y190" s="2"/>
      <c r="Z190" s="7">
        <f t="shared" si="93"/>
        <v>-1.3661015559896723E-5</v>
      </c>
    </row>
    <row r="191" spans="1:26" s="27" customFormat="1" outlineLevel="1" collapsed="1" x14ac:dyDescent="0.25">
      <c r="A191" s="25"/>
      <c r="B191" s="13" t="str">
        <f>CONCATENATE("     ","Repair and Maintenance                            ")</f>
        <v xml:space="preserve">     Repair and Maintenance                            </v>
      </c>
      <c r="C191" s="13"/>
      <c r="D191" s="1">
        <f>SUM(OSRRefD22_16x_0)</f>
        <v>17771.3</v>
      </c>
      <c r="E191" s="1"/>
      <c r="F191" s="5">
        <f t="shared" si="86"/>
        <v>6.7187217986498377E-2</v>
      </c>
      <c r="G191" s="1"/>
      <c r="H191" s="1">
        <f>SUM(OSRRefH22_16x_0)</f>
        <v>11940</v>
      </c>
      <c r="I191" s="1"/>
      <c r="J191" s="5">
        <f t="shared" si="87"/>
        <v>3.257737809403239E-2</v>
      </c>
      <c r="K191" s="1"/>
      <c r="L191" s="1">
        <f t="shared" si="88"/>
        <v>5831.2999999999993</v>
      </c>
      <c r="M191" s="1"/>
      <c r="N191" s="5">
        <f t="shared" si="89"/>
        <v>0.48838358458961467</v>
      </c>
      <c r="O191" s="13"/>
      <c r="P191" s="1">
        <f>SUM(OSRRefP22_16x_0)</f>
        <v>159926.21000000002</v>
      </c>
      <c r="Q191" s="1"/>
      <c r="R191" s="5">
        <f t="shared" si="90"/>
        <v>2.9216104871542616E-2</v>
      </c>
      <c r="S191" s="1"/>
      <c r="T191" s="1">
        <f>SUM(OSRRefT22_16x_0)</f>
        <v>235580</v>
      </c>
      <c r="U191" s="1"/>
      <c r="V191" s="5">
        <f t="shared" si="91"/>
        <v>2.5768383599984731E-2</v>
      </c>
      <c r="W191" s="1"/>
      <c r="X191" s="1">
        <f t="shared" si="92"/>
        <v>-75653.789999999979</v>
      </c>
      <c r="Y191" s="1"/>
      <c r="Z191" s="5">
        <f t="shared" si="93"/>
        <v>-0.32113842431445783</v>
      </c>
    </row>
    <row r="192" spans="1:26" s="24" customFormat="1" hidden="1" outlineLevel="2" x14ac:dyDescent="0.25">
      <c r="A192" s="26"/>
      <c r="B192" s="11" t="str">
        <f>CONCATENATE("          ", "6371", " - ", "COMPUTER SOFTWARE MAINTENANCE")</f>
        <v xml:space="preserve">          6371 - COMPUTER SOFTWARE MAINTENANCE</v>
      </c>
      <c r="C192" s="11"/>
      <c r="D192" s="6"/>
      <c r="E192" s="2"/>
      <c r="F192" s="7">
        <f t="shared" si="86"/>
        <v>0</v>
      </c>
      <c r="G192" s="2"/>
      <c r="H192" s="6"/>
      <c r="I192" s="2"/>
      <c r="J192" s="7">
        <f t="shared" si="87"/>
        <v>0</v>
      </c>
      <c r="K192" s="2"/>
      <c r="L192" s="6">
        <f t="shared" si="88"/>
        <v>0</v>
      </c>
      <c r="M192" s="2"/>
      <c r="N192" s="7">
        <f t="shared" si="89"/>
        <v>0</v>
      </c>
      <c r="O192" s="11"/>
      <c r="P192" s="6">
        <v>59767.72</v>
      </c>
      <c r="Q192" s="2"/>
      <c r="R192" s="7">
        <f t="shared" si="90"/>
        <v>1.0918660396272723E-2</v>
      </c>
      <c r="S192" s="2"/>
      <c r="T192" s="6">
        <v>57000</v>
      </c>
      <c r="U192" s="2"/>
      <c r="V192" s="7">
        <f t="shared" si="91"/>
        <v>6.2348156261105769E-3</v>
      </c>
      <c r="W192" s="2"/>
      <c r="X192" s="6">
        <f t="shared" si="92"/>
        <v>2767.7200000000012</v>
      </c>
      <c r="Y192" s="2"/>
      <c r="Z192" s="7">
        <f t="shared" si="93"/>
        <v>4.8556491228070195E-2</v>
      </c>
    </row>
    <row r="193" spans="1:26" s="24" customFormat="1" hidden="1" outlineLevel="2" x14ac:dyDescent="0.25">
      <c r="A193" s="26"/>
      <c r="B193" s="11" t="str">
        <f>CONCATENATE("          ", "6372", " - ", "COMPUTER HARDWARE MAINTENANCE")</f>
        <v xml:space="preserve">          6372 - COMPUTER HARDWARE MAINTENANCE</v>
      </c>
      <c r="C193" s="11"/>
      <c r="D193" s="6"/>
      <c r="E193" s="2"/>
      <c r="F193" s="7">
        <f t="shared" si="86"/>
        <v>0</v>
      </c>
      <c r="G193" s="2"/>
      <c r="H193" s="6"/>
      <c r="I193" s="2"/>
      <c r="J193" s="7">
        <f t="shared" si="87"/>
        <v>0</v>
      </c>
      <c r="K193" s="2"/>
      <c r="L193" s="6">
        <f t="shared" si="88"/>
        <v>0</v>
      </c>
      <c r="M193" s="2"/>
      <c r="N193" s="7">
        <f t="shared" si="89"/>
        <v>0</v>
      </c>
      <c r="O193" s="11"/>
      <c r="P193" s="6">
        <v>-1.1499999999999999</v>
      </c>
      <c r="Q193" s="2"/>
      <c r="R193" s="7">
        <f t="shared" si="90"/>
        <v>-2.1008764355932653E-7</v>
      </c>
      <c r="S193" s="2"/>
      <c r="T193" s="6"/>
      <c r="U193" s="2"/>
      <c r="V193" s="7">
        <f t="shared" si="91"/>
        <v>0</v>
      </c>
      <c r="W193" s="2"/>
      <c r="X193" s="6">
        <f t="shared" si="92"/>
        <v>-1.1499999999999999</v>
      </c>
      <c r="Y193" s="2"/>
      <c r="Z193" s="7">
        <f t="shared" si="93"/>
        <v>0</v>
      </c>
    </row>
    <row r="194" spans="1:26" s="24" customFormat="1" hidden="1" outlineLevel="2" x14ac:dyDescent="0.25">
      <c r="A194" s="26"/>
      <c r="B194" s="11" t="str">
        <f>CONCATENATE("          ", "6373", " - ", "MAINTENANCE CONTRACTS")</f>
        <v xml:space="preserve">          6373 - MAINTENANCE CONTRACTS</v>
      </c>
      <c r="C194" s="11"/>
      <c r="D194" s="6">
        <v>2085.3200000000002</v>
      </c>
      <c r="E194" s="2"/>
      <c r="F194" s="7">
        <f t="shared" si="86"/>
        <v>7.8838829692596951E-3</v>
      </c>
      <c r="G194" s="2"/>
      <c r="H194" s="6">
        <v>3540</v>
      </c>
      <c r="I194" s="2"/>
      <c r="J194" s="7">
        <f t="shared" si="87"/>
        <v>9.6586196359191509E-3</v>
      </c>
      <c r="K194" s="2"/>
      <c r="L194" s="6">
        <f t="shared" si="88"/>
        <v>-1454.6799999999998</v>
      </c>
      <c r="M194" s="2"/>
      <c r="N194" s="7">
        <f t="shared" si="89"/>
        <v>-0.41092655367231634</v>
      </c>
      <c r="O194" s="11"/>
      <c r="P194" s="6">
        <v>51391.34</v>
      </c>
      <c r="Q194" s="2"/>
      <c r="R194" s="7">
        <f t="shared" si="90"/>
        <v>9.3884221912662255E-3</v>
      </c>
      <c r="S194" s="2"/>
      <c r="T194" s="6">
        <v>77480</v>
      </c>
      <c r="U194" s="2"/>
      <c r="V194" s="7">
        <f t="shared" si="91"/>
        <v>8.4749739422990793E-3</v>
      </c>
      <c r="W194" s="2"/>
      <c r="X194" s="6">
        <f t="shared" si="92"/>
        <v>-26088.660000000003</v>
      </c>
      <c r="Y194" s="2"/>
      <c r="Z194" s="7">
        <f t="shared" si="93"/>
        <v>-0.33671476510067117</v>
      </c>
    </row>
    <row r="195" spans="1:26" s="24" customFormat="1" hidden="1" outlineLevel="2" x14ac:dyDescent="0.25">
      <c r="A195" s="26"/>
      <c r="B195" s="11" t="str">
        <f>CONCATENATE("          ", "6375", " - ", "OUTSIDE REPAIRS &amp; MAINTENANCE")</f>
        <v xml:space="preserve">          6375 - OUTSIDE REPAIRS &amp; MAINTENANCE</v>
      </c>
      <c r="C195" s="11"/>
      <c r="D195" s="6">
        <v>15685.98</v>
      </c>
      <c r="E195" s="2"/>
      <c r="F195" s="7">
        <f t="shared" si="86"/>
        <v>5.9303335017238681E-2</v>
      </c>
      <c r="G195" s="2"/>
      <c r="H195" s="6">
        <v>8400</v>
      </c>
      <c r="I195" s="2"/>
      <c r="J195" s="7">
        <f t="shared" si="87"/>
        <v>2.2918758458113239E-2</v>
      </c>
      <c r="K195" s="2"/>
      <c r="L195" s="6">
        <f t="shared" si="88"/>
        <v>7285.98</v>
      </c>
      <c r="M195" s="2"/>
      <c r="N195" s="7">
        <f t="shared" si="89"/>
        <v>0.86737857142857133</v>
      </c>
      <c r="O195" s="11"/>
      <c r="P195" s="6">
        <v>48768.3</v>
      </c>
      <c r="Q195" s="2"/>
      <c r="R195" s="7">
        <f t="shared" si="90"/>
        <v>8.9092323716472212E-3</v>
      </c>
      <c r="S195" s="2"/>
      <c r="T195" s="6">
        <v>101100</v>
      </c>
      <c r="U195" s="2"/>
      <c r="V195" s="7">
        <f t="shared" si="91"/>
        <v>1.1058594031575076E-2</v>
      </c>
      <c r="W195" s="2"/>
      <c r="X195" s="6">
        <f t="shared" si="92"/>
        <v>-52331.7</v>
      </c>
      <c r="Y195" s="2"/>
      <c r="Z195" s="7">
        <f t="shared" si="93"/>
        <v>-0.5176231454005934</v>
      </c>
    </row>
    <row r="196" spans="1:26" s="27" customFormat="1" outlineLevel="1" collapsed="1" x14ac:dyDescent="0.25">
      <c r="A196" s="25"/>
      <c r="B196" s="13" t="str">
        <f>CONCATENATE("     ","Royalty &amp; Commissions                             ")</f>
        <v xml:space="preserve">     Royalty &amp; Commissions                             </v>
      </c>
      <c r="C196" s="13"/>
      <c r="D196" s="1">
        <f>SUM(OSRRefD22_17x_0)</f>
        <v>2549.25</v>
      </c>
      <c r="E196" s="1"/>
      <c r="F196" s="5">
        <f t="shared" ref="F196:F200" si="94">IF(D$12=0,0,D196/D$12)</f>
        <v>9.6378439085537341E-3</v>
      </c>
      <c r="G196" s="1"/>
      <c r="H196" s="1">
        <f>SUM(OSRRefH22_17x_0)</f>
        <v>7171</v>
      </c>
      <c r="I196" s="1"/>
      <c r="J196" s="5">
        <f t="shared" ref="J196:J200" si="95">IF(H$12=0,0,H196/H$12)</f>
        <v>1.9565525821801197E-2</v>
      </c>
      <c r="K196" s="1"/>
      <c r="L196" s="1">
        <f t="shared" ref="L196:L200" si="96">+D196-H196</f>
        <v>-4621.75</v>
      </c>
      <c r="M196" s="1"/>
      <c r="N196" s="5">
        <f t="shared" ref="N196:N200" si="97">IF(H196=0,0,L196/H196)</f>
        <v>-0.64450564774787333</v>
      </c>
      <c r="O196" s="13"/>
      <c r="P196" s="1">
        <f>SUM(OSRRefP22_17x_0)</f>
        <v>51336.18</v>
      </c>
      <c r="Q196" s="1"/>
      <c r="R196" s="5">
        <f t="shared" ref="R196:R200" si="98">IF(P$12=0,0,P196/P$12)</f>
        <v>9.378345291771676E-3</v>
      </c>
      <c r="S196" s="1"/>
      <c r="T196" s="1">
        <f>SUM(OSRRefT22_17x_0)</f>
        <v>111402</v>
      </c>
      <c r="U196" s="1"/>
      <c r="V196" s="5">
        <f t="shared" ref="V196:V200" si="99">IF(T$12=0,0,T196/T$12)</f>
        <v>1.2185454918946849E-2</v>
      </c>
      <c r="W196" s="1"/>
      <c r="X196" s="1">
        <f t="shared" ref="X196:X200" si="100">+P196-T196</f>
        <v>-60065.82</v>
      </c>
      <c r="Y196" s="1"/>
      <c r="Z196" s="5">
        <f t="shared" ref="Z196:Z200" si="101">IF(T196=0,0,X196/T196)</f>
        <v>-0.53918080465341733</v>
      </c>
    </row>
    <row r="197" spans="1:26" s="24" customFormat="1" hidden="1" outlineLevel="2" x14ac:dyDescent="0.25">
      <c r="A197" s="26"/>
      <c r="B197" s="11" t="str">
        <f>CONCATENATE("          ", "6252", " - ", "ROYALTY DUE CSTV")</f>
        <v xml:space="preserve">          6252 - ROYALTY DUE CSTV</v>
      </c>
      <c r="C197" s="11"/>
      <c r="D197" s="6"/>
      <c r="E197" s="2"/>
      <c r="F197" s="7">
        <f t="shared" si="94"/>
        <v>0</v>
      </c>
      <c r="G197" s="2"/>
      <c r="H197" s="6">
        <v>1085</v>
      </c>
      <c r="I197" s="2"/>
      <c r="J197" s="7">
        <f t="shared" si="95"/>
        <v>2.9603396341729604E-3</v>
      </c>
      <c r="K197" s="2"/>
      <c r="L197" s="6">
        <f t="shared" si="96"/>
        <v>-1085</v>
      </c>
      <c r="M197" s="2"/>
      <c r="N197" s="7">
        <f t="shared" si="97"/>
        <v>-1</v>
      </c>
      <c r="O197" s="11"/>
      <c r="P197" s="6"/>
      <c r="Q197" s="2"/>
      <c r="R197" s="7">
        <f t="shared" si="98"/>
        <v>0</v>
      </c>
      <c r="S197" s="2"/>
      <c r="T197" s="6">
        <v>13020</v>
      </c>
      <c r="U197" s="2"/>
      <c r="V197" s="7">
        <f t="shared" si="99"/>
        <v>1.4241631482799948E-3</v>
      </c>
      <c r="W197" s="2"/>
      <c r="X197" s="6">
        <f t="shared" si="100"/>
        <v>-13020</v>
      </c>
      <c r="Y197" s="2"/>
      <c r="Z197" s="7">
        <f t="shared" si="101"/>
        <v>-1</v>
      </c>
    </row>
    <row r="198" spans="1:26" s="24" customFormat="1" hidden="1" outlineLevel="2" x14ac:dyDescent="0.25">
      <c r="A198" s="26"/>
      <c r="B198" s="11" t="str">
        <f>CONCATENATE("          ", "6253", " - ", "ROYALTY DUE ATHLETICS-LRG")</f>
        <v xml:space="preserve">          6253 - ROYALTY DUE ATHLETICS-LRG</v>
      </c>
      <c r="C198" s="11"/>
      <c r="D198" s="6"/>
      <c r="E198" s="2"/>
      <c r="F198" s="7">
        <f t="shared" si="94"/>
        <v>0</v>
      </c>
      <c r="G198" s="2"/>
      <c r="H198" s="6">
        <v>4037</v>
      </c>
      <c r="I198" s="2"/>
      <c r="J198" s="7">
        <f t="shared" si="95"/>
        <v>1.1014646178024185E-2</v>
      </c>
      <c r="K198" s="2"/>
      <c r="L198" s="6">
        <f t="shared" si="96"/>
        <v>-4037</v>
      </c>
      <c r="M198" s="2"/>
      <c r="N198" s="7">
        <f t="shared" si="97"/>
        <v>-1</v>
      </c>
      <c r="O198" s="11"/>
      <c r="P198" s="6">
        <v>35159.06</v>
      </c>
      <c r="Q198" s="2"/>
      <c r="R198" s="7">
        <f t="shared" si="98"/>
        <v>6.4230296218791083E-3</v>
      </c>
      <c r="S198" s="2"/>
      <c r="T198" s="6">
        <v>48444</v>
      </c>
      <c r="U198" s="2"/>
      <c r="V198" s="7">
        <f t="shared" si="99"/>
        <v>5.2989369858122944E-3</v>
      </c>
      <c r="W198" s="2"/>
      <c r="X198" s="6">
        <f t="shared" si="100"/>
        <v>-13284.940000000002</v>
      </c>
      <c r="Y198" s="2"/>
      <c r="Z198" s="7">
        <f t="shared" si="101"/>
        <v>-0.27423292874246558</v>
      </c>
    </row>
    <row r="199" spans="1:26" s="24" customFormat="1" hidden="1" outlineLevel="2" x14ac:dyDescent="0.25">
      <c r="A199" s="26"/>
      <c r="B199" s="11" t="str">
        <f>CONCATENATE("          ", "6254", " - ", "ROYALTY &amp; COMMISSIONS")</f>
        <v xml:space="preserve">          6254 - ROYALTY &amp; COMMISSIONS</v>
      </c>
      <c r="C199" s="11"/>
      <c r="D199" s="6"/>
      <c r="E199" s="2"/>
      <c r="F199" s="7">
        <f t="shared" si="94"/>
        <v>0</v>
      </c>
      <c r="G199" s="2"/>
      <c r="H199" s="6">
        <v>1149</v>
      </c>
      <c r="I199" s="2"/>
      <c r="J199" s="7">
        <f t="shared" si="95"/>
        <v>3.1349587462347756E-3</v>
      </c>
      <c r="K199" s="2"/>
      <c r="L199" s="6">
        <f t="shared" si="96"/>
        <v>-1149</v>
      </c>
      <c r="M199" s="2"/>
      <c r="N199" s="7">
        <f t="shared" si="97"/>
        <v>-1</v>
      </c>
      <c r="O199" s="11"/>
      <c r="P199" s="6"/>
      <c r="Q199" s="2"/>
      <c r="R199" s="7">
        <f t="shared" si="98"/>
        <v>0</v>
      </c>
      <c r="S199" s="2"/>
      <c r="T199" s="6">
        <v>13788</v>
      </c>
      <c r="U199" s="2"/>
      <c r="V199" s="7">
        <f t="shared" si="99"/>
        <v>1.5081690851370636E-3</v>
      </c>
      <c r="W199" s="2"/>
      <c r="X199" s="6">
        <f t="shared" si="100"/>
        <v>-13788</v>
      </c>
      <c r="Y199" s="2"/>
      <c r="Z199" s="7">
        <f t="shared" si="101"/>
        <v>-1</v>
      </c>
    </row>
    <row r="200" spans="1:26" s="24" customFormat="1" hidden="1" outlineLevel="2" x14ac:dyDescent="0.25">
      <c r="A200" s="26"/>
      <c r="B200" s="11" t="str">
        <f>CONCATENATE("          ", "6259", " - ", "ROYALTY &amp; COMMISSIONS")</f>
        <v xml:space="preserve">          6259 - ROYALTY &amp; COMMISSIONS</v>
      </c>
      <c r="C200" s="11"/>
      <c r="D200" s="6">
        <v>2549.25</v>
      </c>
      <c r="E200" s="2"/>
      <c r="F200" s="7">
        <f t="shared" si="94"/>
        <v>9.6378439085537341E-3</v>
      </c>
      <c r="G200" s="2"/>
      <c r="H200" s="6">
        <v>900</v>
      </c>
      <c r="I200" s="2"/>
      <c r="J200" s="7">
        <f t="shared" si="95"/>
        <v>2.4555812633692757E-3</v>
      </c>
      <c r="K200" s="2"/>
      <c r="L200" s="6">
        <f t="shared" si="96"/>
        <v>1649.25</v>
      </c>
      <c r="M200" s="2"/>
      <c r="N200" s="7">
        <f t="shared" si="97"/>
        <v>1.8325</v>
      </c>
      <c r="O200" s="11"/>
      <c r="P200" s="6">
        <v>16177.12</v>
      </c>
      <c r="Q200" s="2"/>
      <c r="R200" s="7">
        <f t="shared" si="98"/>
        <v>2.9553156698925677E-3</v>
      </c>
      <c r="S200" s="2"/>
      <c r="T200" s="6">
        <v>36150</v>
      </c>
      <c r="U200" s="2"/>
      <c r="V200" s="7">
        <f t="shared" si="99"/>
        <v>3.9541856997174973E-3</v>
      </c>
      <c r="W200" s="2"/>
      <c r="X200" s="6">
        <f t="shared" si="100"/>
        <v>-19972.879999999997</v>
      </c>
      <c r="Y200" s="2"/>
      <c r="Z200" s="7">
        <f t="shared" si="101"/>
        <v>-0.55250013831258638</v>
      </c>
    </row>
    <row r="201" spans="1:26" s="27" customFormat="1" outlineLevel="1" collapsed="1" x14ac:dyDescent="0.25">
      <c r="A201" s="25"/>
      <c r="B201" s="13" t="str">
        <f>CONCATENATE("     ","Services                                          ")</f>
        <v xml:space="preserve">     Services                                          </v>
      </c>
      <c r="C201" s="13"/>
      <c r="D201" s="1">
        <f>SUM(OSRRefD22_18x_0)</f>
        <v>4588.32</v>
      </c>
      <c r="E201" s="1"/>
      <c r="F201" s="5">
        <f t="shared" ref="F201:F205" si="102">IF(D$12=0,0,D201/D$12)</f>
        <v>1.7346871418062283E-2</v>
      </c>
      <c r="G201" s="1"/>
      <c r="H201" s="1">
        <f>SUM(OSRRefH22_18x_0)</f>
        <v>4784</v>
      </c>
      <c r="I201" s="1"/>
      <c r="J201" s="5">
        <f t="shared" ref="J201:J205" si="103">IF(H$12=0,0,H201/H$12)</f>
        <v>1.3052778626620683E-2</v>
      </c>
      <c r="K201" s="1"/>
      <c r="L201" s="1">
        <f t="shared" ref="L201:L205" si="104">+D201-H201</f>
        <v>-195.68000000000029</v>
      </c>
      <c r="M201" s="1"/>
      <c r="N201" s="5">
        <f t="shared" ref="N201:N205" si="105">IF(H201=0,0,L201/H201)</f>
        <v>-4.0903010033444875E-2</v>
      </c>
      <c r="O201" s="13"/>
      <c r="P201" s="1">
        <f>SUM(OSRRefP22_18x_0)</f>
        <v>49029.62</v>
      </c>
      <c r="Q201" s="1"/>
      <c r="R201" s="5">
        <f t="shared" ref="R201:R205" si="106">IF(P$12=0,0,P201/P$12)</f>
        <v>8.9569715916601993E-3</v>
      </c>
      <c r="S201" s="1"/>
      <c r="T201" s="1">
        <f>SUM(OSRRefT22_18x_0)</f>
        <v>57119</v>
      </c>
      <c r="U201" s="1"/>
      <c r="V201" s="5">
        <f t="shared" ref="V201:V205" si="107">IF(T$12=0,0,T201/T$12)</f>
        <v>6.2478321710142106E-3</v>
      </c>
      <c r="W201" s="1"/>
      <c r="X201" s="1">
        <f t="shared" ref="X201:X205" si="108">+P201-T201</f>
        <v>-8089.3799999999974</v>
      </c>
      <c r="Y201" s="1"/>
      <c r="Z201" s="5">
        <f t="shared" ref="Z201:Z205" si="109">IF(T201=0,0,X201/T201)</f>
        <v>-0.1416232777184474</v>
      </c>
    </row>
    <row r="202" spans="1:26" s="24" customFormat="1" hidden="1" outlineLevel="2" x14ac:dyDescent="0.25">
      <c r="A202" s="26"/>
      <c r="B202" s="11" t="str">
        <f>CONCATENATE("          ", "6282", " - ", "JANITORIAL/EXTERMINATOR EXPENS")</f>
        <v xml:space="preserve">          6282 - JANITORIAL/EXTERMINATOR EXPENS</v>
      </c>
      <c r="C202" s="11"/>
      <c r="D202" s="6">
        <v>582</v>
      </c>
      <c r="E202" s="2"/>
      <c r="F202" s="7">
        <f t="shared" si="102"/>
        <v>2.2003432989225356E-3</v>
      </c>
      <c r="G202" s="2"/>
      <c r="H202" s="6">
        <v>4000</v>
      </c>
      <c r="I202" s="2"/>
      <c r="J202" s="7">
        <f t="shared" si="103"/>
        <v>1.0913694503863447E-2</v>
      </c>
      <c r="K202" s="2"/>
      <c r="L202" s="6">
        <f t="shared" si="104"/>
        <v>-3418</v>
      </c>
      <c r="M202" s="2"/>
      <c r="N202" s="7">
        <f t="shared" si="105"/>
        <v>-0.85450000000000004</v>
      </c>
      <c r="O202" s="11"/>
      <c r="P202" s="6">
        <v>8279.1200000000008</v>
      </c>
      <c r="Q202" s="2"/>
      <c r="R202" s="7">
        <f t="shared" si="106"/>
        <v>1.5124702709086015E-3</v>
      </c>
      <c r="S202" s="2"/>
      <c r="T202" s="6">
        <v>48000</v>
      </c>
      <c r="U202" s="2"/>
      <c r="V202" s="7">
        <f t="shared" si="107"/>
        <v>5.2503710535668014E-3</v>
      </c>
      <c r="W202" s="2"/>
      <c r="X202" s="6">
        <f t="shared" si="108"/>
        <v>-39720.879999999997</v>
      </c>
      <c r="Y202" s="2"/>
      <c r="Z202" s="7">
        <f t="shared" si="109"/>
        <v>-0.82751833333333324</v>
      </c>
    </row>
    <row r="203" spans="1:26" s="24" customFormat="1" hidden="1" outlineLevel="2" x14ac:dyDescent="0.25">
      <c r="A203" s="26"/>
      <c r="B203" s="11" t="str">
        <f>CONCATENATE("          ", "6283", " - ", "PLANT SERVICE")</f>
        <v xml:space="preserve">          6283 - PLANT SERVICE</v>
      </c>
      <c r="C203" s="11"/>
      <c r="D203" s="6"/>
      <c r="E203" s="2"/>
      <c r="F203" s="7">
        <f t="shared" si="102"/>
        <v>0</v>
      </c>
      <c r="G203" s="2"/>
      <c r="H203" s="6">
        <v>0</v>
      </c>
      <c r="I203" s="2"/>
      <c r="J203" s="7">
        <f t="shared" si="103"/>
        <v>0</v>
      </c>
      <c r="K203" s="2"/>
      <c r="L203" s="6">
        <f t="shared" si="104"/>
        <v>0</v>
      </c>
      <c r="M203" s="2"/>
      <c r="N203" s="7">
        <f t="shared" si="105"/>
        <v>0</v>
      </c>
      <c r="O203" s="11"/>
      <c r="P203" s="6">
        <v>171.31</v>
      </c>
      <c r="Q203" s="2"/>
      <c r="R203" s="7">
        <f t="shared" si="106"/>
        <v>3.129575149404194E-5</v>
      </c>
      <c r="S203" s="2"/>
      <c r="T203" s="6">
        <v>0</v>
      </c>
      <c r="U203" s="2"/>
      <c r="V203" s="7">
        <f t="shared" si="107"/>
        <v>0</v>
      </c>
      <c r="W203" s="2"/>
      <c r="X203" s="6">
        <f t="shared" si="108"/>
        <v>171.31</v>
      </c>
      <c r="Y203" s="2"/>
      <c r="Z203" s="7">
        <f t="shared" si="109"/>
        <v>0</v>
      </c>
    </row>
    <row r="204" spans="1:26" s="24" customFormat="1" hidden="1" outlineLevel="2" x14ac:dyDescent="0.25">
      <c r="A204" s="26"/>
      <c r="B204" s="11" t="str">
        <f>CONCATENATE("          ", "6284", " - ", "TRASH REMOVAL EXPENSE")</f>
        <v xml:space="preserve">          6284 - TRASH REMOVAL EXPENSE</v>
      </c>
      <c r="C204" s="11"/>
      <c r="D204" s="6">
        <v>142.57</v>
      </c>
      <c r="E204" s="2"/>
      <c r="F204" s="7">
        <f t="shared" si="102"/>
        <v>5.3900849506423689E-4</v>
      </c>
      <c r="G204" s="2"/>
      <c r="H204" s="6">
        <v>110</v>
      </c>
      <c r="I204" s="2"/>
      <c r="J204" s="7">
        <f t="shared" si="103"/>
        <v>3.0012659885624482E-4</v>
      </c>
      <c r="K204" s="2"/>
      <c r="L204" s="6">
        <f t="shared" si="104"/>
        <v>32.569999999999993</v>
      </c>
      <c r="M204" s="2"/>
      <c r="N204" s="7">
        <f t="shared" si="105"/>
        <v>0.29609090909090902</v>
      </c>
      <c r="O204" s="11"/>
      <c r="P204" s="6">
        <v>1725.86</v>
      </c>
      <c r="Q204" s="2"/>
      <c r="R204" s="7">
        <f t="shared" si="106"/>
        <v>3.1528857435939066E-4</v>
      </c>
      <c r="S204" s="2"/>
      <c r="T204" s="6">
        <v>880</v>
      </c>
      <c r="U204" s="2"/>
      <c r="V204" s="7">
        <f t="shared" si="107"/>
        <v>9.6256802648724687E-5</v>
      </c>
      <c r="W204" s="2"/>
      <c r="X204" s="6">
        <f t="shared" si="108"/>
        <v>845.8599999999999</v>
      </c>
      <c r="Y204" s="2"/>
      <c r="Z204" s="7">
        <f t="shared" si="109"/>
        <v>0.96120454545454537</v>
      </c>
    </row>
    <row r="205" spans="1:26" s="24" customFormat="1" hidden="1" outlineLevel="2" x14ac:dyDescent="0.25">
      <c r="A205" s="26"/>
      <c r="B205" s="11" t="str">
        <f>CONCATENATE("          ", "6285", " - ", "JANITORIAL SERVICES")</f>
        <v xml:space="preserve">          6285 - JANITORIAL SERVICES</v>
      </c>
      <c r="C205" s="11"/>
      <c r="D205" s="6">
        <v>3863.75</v>
      </c>
      <c r="E205" s="2"/>
      <c r="F205" s="7">
        <f t="shared" si="102"/>
        <v>1.4607519624075509E-2</v>
      </c>
      <c r="G205" s="2"/>
      <c r="H205" s="6">
        <v>674</v>
      </c>
      <c r="I205" s="2"/>
      <c r="J205" s="7">
        <f t="shared" si="103"/>
        <v>1.838957523900991E-3</v>
      </c>
      <c r="K205" s="2"/>
      <c r="L205" s="6">
        <f t="shared" si="104"/>
        <v>3189.75</v>
      </c>
      <c r="M205" s="2"/>
      <c r="N205" s="7">
        <f t="shared" si="105"/>
        <v>4.7325667655786354</v>
      </c>
      <c r="O205" s="11"/>
      <c r="P205" s="6">
        <v>38853.33</v>
      </c>
      <c r="Q205" s="2"/>
      <c r="R205" s="7">
        <f t="shared" si="106"/>
        <v>7.0979169948981648E-3</v>
      </c>
      <c r="S205" s="2"/>
      <c r="T205" s="6">
        <v>8239</v>
      </c>
      <c r="U205" s="2"/>
      <c r="V205" s="7">
        <f t="shared" si="107"/>
        <v>9.0120431479868491E-4</v>
      </c>
      <c r="W205" s="2"/>
      <c r="X205" s="6">
        <f t="shared" si="108"/>
        <v>30614.33</v>
      </c>
      <c r="Y205" s="2"/>
      <c r="Z205" s="7">
        <f t="shared" si="109"/>
        <v>3.7157822551280497</v>
      </c>
    </row>
    <row r="206" spans="1:26" s="27" customFormat="1" outlineLevel="1" collapsed="1" x14ac:dyDescent="0.25">
      <c r="A206" s="25"/>
      <c r="B206" s="13" t="str">
        <f>CONCATENATE("     ","Subscriptions &amp; Dues                              ")</f>
        <v xml:space="preserve">     Subscriptions &amp; Dues                              </v>
      </c>
      <c r="C206" s="13"/>
      <c r="D206" s="1">
        <f>SUM(OSRRefD22_19x_0)</f>
        <v>694</v>
      </c>
      <c r="E206" s="1"/>
      <c r="F206" s="5">
        <f t="shared" ref="F206:F208" si="110">IF(D$12=0,0,D206/D$12)</f>
        <v>2.6237770609145012E-3</v>
      </c>
      <c r="G206" s="1"/>
      <c r="H206" s="1">
        <f>SUM(OSRRefH22_19x_0)</f>
        <v>1300</v>
      </c>
      <c r="I206" s="1"/>
      <c r="J206" s="5">
        <f t="shared" ref="J206:J208" si="111">IF(H$12=0,0,H206/H$12)</f>
        <v>3.5469507137556207E-3</v>
      </c>
      <c r="K206" s="1"/>
      <c r="L206" s="1">
        <f t="shared" ref="L206:L208" si="112">+D206-H206</f>
        <v>-606</v>
      </c>
      <c r="M206" s="1"/>
      <c r="N206" s="5">
        <f t="shared" ref="N206:N208" si="113">IF(H206=0,0,L206/H206)</f>
        <v>-0.46615384615384614</v>
      </c>
      <c r="O206" s="13"/>
      <c r="P206" s="1">
        <f>SUM(OSRRefP22_19x_0)</f>
        <v>7983.13</v>
      </c>
      <c r="Q206" s="1"/>
      <c r="R206" s="5">
        <f t="shared" ref="R206:R208" si="114">IF(P$12=0,0,P206/P$12)</f>
        <v>1.4583973651545795E-3</v>
      </c>
      <c r="S206" s="1"/>
      <c r="T206" s="1">
        <f>SUM(OSRRefT22_19x_0)</f>
        <v>16595</v>
      </c>
      <c r="U206" s="1"/>
      <c r="V206" s="5">
        <f t="shared" ref="V206:V208" si="115">IF(T$12=0,0,T206/T$12)</f>
        <v>1.8152064090404389E-3</v>
      </c>
      <c r="W206" s="1"/>
      <c r="X206" s="1">
        <f t="shared" ref="X206:X208" si="116">+P206-T206</f>
        <v>-8611.869999999999</v>
      </c>
      <c r="Y206" s="1"/>
      <c r="Z206" s="5">
        <f t="shared" ref="Z206:Z208" si="117">IF(T206=0,0,X206/T206)</f>
        <v>-0.51894365772823137</v>
      </c>
    </row>
    <row r="207" spans="1:26" s="24" customFormat="1" hidden="1" outlineLevel="2" x14ac:dyDescent="0.25">
      <c r="A207" s="26"/>
      <c r="B207" s="11" t="str">
        <f>CONCATENATE("          ", "6258", " - ", "MEMBERSHIP DUES")</f>
        <v xml:space="preserve">          6258 - MEMBERSHIP DUES</v>
      </c>
      <c r="C207" s="11"/>
      <c r="D207" s="6">
        <v>609</v>
      </c>
      <c r="E207" s="2"/>
      <c r="F207" s="7">
        <f t="shared" si="110"/>
        <v>2.3024210808313128E-3</v>
      </c>
      <c r="G207" s="2"/>
      <c r="H207" s="6">
        <v>1300</v>
      </c>
      <c r="I207" s="2"/>
      <c r="J207" s="7">
        <f t="shared" si="111"/>
        <v>3.5469507137556207E-3</v>
      </c>
      <c r="K207" s="2"/>
      <c r="L207" s="6">
        <f t="shared" si="112"/>
        <v>-691</v>
      </c>
      <c r="M207" s="2"/>
      <c r="N207" s="7">
        <f t="shared" si="113"/>
        <v>-0.53153846153846152</v>
      </c>
      <c r="O207" s="11"/>
      <c r="P207" s="6">
        <v>3655.45</v>
      </c>
      <c r="Q207" s="2"/>
      <c r="R207" s="7">
        <f t="shared" si="114"/>
        <v>6.6779554491212193E-4</v>
      </c>
      <c r="S207" s="2"/>
      <c r="T207" s="6">
        <v>14795</v>
      </c>
      <c r="U207" s="2"/>
      <c r="V207" s="7">
        <f t="shared" si="115"/>
        <v>1.6183174945316838E-3</v>
      </c>
      <c r="W207" s="2"/>
      <c r="X207" s="6">
        <f t="shared" si="116"/>
        <v>-11139.55</v>
      </c>
      <c r="Y207" s="2"/>
      <c r="Z207" s="7">
        <f t="shared" si="117"/>
        <v>-0.75292666441365319</v>
      </c>
    </row>
    <row r="208" spans="1:26" s="24" customFormat="1" hidden="1" outlineLevel="2" x14ac:dyDescent="0.25">
      <c r="A208" s="26"/>
      <c r="B208" s="11" t="str">
        <f>CONCATENATE("          ", "6275", " - ", "SUBSCRIPTIONS")</f>
        <v xml:space="preserve">          6275 - SUBSCRIPTIONS</v>
      </c>
      <c r="C208" s="11"/>
      <c r="D208" s="6">
        <v>85</v>
      </c>
      <c r="E208" s="2"/>
      <c r="F208" s="7">
        <f t="shared" si="110"/>
        <v>3.2135598008318817E-4</v>
      </c>
      <c r="G208" s="2"/>
      <c r="H208" s="6">
        <v>0</v>
      </c>
      <c r="I208" s="2"/>
      <c r="J208" s="7">
        <f t="shared" si="111"/>
        <v>0</v>
      </c>
      <c r="K208" s="2"/>
      <c r="L208" s="6">
        <f t="shared" si="112"/>
        <v>85</v>
      </c>
      <c r="M208" s="2"/>
      <c r="N208" s="7">
        <f t="shared" si="113"/>
        <v>0</v>
      </c>
      <c r="O208" s="11"/>
      <c r="P208" s="6">
        <v>4327.68</v>
      </c>
      <c r="Q208" s="2"/>
      <c r="R208" s="7">
        <f t="shared" si="114"/>
        <v>7.9060182024245766E-4</v>
      </c>
      <c r="S208" s="2"/>
      <c r="T208" s="6">
        <v>1800</v>
      </c>
      <c r="U208" s="2"/>
      <c r="V208" s="7">
        <f t="shared" si="115"/>
        <v>1.9688891450875504E-4</v>
      </c>
      <c r="W208" s="2"/>
      <c r="X208" s="6">
        <f t="shared" si="116"/>
        <v>2527.6800000000003</v>
      </c>
      <c r="Y208" s="2"/>
      <c r="Z208" s="7">
        <f t="shared" si="117"/>
        <v>1.4042666666666668</v>
      </c>
    </row>
    <row r="209" spans="1:26" s="27" customFormat="1" outlineLevel="1" collapsed="1" x14ac:dyDescent="0.25">
      <c r="A209" s="25"/>
      <c r="B209" s="13" t="str">
        <f>CONCATENATE("     ","Supplies                                          ")</f>
        <v xml:space="preserve">     Supplies                                          </v>
      </c>
      <c r="C209" s="13"/>
      <c r="D209" s="1">
        <f>SUM(OSRRefD22_20x_0)</f>
        <v>12432.029999999999</v>
      </c>
      <c r="E209" s="1"/>
      <c r="F209" s="5">
        <f t="shared" ref="F209:F218" si="118">IF(D$12=0,0,D209/D$12)</f>
        <v>4.7001261000865852E-2</v>
      </c>
      <c r="G209" s="1"/>
      <c r="H209" s="1">
        <f>SUM(OSRRefH22_20x_0)</f>
        <v>7120</v>
      </c>
      <c r="I209" s="1"/>
      <c r="J209" s="5">
        <f t="shared" ref="J209:J218" si="119">IF(H$12=0,0,H209/H$12)</f>
        <v>1.9426376216876939E-2</v>
      </c>
      <c r="K209" s="1"/>
      <c r="L209" s="1">
        <f t="shared" ref="L209:L218" si="120">+D209-H209</f>
        <v>5312.0299999999988</v>
      </c>
      <c r="M209" s="1"/>
      <c r="N209" s="5">
        <f t="shared" ref="N209:N218" si="121">IF(H209=0,0,L209/H209)</f>
        <v>0.74607162921348302</v>
      </c>
      <c r="O209" s="13"/>
      <c r="P209" s="1">
        <f>SUM(OSRRefP22_20x_0)</f>
        <v>134330.78000000003</v>
      </c>
      <c r="Q209" s="1"/>
      <c r="R209" s="5">
        <f t="shared" ref="R209:R218" si="122">IF(P$12=0,0,P209/P$12)</f>
        <v>2.4540206111031578E-2</v>
      </c>
      <c r="S209" s="1"/>
      <c r="T209" s="1">
        <f>SUM(OSRRefT22_20x_0)</f>
        <v>163070</v>
      </c>
      <c r="U209" s="1"/>
      <c r="V209" s="5">
        <f t="shared" ref="V209:V218" si="123">IF(T$12=0,0,T209/T$12)</f>
        <v>1.783704182719038E-2</v>
      </c>
      <c r="W209" s="1"/>
      <c r="X209" s="1">
        <f t="shared" ref="X209:X218" si="124">+P209-T209</f>
        <v>-28739.219999999972</v>
      </c>
      <c r="Y209" s="1"/>
      <c r="Z209" s="5">
        <f t="shared" ref="Z209:Z218" si="125">IF(T209=0,0,X209/T209)</f>
        <v>-0.17623854786288079</v>
      </c>
    </row>
    <row r="210" spans="1:26" s="24" customFormat="1" hidden="1" outlineLevel="2" x14ac:dyDescent="0.25">
      <c r="A210" s="26"/>
      <c r="B210" s="11" t="str">
        <f>CONCATENATE("          ", "6234", " - ", "EXPENDABLE SUPPLIES &amp; EQUIPMEN")</f>
        <v xml:space="preserve">          6234 - EXPENDABLE SUPPLIES &amp; EQUIPMEN</v>
      </c>
      <c r="C210" s="11"/>
      <c r="D210" s="6"/>
      <c r="E210" s="2"/>
      <c r="F210" s="7">
        <f t="shared" si="118"/>
        <v>0</v>
      </c>
      <c r="G210" s="2"/>
      <c r="H210" s="6">
        <v>150</v>
      </c>
      <c r="I210" s="2"/>
      <c r="J210" s="7">
        <f t="shared" si="119"/>
        <v>4.0926354389487932E-4</v>
      </c>
      <c r="K210" s="2"/>
      <c r="L210" s="6">
        <f t="shared" si="120"/>
        <v>-150</v>
      </c>
      <c r="M210" s="2"/>
      <c r="N210" s="7">
        <f t="shared" si="121"/>
        <v>-1</v>
      </c>
      <c r="O210" s="11"/>
      <c r="P210" s="6">
        <v>0.16</v>
      </c>
      <c r="Q210" s="2"/>
      <c r="R210" s="7">
        <f t="shared" si="122"/>
        <v>2.9229585190862825E-8</v>
      </c>
      <c r="S210" s="2"/>
      <c r="T210" s="6">
        <v>1800</v>
      </c>
      <c r="U210" s="2"/>
      <c r="V210" s="7">
        <f t="shared" si="123"/>
        <v>1.9688891450875504E-4</v>
      </c>
      <c r="W210" s="2"/>
      <c r="X210" s="6">
        <f t="shared" si="124"/>
        <v>-1799.84</v>
      </c>
      <c r="Y210" s="2"/>
      <c r="Z210" s="7">
        <f t="shared" si="125"/>
        <v>-0.99991111111111108</v>
      </c>
    </row>
    <row r="211" spans="1:26" s="24" customFormat="1" hidden="1" outlineLevel="2" x14ac:dyDescent="0.25">
      <c r="A211" s="26"/>
      <c r="B211" s="11" t="str">
        <f>CONCATENATE("          ", "6235", " - ", "COVID-19 EXPENSES")</f>
        <v xml:space="preserve">          6235 - COVID-19 EXPENSES</v>
      </c>
      <c r="C211" s="11"/>
      <c r="D211" s="6">
        <v>957.91</v>
      </c>
      <c r="E211" s="2"/>
      <c r="F211" s="7">
        <f t="shared" si="118"/>
        <v>3.6215306691939619E-3</v>
      </c>
      <c r="G211" s="2"/>
      <c r="H211" s="6">
        <v>500</v>
      </c>
      <c r="I211" s="2"/>
      <c r="J211" s="7">
        <f t="shared" si="119"/>
        <v>1.3642118129829309E-3</v>
      </c>
      <c r="K211" s="2"/>
      <c r="L211" s="6">
        <f t="shared" si="120"/>
        <v>457.90999999999997</v>
      </c>
      <c r="M211" s="2"/>
      <c r="N211" s="7">
        <f t="shared" si="121"/>
        <v>0.91581999999999997</v>
      </c>
      <c r="O211" s="11"/>
      <c r="P211" s="6">
        <v>44955.97</v>
      </c>
      <c r="Q211" s="2"/>
      <c r="R211" s="7">
        <f t="shared" si="122"/>
        <v>8.2127772184554595E-3</v>
      </c>
      <c r="S211" s="2"/>
      <c r="T211" s="6">
        <v>65600</v>
      </c>
      <c r="U211" s="2"/>
      <c r="V211" s="7">
        <f t="shared" si="123"/>
        <v>7.1755071065412951E-3</v>
      </c>
      <c r="W211" s="2"/>
      <c r="X211" s="6">
        <f t="shared" si="124"/>
        <v>-20644.03</v>
      </c>
      <c r="Y211" s="2"/>
      <c r="Z211" s="7">
        <f t="shared" si="125"/>
        <v>-0.31469557926829267</v>
      </c>
    </row>
    <row r="212" spans="1:26" s="24" customFormat="1" hidden="1" outlineLevel="2" x14ac:dyDescent="0.25">
      <c r="A212" s="26"/>
      <c r="B212" s="11" t="str">
        <f>CONCATENATE("          ", "6237", " - ", "JANITORIAL SUPPLIES")</f>
        <v xml:space="preserve">          6237 - JANITORIAL SUPPLIES</v>
      </c>
      <c r="C212" s="11"/>
      <c r="D212" s="6">
        <v>321.05</v>
      </c>
      <c r="E212" s="2"/>
      <c r="F212" s="7">
        <f t="shared" si="118"/>
        <v>1.2137804400671479E-3</v>
      </c>
      <c r="G212" s="2"/>
      <c r="H212" s="6">
        <v>270</v>
      </c>
      <c r="I212" s="2"/>
      <c r="J212" s="7">
        <f t="shared" si="119"/>
        <v>7.3667437901078271E-4</v>
      </c>
      <c r="K212" s="2"/>
      <c r="L212" s="6">
        <f t="shared" si="120"/>
        <v>51.050000000000011</v>
      </c>
      <c r="M212" s="2"/>
      <c r="N212" s="7">
        <f t="shared" si="121"/>
        <v>0.18907407407407412</v>
      </c>
      <c r="O212" s="11"/>
      <c r="P212" s="6">
        <v>4201.33</v>
      </c>
      <c r="Q212" s="2"/>
      <c r="R212" s="7">
        <f t="shared" si="122"/>
        <v>7.6751958218704817E-4</v>
      </c>
      <c r="S212" s="2"/>
      <c r="T212" s="6">
        <v>3220</v>
      </c>
      <c r="U212" s="2"/>
      <c r="V212" s="7">
        <f t="shared" si="123"/>
        <v>3.5221239151010626E-4</v>
      </c>
      <c r="W212" s="2"/>
      <c r="X212" s="6">
        <f t="shared" si="124"/>
        <v>981.32999999999993</v>
      </c>
      <c r="Y212" s="2"/>
      <c r="Z212" s="7">
        <f t="shared" si="125"/>
        <v>0.30476086956521736</v>
      </c>
    </row>
    <row r="213" spans="1:26" s="24" customFormat="1" hidden="1" outlineLevel="2" x14ac:dyDescent="0.25">
      <c r="A213" s="26"/>
      <c r="B213" s="11" t="str">
        <f>CONCATENATE("          ", "6241", " - ", "OFFICE EXPENSE")</f>
        <v xml:space="preserve">          6241 - OFFICE EXPENSE</v>
      </c>
      <c r="C213" s="11"/>
      <c r="D213" s="6">
        <v>983.08</v>
      </c>
      <c r="E213" s="2"/>
      <c r="F213" s="7">
        <f t="shared" si="118"/>
        <v>3.7166898458844784E-3</v>
      </c>
      <c r="G213" s="2"/>
      <c r="H213" s="6">
        <v>325</v>
      </c>
      <c r="I213" s="2"/>
      <c r="J213" s="7">
        <f t="shared" si="119"/>
        <v>8.8673767843890517E-4</v>
      </c>
      <c r="K213" s="2"/>
      <c r="L213" s="6">
        <f t="shared" si="120"/>
        <v>658.08</v>
      </c>
      <c r="M213" s="2"/>
      <c r="N213" s="7">
        <f t="shared" si="121"/>
        <v>2.0248615384615385</v>
      </c>
      <c r="O213" s="11"/>
      <c r="P213" s="6">
        <v>11988.5</v>
      </c>
      <c r="Q213" s="2"/>
      <c r="R213" s="7">
        <f t="shared" si="122"/>
        <v>2.1901180128791184E-3</v>
      </c>
      <c r="S213" s="2"/>
      <c r="T213" s="6">
        <v>6200</v>
      </c>
      <c r="U213" s="2"/>
      <c r="V213" s="7">
        <f t="shared" si="123"/>
        <v>6.781729277523785E-4</v>
      </c>
      <c r="W213" s="2"/>
      <c r="X213" s="6">
        <f t="shared" si="124"/>
        <v>5788.5</v>
      </c>
      <c r="Y213" s="2"/>
      <c r="Z213" s="7">
        <f t="shared" si="125"/>
        <v>0.93362903225806448</v>
      </c>
    </row>
    <row r="214" spans="1:26" s="24" customFormat="1" hidden="1" outlineLevel="2" x14ac:dyDescent="0.25">
      <c r="A214" s="26"/>
      <c r="B214" s="11" t="str">
        <f>CONCATENATE("          ", "6243", " - ", "PAPER SUPPLIES")</f>
        <v xml:space="preserve">          6243 - PAPER SUPPLIES</v>
      </c>
      <c r="C214" s="11"/>
      <c r="D214" s="6">
        <v>548.02</v>
      </c>
      <c r="E214" s="2"/>
      <c r="F214" s="7">
        <f t="shared" si="118"/>
        <v>2.0718765200610444E-3</v>
      </c>
      <c r="G214" s="2"/>
      <c r="H214" s="6">
        <v>1350</v>
      </c>
      <c r="I214" s="2"/>
      <c r="J214" s="7">
        <f t="shared" si="119"/>
        <v>3.6833718950539138E-3</v>
      </c>
      <c r="K214" s="2"/>
      <c r="L214" s="6">
        <f t="shared" si="120"/>
        <v>-801.98</v>
      </c>
      <c r="M214" s="2"/>
      <c r="N214" s="7">
        <f t="shared" si="121"/>
        <v>-0.59405925925925929</v>
      </c>
      <c r="O214" s="11"/>
      <c r="P214" s="6">
        <v>7230.6</v>
      </c>
      <c r="Q214" s="2"/>
      <c r="R214" s="7">
        <f t="shared" si="122"/>
        <v>1.3209214917565795E-3</v>
      </c>
      <c r="S214" s="2"/>
      <c r="T214" s="6">
        <v>28300</v>
      </c>
      <c r="U214" s="2"/>
      <c r="V214" s="7">
        <f t="shared" si="123"/>
        <v>3.0955312669987598E-3</v>
      </c>
      <c r="W214" s="2"/>
      <c r="X214" s="6">
        <f t="shared" si="124"/>
        <v>-21069.4</v>
      </c>
      <c r="Y214" s="2"/>
      <c r="Z214" s="7">
        <f t="shared" si="125"/>
        <v>-0.74450176678445235</v>
      </c>
    </row>
    <row r="215" spans="1:26" s="24" customFormat="1" hidden="1" outlineLevel="2" x14ac:dyDescent="0.25">
      <c r="A215" s="26"/>
      <c r="B215" s="11" t="str">
        <f>CONCATENATE("          ", "6244", " - ", "SAFETY SUPPLY EXPENSE")</f>
        <v xml:space="preserve">          6244 - SAFETY SUPPLY EXPENSE</v>
      </c>
      <c r="C215" s="11"/>
      <c r="D215" s="6"/>
      <c r="E215" s="2"/>
      <c r="F215" s="7">
        <f t="shared" si="118"/>
        <v>0</v>
      </c>
      <c r="G215" s="2"/>
      <c r="H215" s="6">
        <v>0</v>
      </c>
      <c r="I215" s="2"/>
      <c r="J215" s="7">
        <f t="shared" si="119"/>
        <v>0</v>
      </c>
      <c r="K215" s="2"/>
      <c r="L215" s="6">
        <f t="shared" si="120"/>
        <v>0</v>
      </c>
      <c r="M215" s="2"/>
      <c r="N215" s="7">
        <f t="shared" si="121"/>
        <v>0</v>
      </c>
      <c r="O215" s="11"/>
      <c r="P215" s="6"/>
      <c r="Q215" s="2"/>
      <c r="R215" s="7">
        <f t="shared" si="122"/>
        <v>0</v>
      </c>
      <c r="S215" s="2"/>
      <c r="T215" s="6">
        <v>100</v>
      </c>
      <c r="U215" s="2"/>
      <c r="V215" s="7">
        <f t="shared" si="123"/>
        <v>1.0938273028264169E-5</v>
      </c>
      <c r="W215" s="2"/>
      <c r="X215" s="6">
        <f t="shared" si="124"/>
        <v>-100</v>
      </c>
      <c r="Y215" s="2"/>
      <c r="Z215" s="7">
        <f t="shared" si="125"/>
        <v>-1</v>
      </c>
    </row>
    <row r="216" spans="1:26" s="24" customFormat="1" hidden="1" outlineLevel="2" x14ac:dyDescent="0.25">
      <c r="A216" s="26"/>
      <c r="B216" s="11" t="str">
        <f>CONCATENATE("          ", "6245", " - ", "PRINTING")</f>
        <v xml:space="preserve">          6245 - PRINTING</v>
      </c>
      <c r="C216" s="11"/>
      <c r="D216" s="6">
        <v>2921.89</v>
      </c>
      <c r="E216" s="2"/>
      <c r="F216" s="7">
        <f t="shared" si="118"/>
        <v>1.1046668525238432E-2</v>
      </c>
      <c r="G216" s="2"/>
      <c r="H216" s="6">
        <v>350</v>
      </c>
      <c r="I216" s="2"/>
      <c r="J216" s="7">
        <f t="shared" si="119"/>
        <v>9.5494826908805171E-4</v>
      </c>
      <c r="K216" s="2"/>
      <c r="L216" s="6">
        <f t="shared" si="120"/>
        <v>2571.89</v>
      </c>
      <c r="M216" s="2"/>
      <c r="N216" s="7">
        <f t="shared" si="121"/>
        <v>7.3482571428571424</v>
      </c>
      <c r="O216" s="11"/>
      <c r="P216" s="6">
        <v>12006.27</v>
      </c>
      <c r="Q216" s="2"/>
      <c r="R216" s="7">
        <f t="shared" si="122"/>
        <v>2.1933643236843789E-3</v>
      </c>
      <c r="S216" s="2"/>
      <c r="T216" s="6">
        <v>5700</v>
      </c>
      <c r="U216" s="2"/>
      <c r="V216" s="7">
        <f t="shared" si="123"/>
        <v>6.2348156261105763E-4</v>
      </c>
      <c r="W216" s="2"/>
      <c r="X216" s="6">
        <f t="shared" si="124"/>
        <v>6306.27</v>
      </c>
      <c r="Y216" s="2"/>
      <c r="Z216" s="7">
        <f t="shared" si="125"/>
        <v>1.1063631578947368</v>
      </c>
    </row>
    <row r="217" spans="1:26" s="24" customFormat="1" hidden="1" outlineLevel="2" x14ac:dyDescent="0.25">
      <c r="A217" s="26"/>
      <c r="B217" s="11" t="str">
        <f>CONCATENATE("          ", "6247", " - ", "STORE SUPPLIES")</f>
        <v xml:space="preserve">          6247 - STORE SUPPLIES</v>
      </c>
      <c r="C217" s="11"/>
      <c r="D217" s="6">
        <v>6700.08</v>
      </c>
      <c r="E217" s="2"/>
      <c r="F217" s="7">
        <f t="shared" si="118"/>
        <v>2.5330715000420792E-2</v>
      </c>
      <c r="G217" s="2"/>
      <c r="H217" s="6">
        <v>2675</v>
      </c>
      <c r="I217" s="2"/>
      <c r="J217" s="7">
        <f t="shared" si="119"/>
        <v>7.2985331994586808E-3</v>
      </c>
      <c r="K217" s="2"/>
      <c r="L217" s="6">
        <f t="shared" si="120"/>
        <v>4025.08</v>
      </c>
      <c r="M217" s="2"/>
      <c r="N217" s="7">
        <f t="shared" si="121"/>
        <v>1.5047028037383177</v>
      </c>
      <c r="O217" s="11"/>
      <c r="P217" s="6">
        <v>53947.95</v>
      </c>
      <c r="Q217" s="2"/>
      <c r="R217" s="7">
        <f t="shared" si="122"/>
        <v>9.8554762524837997E-3</v>
      </c>
      <c r="S217" s="2"/>
      <c r="T217" s="6">
        <v>33950</v>
      </c>
      <c r="U217" s="2"/>
      <c r="V217" s="7">
        <f t="shared" si="123"/>
        <v>3.7135436930956856E-3</v>
      </c>
      <c r="W217" s="2"/>
      <c r="X217" s="6">
        <f t="shared" si="124"/>
        <v>19997.949999999997</v>
      </c>
      <c r="Y217" s="2"/>
      <c r="Z217" s="7">
        <f t="shared" si="125"/>
        <v>0.58904123711340195</v>
      </c>
    </row>
    <row r="218" spans="1:26" s="24" customFormat="1" hidden="1" outlineLevel="2" x14ac:dyDescent="0.25">
      <c r="A218" s="26"/>
      <c r="B218" s="11" t="str">
        <f>CONCATENATE("          ", "6248", " - ", "UNIFORMS")</f>
        <v xml:space="preserve">          6248 - UNIFORMS</v>
      </c>
      <c r="C218" s="11"/>
      <c r="D218" s="6"/>
      <c r="E218" s="2"/>
      <c r="F218" s="7">
        <f t="shared" si="118"/>
        <v>0</v>
      </c>
      <c r="G218" s="2"/>
      <c r="H218" s="6">
        <v>1500</v>
      </c>
      <c r="I218" s="2"/>
      <c r="J218" s="7">
        <f t="shared" si="119"/>
        <v>4.092635438948793E-3</v>
      </c>
      <c r="K218" s="2"/>
      <c r="L218" s="6">
        <f t="shared" si="120"/>
        <v>-1500</v>
      </c>
      <c r="M218" s="2"/>
      <c r="N218" s="7">
        <f t="shared" si="121"/>
        <v>-1</v>
      </c>
      <c r="O218" s="11"/>
      <c r="P218" s="6"/>
      <c r="Q218" s="2"/>
      <c r="R218" s="7">
        <f t="shared" si="122"/>
        <v>0</v>
      </c>
      <c r="S218" s="2"/>
      <c r="T218" s="6">
        <v>18200</v>
      </c>
      <c r="U218" s="2"/>
      <c r="V218" s="7">
        <f t="shared" si="123"/>
        <v>1.9907656911440788E-3</v>
      </c>
      <c r="W218" s="2"/>
      <c r="X218" s="6">
        <f t="shared" si="124"/>
        <v>-18200</v>
      </c>
      <c r="Y218" s="2"/>
      <c r="Z218" s="7">
        <f t="shared" si="125"/>
        <v>-1</v>
      </c>
    </row>
    <row r="219" spans="1:26" s="27" customFormat="1" outlineLevel="1" collapsed="1" x14ac:dyDescent="0.25">
      <c r="A219" s="25"/>
      <c r="B219" s="13" t="str">
        <f>CONCATENATE("     ","Telephone/Data Lines                              ")</f>
        <v xml:space="preserve">     Telephone/Data Lines                              </v>
      </c>
      <c r="C219" s="13"/>
      <c r="D219" s="1">
        <f>SUM(OSRRefD22_21x_0)</f>
        <v>2502.3200000000002</v>
      </c>
      <c r="E219" s="1"/>
      <c r="F219" s="5">
        <f t="shared" ref="F219:F221" si="126">IF(D$12=0,0,D219/D$12)</f>
        <v>9.4604176009619231E-3</v>
      </c>
      <c r="G219" s="1"/>
      <c r="H219" s="1">
        <f>SUM(OSRRefH22_21x_0)</f>
        <v>2295</v>
      </c>
      <c r="I219" s="1"/>
      <c r="J219" s="5">
        <f t="shared" ref="J219:J221" si="127">IF(H$12=0,0,H219/H$12)</f>
        <v>6.2617322215916529E-3</v>
      </c>
      <c r="K219" s="1"/>
      <c r="L219" s="1">
        <f t="shared" ref="L219:L221" si="128">+D219-H219</f>
        <v>207.32000000000016</v>
      </c>
      <c r="M219" s="1"/>
      <c r="N219" s="5">
        <f t="shared" ref="N219:N221" si="129">IF(H219=0,0,L219/H219)</f>
        <v>9.0335511982570879E-2</v>
      </c>
      <c r="O219" s="13"/>
      <c r="P219" s="1">
        <f>SUM(OSRRefP22_21x_0)</f>
        <v>26185.1</v>
      </c>
      <c r="Q219" s="1"/>
      <c r="R219" s="5">
        <f t="shared" ref="R219:R221" si="130">IF(P$12=0,0,P219/P$12)</f>
        <v>4.7836225698828878E-3</v>
      </c>
      <c r="S219" s="1"/>
      <c r="T219" s="1">
        <f>SUM(OSRRefT22_21x_0)</f>
        <v>29840</v>
      </c>
      <c r="U219" s="1"/>
      <c r="V219" s="5">
        <f t="shared" ref="V219:V221" si="131">IF(T$12=0,0,T219/T$12)</f>
        <v>3.263980671634028E-3</v>
      </c>
      <c r="W219" s="1"/>
      <c r="X219" s="1">
        <f t="shared" ref="X219:X221" si="132">+P219-T219</f>
        <v>-3654.9000000000015</v>
      </c>
      <c r="Y219" s="1"/>
      <c r="Z219" s="5">
        <f t="shared" ref="Z219:Z221" si="133">IF(T219=0,0,X219/T219)</f>
        <v>-0.12248324396782846</v>
      </c>
    </row>
    <row r="220" spans="1:26" s="24" customFormat="1" hidden="1" outlineLevel="2" x14ac:dyDescent="0.25">
      <c r="A220" s="26"/>
      <c r="B220" s="11" t="str">
        <f>CONCATENATE("          ", "6303", " - ", "DATA PHONE LINES")</f>
        <v xml:space="preserve">          6303 - DATA PHONE LINES</v>
      </c>
      <c r="C220" s="11"/>
      <c r="D220" s="6"/>
      <c r="E220" s="2"/>
      <c r="F220" s="7">
        <f t="shared" si="126"/>
        <v>0</v>
      </c>
      <c r="G220" s="2"/>
      <c r="H220" s="6">
        <v>630</v>
      </c>
      <c r="I220" s="2"/>
      <c r="J220" s="7">
        <f t="shared" si="127"/>
        <v>1.718906884358493E-3</v>
      </c>
      <c r="K220" s="2"/>
      <c r="L220" s="6">
        <f t="shared" si="128"/>
        <v>-630</v>
      </c>
      <c r="M220" s="2"/>
      <c r="N220" s="7">
        <f t="shared" si="129"/>
        <v>-1</v>
      </c>
      <c r="O220" s="11"/>
      <c r="P220" s="6">
        <v>3540</v>
      </c>
      <c r="Q220" s="2"/>
      <c r="R220" s="7">
        <f t="shared" si="130"/>
        <v>6.4670457234783992E-4</v>
      </c>
      <c r="S220" s="2"/>
      <c r="T220" s="6">
        <v>7560</v>
      </c>
      <c r="U220" s="2"/>
      <c r="V220" s="7">
        <f t="shared" si="131"/>
        <v>8.2693344093677122E-4</v>
      </c>
      <c r="W220" s="2"/>
      <c r="X220" s="6">
        <f t="shared" si="132"/>
        <v>-4020</v>
      </c>
      <c r="Y220" s="2"/>
      <c r="Z220" s="7">
        <f t="shared" si="133"/>
        <v>-0.53174603174603174</v>
      </c>
    </row>
    <row r="221" spans="1:26" s="24" customFormat="1" hidden="1" outlineLevel="2" x14ac:dyDescent="0.25">
      <c r="A221" s="26"/>
      <c r="B221" s="11" t="str">
        <f>CONCATENATE("          ", "6309", " - ", "TELEPHONE")</f>
        <v xml:space="preserve">          6309 - TELEPHONE</v>
      </c>
      <c r="C221" s="11"/>
      <c r="D221" s="6">
        <v>2502.3200000000002</v>
      </c>
      <c r="E221" s="2"/>
      <c r="F221" s="7">
        <f t="shared" si="126"/>
        <v>9.4604176009619231E-3</v>
      </c>
      <c r="G221" s="2"/>
      <c r="H221" s="6">
        <v>1665</v>
      </c>
      <c r="I221" s="2"/>
      <c r="J221" s="7">
        <f t="shared" si="127"/>
        <v>4.5428253372331601E-3</v>
      </c>
      <c r="K221" s="2"/>
      <c r="L221" s="6">
        <f t="shared" si="128"/>
        <v>837.32000000000016</v>
      </c>
      <c r="M221" s="2"/>
      <c r="N221" s="7">
        <f t="shared" si="129"/>
        <v>0.50289489489489503</v>
      </c>
      <c r="O221" s="11"/>
      <c r="P221" s="6">
        <v>22645.1</v>
      </c>
      <c r="Q221" s="2"/>
      <c r="R221" s="7">
        <f t="shared" si="130"/>
        <v>4.136917997535048E-3</v>
      </c>
      <c r="S221" s="2"/>
      <c r="T221" s="6">
        <v>22280</v>
      </c>
      <c r="U221" s="2"/>
      <c r="V221" s="7">
        <f t="shared" si="131"/>
        <v>2.4370472306972568E-3</v>
      </c>
      <c r="W221" s="2"/>
      <c r="X221" s="6">
        <f t="shared" si="132"/>
        <v>365.09999999999854</v>
      </c>
      <c r="Y221" s="2"/>
      <c r="Z221" s="7">
        <f t="shared" si="133"/>
        <v>1.6386894075403884E-2</v>
      </c>
    </row>
    <row r="222" spans="1:26" s="27" customFormat="1" outlineLevel="1" collapsed="1" x14ac:dyDescent="0.25">
      <c r="A222" s="25"/>
      <c r="B222" s="13" t="str">
        <f>CONCATENATE("     ","Training                                          ")</f>
        <v xml:space="preserve">     Training                                          </v>
      </c>
      <c r="C222" s="13"/>
      <c r="D222" s="1">
        <f>SUM(OSRRefD22_22x_0)</f>
        <v>0</v>
      </c>
      <c r="E222" s="1"/>
      <c r="F222" s="5">
        <f t="shared" ref="F222:F227" si="134">IF(D$12=0,0,D222/D$12)</f>
        <v>0</v>
      </c>
      <c r="G222" s="1"/>
      <c r="H222" s="1">
        <f>SUM(OSRRefH22_22x_0)</f>
        <v>0</v>
      </c>
      <c r="I222" s="1"/>
      <c r="J222" s="5">
        <f t="shared" ref="J222:J227" si="135">IF(H$12=0,0,H222/H$12)</f>
        <v>0</v>
      </c>
      <c r="K222" s="1"/>
      <c r="L222" s="1">
        <f t="shared" ref="L222:L227" si="136">+D222-H222</f>
        <v>0</v>
      </c>
      <c r="M222" s="1"/>
      <c r="N222" s="5">
        <f t="shared" ref="N222:N227" si="137">IF(H222=0,0,L222/H222)</f>
        <v>0</v>
      </c>
      <c r="O222" s="13"/>
      <c r="P222" s="1">
        <f>SUM(OSRRefP22_22x_0)</f>
        <v>895.63</v>
      </c>
      <c r="Q222" s="1"/>
      <c r="R222" s="5">
        <f t="shared" ref="R222:R227" si="138">IF(P$12=0,0,P222/P$12)</f>
        <v>1.6361808365307793E-4</v>
      </c>
      <c r="S222" s="1"/>
      <c r="T222" s="1">
        <f>SUM(OSRRefT22_22x_0)</f>
        <v>11970</v>
      </c>
      <c r="U222" s="1"/>
      <c r="V222" s="5">
        <f t="shared" ref="V222:V227" si="139">IF(T$12=0,0,T222/T$12)</f>
        <v>1.3093112814832211E-3</v>
      </c>
      <c r="W222" s="1"/>
      <c r="X222" s="1">
        <f t="shared" ref="X222:X227" si="140">+P222-T222</f>
        <v>-11074.37</v>
      </c>
      <c r="Y222" s="1"/>
      <c r="Z222" s="5">
        <f t="shared" ref="Z222:Z227" si="141">IF(T222=0,0,X222/T222)</f>
        <v>-0.92517710944026743</v>
      </c>
    </row>
    <row r="223" spans="1:26" s="24" customFormat="1" hidden="1" outlineLevel="2" x14ac:dyDescent="0.25">
      <c r="A223" s="26"/>
      <c r="B223" s="11" t="str">
        <f>CONCATENATE("          ", "6376", " - ", "TRAINING")</f>
        <v xml:space="preserve">          6376 - TRAINING</v>
      </c>
      <c r="C223" s="11"/>
      <c r="D223" s="6"/>
      <c r="E223" s="2"/>
      <c r="F223" s="7">
        <f t="shared" si="134"/>
        <v>0</v>
      </c>
      <c r="G223" s="2"/>
      <c r="H223" s="6">
        <v>0</v>
      </c>
      <c r="I223" s="2"/>
      <c r="J223" s="7">
        <f t="shared" si="135"/>
        <v>0</v>
      </c>
      <c r="K223" s="2"/>
      <c r="L223" s="6">
        <f t="shared" si="136"/>
        <v>0</v>
      </c>
      <c r="M223" s="2"/>
      <c r="N223" s="7">
        <f t="shared" si="137"/>
        <v>0</v>
      </c>
      <c r="O223" s="11"/>
      <c r="P223" s="6">
        <v>895.63</v>
      </c>
      <c r="Q223" s="2"/>
      <c r="R223" s="7">
        <f t="shared" si="138"/>
        <v>1.6361808365307793E-4</v>
      </c>
      <c r="S223" s="2"/>
      <c r="T223" s="6">
        <v>11970</v>
      </c>
      <c r="U223" s="2"/>
      <c r="V223" s="7">
        <f t="shared" si="139"/>
        <v>1.3093112814832211E-3</v>
      </c>
      <c r="W223" s="2"/>
      <c r="X223" s="6">
        <f t="shared" si="140"/>
        <v>-11074.37</v>
      </c>
      <c r="Y223" s="2"/>
      <c r="Z223" s="7">
        <f t="shared" si="141"/>
        <v>-0.92517710944026743</v>
      </c>
    </row>
    <row r="224" spans="1:26" s="27" customFormat="1" outlineLevel="1" collapsed="1" x14ac:dyDescent="0.25">
      <c r="A224" s="25"/>
      <c r="B224" s="13" t="str">
        <f>CONCATENATE("     ","Travel                                            ")</f>
        <v xml:space="preserve">     Travel                                            </v>
      </c>
      <c r="C224" s="13"/>
      <c r="D224" s="1">
        <f>SUM(OSRRefD22_23x_0)</f>
        <v>67.62</v>
      </c>
      <c r="E224" s="1"/>
      <c r="F224" s="5">
        <f t="shared" si="134"/>
        <v>2.5564813380264927E-4</v>
      </c>
      <c r="G224" s="1"/>
      <c r="H224" s="1">
        <f>SUM(OSRRefH22_23x_0)</f>
        <v>50</v>
      </c>
      <c r="I224" s="1"/>
      <c r="J224" s="5">
        <f t="shared" si="135"/>
        <v>1.364211812982931E-4</v>
      </c>
      <c r="K224" s="1"/>
      <c r="L224" s="1">
        <f t="shared" si="136"/>
        <v>17.620000000000005</v>
      </c>
      <c r="M224" s="1"/>
      <c r="N224" s="5">
        <f t="shared" si="137"/>
        <v>0.3524000000000001</v>
      </c>
      <c r="O224" s="13"/>
      <c r="P224" s="1">
        <f>SUM(OSRRefP22_23x_0)</f>
        <v>1040.0200000000002</v>
      </c>
      <c r="Q224" s="1"/>
      <c r="R224" s="5">
        <f t="shared" si="138"/>
        <v>1.8999595743875725E-4</v>
      </c>
      <c r="S224" s="1"/>
      <c r="T224" s="1">
        <f>SUM(OSRRefT22_23x_0)</f>
        <v>800</v>
      </c>
      <c r="U224" s="1"/>
      <c r="V224" s="5">
        <f t="shared" si="139"/>
        <v>8.7506184226113354E-5</v>
      </c>
      <c r="W224" s="1"/>
      <c r="X224" s="1">
        <f t="shared" si="140"/>
        <v>240.02000000000021</v>
      </c>
      <c r="Y224" s="1"/>
      <c r="Z224" s="5">
        <f t="shared" si="141"/>
        <v>0.30002500000000026</v>
      </c>
    </row>
    <row r="225" spans="1:26" s="24" customFormat="1" hidden="1" outlineLevel="2" x14ac:dyDescent="0.25">
      <c r="A225" s="26"/>
      <c r="B225" s="11" t="str">
        <f>CONCATENATE("          ", "6292", " - ", "TRAVEL/CONFERENCE")</f>
        <v xml:space="preserve">          6292 - TRAVEL/CONFERENCE</v>
      </c>
      <c r="C225" s="11"/>
      <c r="D225" s="6"/>
      <c r="E225" s="2"/>
      <c r="F225" s="7">
        <f t="shared" si="134"/>
        <v>0</v>
      </c>
      <c r="G225" s="2"/>
      <c r="H225" s="6"/>
      <c r="I225" s="2"/>
      <c r="J225" s="7">
        <f t="shared" si="135"/>
        <v>0</v>
      </c>
      <c r="K225" s="2"/>
      <c r="L225" s="6">
        <f t="shared" si="136"/>
        <v>0</v>
      </c>
      <c r="M225" s="2"/>
      <c r="N225" s="7">
        <f t="shared" si="137"/>
        <v>0</v>
      </c>
      <c r="O225" s="11"/>
      <c r="P225" s="6">
        <v>299.16000000000003</v>
      </c>
      <c r="Q225" s="2"/>
      <c r="R225" s="7">
        <f t="shared" si="138"/>
        <v>5.4652016910615768E-5</v>
      </c>
      <c r="S225" s="2"/>
      <c r="T225" s="6">
        <v>0</v>
      </c>
      <c r="U225" s="2"/>
      <c r="V225" s="7">
        <f t="shared" si="139"/>
        <v>0</v>
      </c>
      <c r="W225" s="2"/>
      <c r="X225" s="6">
        <f t="shared" si="140"/>
        <v>299.16000000000003</v>
      </c>
      <c r="Y225" s="2"/>
      <c r="Z225" s="7">
        <f t="shared" si="141"/>
        <v>0</v>
      </c>
    </row>
    <row r="226" spans="1:26" s="24" customFormat="1" hidden="1" outlineLevel="2" x14ac:dyDescent="0.25">
      <c r="A226" s="26"/>
      <c r="B226" s="11" t="str">
        <f>CONCATENATE("          ", "6294", " - ", "TRAVEL OPERATIONAL")</f>
        <v xml:space="preserve">          6294 - TRAVEL OPERATIONAL</v>
      </c>
      <c r="C226" s="11"/>
      <c r="D226" s="6">
        <v>67.62</v>
      </c>
      <c r="E226" s="2"/>
      <c r="F226" s="7">
        <f t="shared" si="134"/>
        <v>2.5564813380264927E-4</v>
      </c>
      <c r="G226" s="2"/>
      <c r="H226" s="6">
        <v>25</v>
      </c>
      <c r="I226" s="2"/>
      <c r="J226" s="7">
        <f t="shared" si="135"/>
        <v>6.8210590649146548E-5</v>
      </c>
      <c r="K226" s="2"/>
      <c r="L226" s="6">
        <f t="shared" si="136"/>
        <v>42.620000000000005</v>
      </c>
      <c r="M226" s="2"/>
      <c r="N226" s="7">
        <f t="shared" si="137"/>
        <v>1.7048000000000001</v>
      </c>
      <c r="O226" s="11"/>
      <c r="P226" s="6">
        <v>680.97</v>
      </c>
      <c r="Q226" s="2"/>
      <c r="R226" s="7">
        <f t="shared" si="138"/>
        <v>1.2440294142138661E-4</v>
      </c>
      <c r="S226" s="2"/>
      <c r="T226" s="6">
        <v>300</v>
      </c>
      <c r="U226" s="2"/>
      <c r="V226" s="7">
        <f t="shared" si="139"/>
        <v>3.2814819084792506E-5</v>
      </c>
      <c r="W226" s="2"/>
      <c r="X226" s="6">
        <f t="shared" si="140"/>
        <v>380.97</v>
      </c>
      <c r="Y226" s="2"/>
      <c r="Z226" s="7">
        <f t="shared" si="141"/>
        <v>1.2699</v>
      </c>
    </row>
    <row r="227" spans="1:26" s="24" customFormat="1" hidden="1" outlineLevel="2" x14ac:dyDescent="0.25">
      <c r="A227" s="26"/>
      <c r="B227" s="11" t="str">
        <f>CONCATENATE("          ", "6298", " - ", "VEHICLE MILEAGE")</f>
        <v xml:space="preserve">          6298 - VEHICLE MILEAGE</v>
      </c>
      <c r="C227" s="11"/>
      <c r="D227" s="6"/>
      <c r="E227" s="2"/>
      <c r="F227" s="7">
        <f t="shared" si="134"/>
        <v>0</v>
      </c>
      <c r="G227" s="2"/>
      <c r="H227" s="6">
        <v>25</v>
      </c>
      <c r="I227" s="2"/>
      <c r="J227" s="7">
        <f t="shared" si="135"/>
        <v>6.8210590649146548E-5</v>
      </c>
      <c r="K227" s="2"/>
      <c r="L227" s="6">
        <f t="shared" si="136"/>
        <v>-25</v>
      </c>
      <c r="M227" s="2"/>
      <c r="N227" s="7">
        <f t="shared" si="137"/>
        <v>-1</v>
      </c>
      <c r="O227" s="11"/>
      <c r="P227" s="6">
        <v>59.89</v>
      </c>
      <c r="Q227" s="2"/>
      <c r="R227" s="7">
        <f t="shared" si="138"/>
        <v>1.094099910675484E-5</v>
      </c>
      <c r="S227" s="2"/>
      <c r="T227" s="6">
        <v>500</v>
      </c>
      <c r="U227" s="2"/>
      <c r="V227" s="7">
        <f t="shared" si="139"/>
        <v>5.4691365141320848E-5</v>
      </c>
      <c r="W227" s="2"/>
      <c r="X227" s="6">
        <f t="shared" si="140"/>
        <v>-440.11</v>
      </c>
      <c r="Y227" s="2"/>
      <c r="Z227" s="7">
        <f t="shared" si="141"/>
        <v>-0.88022</v>
      </c>
    </row>
    <row r="228" spans="1:26" s="27" customFormat="1" outlineLevel="1" collapsed="1" x14ac:dyDescent="0.25">
      <c r="A228" s="25"/>
      <c r="B228" s="13" t="str">
        <f>CONCATENATE("     ","Utilities                                         ")</f>
        <v xml:space="preserve">     Utilities                                         </v>
      </c>
      <c r="C228" s="13"/>
      <c r="D228" s="1">
        <f>SUM(OSRRefD22_24x_0)</f>
        <v>5512.94</v>
      </c>
      <c r="E228" s="1"/>
      <c r="F228" s="5">
        <f t="shared" ref="F228:F229" si="142">IF(D$12=0,0,D228/D$12)</f>
        <v>2.084254396282131E-2</v>
      </c>
      <c r="G228" s="1"/>
      <c r="H228" s="1">
        <f>SUM(OSRRefH22_24x_0)</f>
        <v>6105</v>
      </c>
      <c r="I228" s="1"/>
      <c r="J228" s="5">
        <f t="shared" ref="J228:J229" si="143">IF(H$12=0,0,H228/H$12)</f>
        <v>1.6657026236521589E-2</v>
      </c>
      <c r="K228" s="1"/>
      <c r="L228" s="1">
        <f t="shared" ref="L228:L229" si="144">+D228-H228</f>
        <v>-592.0600000000004</v>
      </c>
      <c r="M228" s="1"/>
      <c r="N228" s="5">
        <f t="shared" ref="N228:N229" si="145">IF(H228=0,0,L228/H228)</f>
        <v>-9.6979524979525042E-2</v>
      </c>
      <c r="O228" s="13"/>
      <c r="P228" s="1">
        <f>SUM(OSRRefP22_24x_0)</f>
        <v>70355.39</v>
      </c>
      <c r="Q228" s="1"/>
      <c r="R228" s="5">
        <f t="shared" ref="R228:R229" si="146">IF(P$12=0,0,P228/P$12)</f>
        <v>1.2852867910258615E-2</v>
      </c>
      <c r="S228" s="1"/>
      <c r="T228" s="1">
        <f>SUM(OSRRefT22_24x_0)</f>
        <v>76240</v>
      </c>
      <c r="U228" s="1"/>
      <c r="V228" s="5">
        <f t="shared" ref="V228:V229" si="147">IF(T$12=0,0,T228/T$12)</f>
        <v>8.3393393567486023E-3</v>
      </c>
      <c r="W228" s="1"/>
      <c r="X228" s="1">
        <f t="shared" ref="X228:X229" si="148">+P228-T228</f>
        <v>-5884.6100000000006</v>
      </c>
      <c r="Y228" s="1"/>
      <c r="Z228" s="5">
        <f t="shared" ref="Z228:Z229" si="149">IF(T228=0,0,X228/T228)</f>
        <v>-7.7185335781741873E-2</v>
      </c>
    </row>
    <row r="229" spans="1:26" s="24" customFormat="1" hidden="1" outlineLevel="2" x14ac:dyDescent="0.25">
      <c r="A229" s="26"/>
      <c r="B229" s="11" t="str">
        <f>CONCATENATE("          ", "6274", " - ", "UTILITIES")</f>
        <v xml:space="preserve">          6274 - UTILITIES</v>
      </c>
      <c r="C229" s="11"/>
      <c r="D229" s="6">
        <v>5512.94</v>
      </c>
      <c r="E229" s="2"/>
      <c r="F229" s="7">
        <f t="shared" si="142"/>
        <v>2.084254396282131E-2</v>
      </c>
      <c r="G229" s="2"/>
      <c r="H229" s="6">
        <v>6105</v>
      </c>
      <c r="I229" s="2"/>
      <c r="J229" s="7">
        <f t="shared" si="143"/>
        <v>1.6657026236521589E-2</v>
      </c>
      <c r="K229" s="2"/>
      <c r="L229" s="6">
        <f t="shared" si="144"/>
        <v>-592.0600000000004</v>
      </c>
      <c r="M229" s="2"/>
      <c r="N229" s="7">
        <f t="shared" si="145"/>
        <v>-9.6979524979525042E-2</v>
      </c>
      <c r="O229" s="11"/>
      <c r="P229" s="6">
        <v>70355.39</v>
      </c>
      <c r="Q229" s="2"/>
      <c r="R229" s="7">
        <f t="shared" si="146"/>
        <v>1.2852867910258615E-2</v>
      </c>
      <c r="S229" s="2"/>
      <c r="T229" s="6">
        <v>76240</v>
      </c>
      <c r="U229" s="2"/>
      <c r="V229" s="7">
        <f t="shared" si="147"/>
        <v>8.3393393567486023E-3</v>
      </c>
      <c r="W229" s="2"/>
      <c r="X229" s="6">
        <f t="shared" si="148"/>
        <v>-5884.6100000000006</v>
      </c>
      <c r="Y229" s="2"/>
      <c r="Z229" s="7">
        <f t="shared" si="149"/>
        <v>-7.7185335781741873E-2</v>
      </c>
    </row>
    <row r="230" spans="1:26" s="61" customFormat="1" x14ac:dyDescent="0.25">
      <c r="A230" s="36"/>
      <c r="B230" s="36"/>
      <c r="C230" s="36"/>
      <c r="D230" s="1"/>
      <c r="E230" s="1"/>
      <c r="F230" s="5"/>
      <c r="G230" s="1"/>
      <c r="H230" s="1"/>
      <c r="I230" s="1"/>
      <c r="J230" s="5"/>
      <c r="K230" s="1"/>
      <c r="L230" s="1"/>
      <c r="M230" s="1"/>
      <c r="N230" s="5"/>
      <c r="O230" s="36"/>
      <c r="P230" s="1"/>
      <c r="Q230" s="1"/>
      <c r="R230" s="5"/>
      <c r="S230" s="1"/>
      <c r="T230" s="1"/>
      <c r="U230" s="1"/>
      <c r="V230" s="5"/>
      <c r="W230" s="1"/>
      <c r="X230" s="1"/>
      <c r="Y230" s="1"/>
      <c r="Z230" s="5"/>
    </row>
    <row r="231" spans="1:26" s="23" customFormat="1" collapsed="1" x14ac:dyDescent="0.25">
      <c r="A231" s="10"/>
      <c r="B231" s="29" t="s">
        <v>293</v>
      </c>
      <c r="C231" s="10"/>
      <c r="D231" s="4">
        <f>SUM(OSRRefD25x_0)</f>
        <v>401496.27999999997</v>
      </c>
      <c r="E231" s="4"/>
      <c r="F231" s="12">
        <f t="shared" ref="F231:F236" si="150">IF(D$12=0,0,D231/D$12)</f>
        <v>1.5179203595194604</v>
      </c>
      <c r="G231" s="4"/>
      <c r="H231" s="4">
        <f>SUM(OSRRefH25x_0)</f>
        <v>250345</v>
      </c>
      <c r="I231" s="4"/>
      <c r="J231" s="12">
        <f t="shared" ref="J231:J236" si="151">IF(H$12=0,0,H231/H$12)</f>
        <v>0.68304721264242374</v>
      </c>
      <c r="K231" s="4"/>
      <c r="L231" s="4">
        <f t="shared" ref="L231:L236" si="152">+D231-H231</f>
        <v>151151.27999999997</v>
      </c>
      <c r="M231" s="4"/>
      <c r="N231" s="12">
        <f t="shared" ref="N231:N236" si="153">IF(H231=0,0,L231/H231)</f>
        <v>0.60377191475763436</v>
      </c>
      <c r="O231" s="10"/>
      <c r="P231" s="4">
        <f>SUM(OSRRefP25x_0)</f>
        <v>1454588.11</v>
      </c>
      <c r="Q231" s="4"/>
      <c r="R231" s="12">
        <f t="shared" ref="R231:R236" si="154">IF(P$12=0,0,P231/P$12)</f>
        <v>0.26573129424288217</v>
      </c>
      <c r="S231" s="4"/>
      <c r="T231" s="4">
        <f>SUM(OSRRefT25x_0)</f>
        <v>1160740</v>
      </c>
      <c r="U231" s="4"/>
      <c r="V231" s="12">
        <f t="shared" ref="V231:V236" si="155">IF(T$12=0,0,T231/T$12)</f>
        <v>0.12696491034827351</v>
      </c>
      <c r="W231" s="4"/>
      <c r="X231" s="4">
        <f t="shared" ref="X231:X236" si="156">+P231-T231</f>
        <v>293848.1100000001</v>
      </c>
      <c r="Y231" s="4"/>
      <c r="Z231" s="12">
        <f t="shared" ref="Z231:Z236" si="157">IF(T231=0,0,X231/T231)</f>
        <v>0.25315584023984711</v>
      </c>
    </row>
    <row r="232" spans="1:26" s="24" customFormat="1" hidden="1" outlineLevel="1" x14ac:dyDescent="0.25">
      <c r="A232" s="44"/>
      <c r="B232" s="11" t="str">
        <f>CONCATENATE("          ", "4098", " - ", "TAXABLE SALES-GRAD RENTALS")</f>
        <v xml:space="preserve">          4098 - TAXABLE SALES-GRAD RENTALS</v>
      </c>
      <c r="C232" s="11"/>
      <c r="D232" s="2">
        <f>--1017.7</f>
        <v>1017.7</v>
      </c>
      <c r="E232" s="2"/>
      <c r="F232" s="19">
        <f t="shared" si="150"/>
        <v>3.847576246243066E-3</v>
      </c>
      <c r="G232" s="2"/>
      <c r="H232" s="2"/>
      <c r="I232" s="2"/>
      <c r="J232" s="19">
        <f t="shared" si="151"/>
        <v>0</v>
      </c>
      <c r="K232" s="2"/>
      <c r="L232" s="2">
        <f t="shared" si="152"/>
        <v>1017.7</v>
      </c>
      <c r="M232" s="2"/>
      <c r="N232" s="19">
        <f t="shared" si="153"/>
        <v>0</v>
      </c>
      <c r="O232" s="11"/>
      <c r="P232" s="2">
        <f>--1067.65</f>
        <v>1067.6500000000001</v>
      </c>
      <c r="Q232" s="2"/>
      <c r="R232" s="19">
        <f t="shared" si="154"/>
        <v>1.9504354143140435E-4</v>
      </c>
      <c r="S232" s="2"/>
      <c r="T232" s="2"/>
      <c r="U232" s="2"/>
      <c r="V232" s="19">
        <f t="shared" si="155"/>
        <v>0</v>
      </c>
      <c r="W232" s="2"/>
      <c r="X232" s="2">
        <f t="shared" si="156"/>
        <v>1067.6500000000001</v>
      </c>
      <c r="Y232" s="2"/>
      <c r="Z232" s="19">
        <f t="shared" si="157"/>
        <v>0</v>
      </c>
    </row>
    <row r="233" spans="1:26" s="24" customFormat="1" hidden="1" outlineLevel="1" x14ac:dyDescent="0.25">
      <c r="A233" s="44"/>
      <c r="B233" s="11" t="str">
        <f>CONCATENATE("          ", "9150", " - ", "MISC. INCOME")</f>
        <v xml:space="preserve">          9150 - MISC. INCOME</v>
      </c>
      <c r="C233" s="11"/>
      <c r="D233" s="2">
        <f>--19962.55</f>
        <v>19962.55</v>
      </c>
      <c r="E233" s="2"/>
      <c r="F233" s="19">
        <f t="shared" si="150"/>
        <v>7.547158612011351E-2</v>
      </c>
      <c r="G233" s="2"/>
      <c r="H233" s="2">
        <v>19750</v>
      </c>
      <c r="I233" s="2"/>
      <c r="J233" s="19">
        <f t="shared" si="151"/>
        <v>5.3886366612825774E-2</v>
      </c>
      <c r="K233" s="2"/>
      <c r="L233" s="2">
        <f t="shared" si="152"/>
        <v>212.54999999999927</v>
      </c>
      <c r="M233" s="2"/>
      <c r="N233" s="19">
        <f t="shared" si="153"/>
        <v>1.076202531645566E-2</v>
      </c>
      <c r="O233" s="11"/>
      <c r="P233" s="2">
        <f>--423382.84</f>
        <v>423382.84</v>
      </c>
      <c r="Q233" s="2"/>
      <c r="R233" s="19">
        <f t="shared" si="154"/>
        <v>7.7345654938309027E-2</v>
      </c>
      <c r="S233" s="2"/>
      <c r="T233" s="2">
        <v>243700</v>
      </c>
      <c r="U233" s="2"/>
      <c r="V233" s="19">
        <f t="shared" si="155"/>
        <v>2.665657136987978E-2</v>
      </c>
      <c r="W233" s="2"/>
      <c r="X233" s="2">
        <f t="shared" si="156"/>
        <v>179682.84000000003</v>
      </c>
      <c r="Y233" s="2"/>
      <c r="Z233" s="19">
        <f t="shared" si="157"/>
        <v>0.7373116126384901</v>
      </c>
    </row>
    <row r="234" spans="1:26" s="24" customFormat="1" hidden="1" outlineLevel="1" x14ac:dyDescent="0.25">
      <c r="A234" s="44"/>
      <c r="B234" s="11" t="str">
        <f>CONCATENATE("          ", "9151", " - ", "MISC. INCOME")</f>
        <v xml:space="preserve">          9151 - MISC. INCOME</v>
      </c>
      <c r="C234" s="11"/>
      <c r="D234" s="2">
        <f>0</f>
        <v>0</v>
      </c>
      <c r="E234" s="2"/>
      <c r="F234" s="19">
        <f t="shared" si="150"/>
        <v>0</v>
      </c>
      <c r="G234" s="2"/>
      <c r="H234" s="2">
        <v>230595</v>
      </c>
      <c r="I234" s="2"/>
      <c r="J234" s="19">
        <f t="shared" si="151"/>
        <v>0.62916084602959799</v>
      </c>
      <c r="K234" s="2"/>
      <c r="L234" s="2">
        <f t="shared" si="152"/>
        <v>-230595</v>
      </c>
      <c r="M234" s="2"/>
      <c r="N234" s="19">
        <f t="shared" si="153"/>
        <v>-1</v>
      </c>
      <c r="O234" s="11"/>
      <c r="P234" s="2">
        <f>--295628.46</f>
        <v>295628.46000000002</v>
      </c>
      <c r="Q234" s="2"/>
      <c r="R234" s="19">
        <f t="shared" si="154"/>
        <v>5.4006857852584897E-2</v>
      </c>
      <c r="S234" s="2"/>
      <c r="T234" s="2">
        <v>917040</v>
      </c>
      <c r="U234" s="2"/>
      <c r="V234" s="19">
        <f t="shared" si="155"/>
        <v>0.10030833897839374</v>
      </c>
      <c r="W234" s="2"/>
      <c r="X234" s="2">
        <f t="shared" si="156"/>
        <v>-621411.54</v>
      </c>
      <c r="Y234" s="2"/>
      <c r="Z234" s="19">
        <f t="shared" si="157"/>
        <v>-0.67762751897409057</v>
      </c>
    </row>
    <row r="235" spans="1:26" s="24" customFormat="1" hidden="1" outlineLevel="1" x14ac:dyDescent="0.25">
      <c r="A235" s="44"/>
      <c r="B235" s="11" t="str">
        <f>CONCATENATE("          ", "9152", " - ", "MISC. INCOME")</f>
        <v xml:space="preserve">          9152 - MISC. INCOME</v>
      </c>
      <c r="C235" s="11"/>
      <c r="D235" s="2">
        <f>--1755.54</f>
        <v>1755.54</v>
      </c>
      <c r="E235" s="2"/>
      <c r="F235" s="19">
        <f t="shared" si="150"/>
        <v>6.6370973797087078E-3</v>
      </c>
      <c r="G235" s="2"/>
      <c r="H235" s="2"/>
      <c r="I235" s="2"/>
      <c r="J235" s="19">
        <f t="shared" si="151"/>
        <v>0</v>
      </c>
      <c r="K235" s="2"/>
      <c r="L235" s="2">
        <f t="shared" si="152"/>
        <v>1755.54</v>
      </c>
      <c r="M235" s="2"/>
      <c r="N235" s="19">
        <f t="shared" si="153"/>
        <v>0</v>
      </c>
      <c r="O235" s="11"/>
      <c r="P235" s="2">
        <f>--7408.11</f>
        <v>7408.11</v>
      </c>
      <c r="Q235" s="2"/>
      <c r="R235" s="19">
        <f t="shared" si="154"/>
        <v>1.3533498896767674E-3</v>
      </c>
      <c r="S235" s="2"/>
      <c r="T235" s="2"/>
      <c r="U235" s="2"/>
      <c r="V235" s="19">
        <f t="shared" si="155"/>
        <v>0</v>
      </c>
      <c r="W235" s="2"/>
      <c r="X235" s="2">
        <f t="shared" si="156"/>
        <v>7408.11</v>
      </c>
      <c r="Y235" s="2"/>
      <c r="Z235" s="19">
        <f t="shared" si="157"/>
        <v>0</v>
      </c>
    </row>
    <row r="236" spans="1:26" s="24" customFormat="1" hidden="1" outlineLevel="1" x14ac:dyDescent="0.25">
      <c r="A236" s="44"/>
      <c r="B236" s="11" t="str">
        <f>CONCATENATE("          ", "9163", " - ", "MISC. INCOME")</f>
        <v xml:space="preserve">          9163 - MISC. INCOME</v>
      </c>
      <c r="C236" s="11"/>
      <c r="D236" s="2">
        <f>--378760.49</f>
        <v>378760.49</v>
      </c>
      <c r="E236" s="2"/>
      <c r="F236" s="19">
        <f t="shared" si="150"/>
        <v>1.4319640997733951</v>
      </c>
      <c r="G236" s="2"/>
      <c r="H236" s="2"/>
      <c r="I236" s="2"/>
      <c r="J236" s="19">
        <f t="shared" si="151"/>
        <v>0</v>
      </c>
      <c r="K236" s="2"/>
      <c r="L236" s="2">
        <f t="shared" si="152"/>
        <v>378760.49</v>
      </c>
      <c r="M236" s="2"/>
      <c r="N236" s="19">
        <f t="shared" si="153"/>
        <v>0</v>
      </c>
      <c r="O236" s="11"/>
      <c r="P236" s="2">
        <f>--727101.05</f>
        <v>727101.05</v>
      </c>
      <c r="Q236" s="2"/>
      <c r="R236" s="19">
        <f t="shared" si="154"/>
        <v>0.13283038802088007</v>
      </c>
      <c r="S236" s="2"/>
      <c r="T236" s="2"/>
      <c r="U236" s="2"/>
      <c r="V236" s="19">
        <f t="shared" si="155"/>
        <v>0</v>
      </c>
      <c r="W236" s="2"/>
      <c r="X236" s="2">
        <f t="shared" si="156"/>
        <v>727101.05</v>
      </c>
      <c r="Y236" s="2"/>
      <c r="Z236" s="19">
        <f t="shared" si="157"/>
        <v>0</v>
      </c>
    </row>
    <row r="237" spans="1:26" x14ac:dyDescent="0.25">
      <c r="A237" s="9"/>
      <c r="B237" s="10"/>
      <c r="C237" s="10"/>
      <c r="D237" s="3"/>
      <c r="E237" s="3"/>
      <c r="F237" s="8"/>
      <c r="G237" s="3"/>
      <c r="H237" s="3"/>
      <c r="I237" s="3"/>
      <c r="J237" s="8"/>
      <c r="K237" s="3"/>
      <c r="L237" s="3"/>
      <c r="M237" s="3"/>
      <c r="N237" s="8"/>
      <c r="O237" s="10"/>
      <c r="P237" s="3"/>
      <c r="Q237" s="3"/>
      <c r="R237" s="8"/>
      <c r="S237" s="3"/>
      <c r="T237" s="3"/>
      <c r="U237" s="3"/>
      <c r="V237" s="8"/>
      <c r="W237" s="3"/>
      <c r="X237" s="3"/>
      <c r="Y237" s="3"/>
      <c r="Z237" s="8"/>
    </row>
    <row r="238" spans="1:26" s="23" customFormat="1" x14ac:dyDescent="0.25">
      <c r="A238" s="10"/>
      <c r="B238" s="28" t="s">
        <v>277</v>
      </c>
      <c r="C238" s="28"/>
      <c r="D238" s="20">
        <f>+D130-D132+D231</f>
        <v>153233.36000000007</v>
      </c>
      <c r="E238" s="14"/>
      <c r="F238" s="22">
        <f>IF(D$12=0,0,D238/D$12)</f>
        <v>0.57932301863811797</v>
      </c>
      <c r="G238" s="14"/>
      <c r="H238" s="20">
        <f>+H130-H132+H231</f>
        <v>109309.33390799654</v>
      </c>
      <c r="I238" s="14"/>
      <c r="J238" s="22">
        <f>IF(H$12=0,0,H238/H$12)</f>
        <v>0.29824216917316904</v>
      </c>
      <c r="K238" s="16"/>
      <c r="L238" s="20">
        <f>+D238-H238</f>
        <v>43924.026092003536</v>
      </c>
      <c r="M238" s="16"/>
      <c r="N238" s="22">
        <f>IF(H238=0,0,L238/H238)</f>
        <v>0.40183234607369855</v>
      </c>
      <c r="O238" s="29"/>
      <c r="P238" s="20">
        <f>+P130-P132+P231</f>
        <v>353880.28999999608</v>
      </c>
      <c r="Q238" s="14"/>
      <c r="R238" s="22">
        <f>IF(P$12=0,0,P238/P$12)</f>
        <v>6.4648588024513287E-2</v>
      </c>
      <c r="S238" s="14"/>
      <c r="T238" s="20">
        <f>+T130-T132+T231</f>
        <v>663439.47326211445</v>
      </c>
      <c r="U238" s="14"/>
      <c r="V238" s="22">
        <f>IF(T$12=0,0,T238/T$12)</f>
        <v>7.2568820962687741E-2</v>
      </c>
      <c r="W238" s="16"/>
      <c r="X238" s="20">
        <f>+P238-T238</f>
        <v>-309559.18326211837</v>
      </c>
      <c r="Y238" s="16"/>
      <c r="Z238" s="22">
        <f>IF(T238=0,0,X238/T238)</f>
        <v>-0.46659747533565349</v>
      </c>
    </row>
    <row r="239" spans="1:26" x14ac:dyDescent="0.25">
      <c r="A239" s="9"/>
      <c r="B239" s="10"/>
      <c r="C239" s="9"/>
      <c r="D239" s="3"/>
      <c r="E239" s="3"/>
      <c r="F239" s="8"/>
      <c r="G239" s="3"/>
      <c r="H239" s="3"/>
      <c r="I239" s="3"/>
      <c r="J239" s="8"/>
      <c r="K239" s="3"/>
      <c r="L239" s="3"/>
      <c r="M239" s="3"/>
      <c r="N239" s="8"/>
      <c r="P239" s="3"/>
      <c r="Q239" s="3"/>
      <c r="R239" s="8"/>
      <c r="S239" s="3"/>
      <c r="T239" s="3"/>
      <c r="U239" s="3"/>
      <c r="V239" s="8"/>
      <c r="W239" s="3"/>
      <c r="X239" s="3"/>
      <c r="Y239" s="3"/>
      <c r="Z239" s="8"/>
    </row>
    <row r="240" spans="1:26" s="23" customFormat="1" x14ac:dyDescent="0.25">
      <c r="A240" s="52"/>
      <c r="B240" s="10" t="s">
        <v>128</v>
      </c>
      <c r="C240" s="10"/>
      <c r="D240" s="4">
        <v>401948.11</v>
      </c>
      <c r="E240" s="4"/>
      <c r="F240" s="12">
        <f>IF(D$12=0,0,D240/D$12)</f>
        <v>1.519628574489825</v>
      </c>
      <c r="G240" s="4"/>
      <c r="H240" s="4">
        <v>-75447</v>
      </c>
      <c r="I240" s="4"/>
      <c r="J240" s="12">
        <f>IF(H$12=0,0,H240/H$12)</f>
        <v>-0.20585137730824637</v>
      </c>
      <c r="K240" s="4"/>
      <c r="L240" s="4">
        <f>+D240-H240</f>
        <v>477395.11</v>
      </c>
      <c r="M240" s="4"/>
      <c r="N240" s="12">
        <f>IF(H240=0,0,L240/H240)</f>
        <v>-6.3275559001683295</v>
      </c>
      <c r="O240" s="10"/>
      <c r="P240" s="4">
        <v>1515147.88</v>
      </c>
      <c r="Q240" s="4"/>
      <c r="R240" s="12">
        <f>IF(P$12=0,0,P240/P$12)</f>
        <v>0.27679465022009497</v>
      </c>
      <c r="S240" s="4"/>
      <c r="T240" s="4">
        <v>1544833</v>
      </c>
      <c r="U240" s="4"/>
      <c r="V240" s="12">
        <f>IF(T$12=0,0,T240/T$12)</f>
        <v>0.16897805137072422</v>
      </c>
      <c r="W240" s="4"/>
      <c r="X240" s="4">
        <f>+P240-T240</f>
        <v>-29685.120000000112</v>
      </c>
      <c r="Y240" s="4"/>
      <c r="Z240" s="12">
        <f>IF(T240=0,0,X240/T240)</f>
        <v>-1.9215746944815468E-2</v>
      </c>
    </row>
    <row r="241" spans="1:26" x14ac:dyDescent="0.25">
      <c r="A241" s="9"/>
      <c r="B241" s="10"/>
      <c r="C241" s="10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O241" s="10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ht="15.75" thickBot="1" x14ac:dyDescent="0.3">
      <c r="A242" s="10"/>
      <c r="B242" s="28" t="s">
        <v>126</v>
      </c>
      <c r="C242" s="28"/>
      <c r="D242" s="34">
        <f>+D238-D240</f>
        <v>-248714.74999999991</v>
      </c>
      <c r="E242" s="14"/>
      <c r="F242" s="35">
        <f>IF(D$12=0,0,D242/D$12)</f>
        <v>-0.94030555585170705</v>
      </c>
      <c r="G242" s="14"/>
      <c r="H242" s="34">
        <f>+H238-H240</f>
        <v>184756.33390799654</v>
      </c>
      <c r="I242" s="14"/>
      <c r="J242" s="35">
        <f>IF(H$12=0,0,H242/H$12)</f>
        <v>0.50409354648141547</v>
      </c>
      <c r="K242" s="16"/>
      <c r="L242" s="34">
        <f>D242-H242</f>
        <v>-433471.08390799642</v>
      </c>
      <c r="M242" s="16"/>
      <c r="N242" s="35">
        <f>IF(H242=0,0,L242/H242)</f>
        <v>-2.3461771228035562</v>
      </c>
      <c r="O242" s="29"/>
      <c r="P242" s="34">
        <f>+P238-P240</f>
        <v>-1161267.5900000038</v>
      </c>
      <c r="Q242" s="14"/>
      <c r="R242" s="35">
        <f>IF(P$12=0,0,P242/P$12)</f>
        <v>-0.21214606219558171</v>
      </c>
      <c r="S242" s="14"/>
      <c r="T242" s="34">
        <f>+T238-T240</f>
        <v>-881393.52673788555</v>
      </c>
      <c r="U242" s="14"/>
      <c r="V242" s="35">
        <f>IF(T$12=0,0,T242/T$12)</f>
        <v>-9.6409230408036478E-2</v>
      </c>
      <c r="W242" s="16"/>
      <c r="X242" s="34">
        <f>P242-T242</f>
        <v>-279874.06326211826</v>
      </c>
      <c r="Y242" s="16"/>
      <c r="Z242" s="35">
        <f>IF(T242=0,0,X242/T242)</f>
        <v>0.31753587333226352</v>
      </c>
    </row>
    <row r="243" spans="1:26" ht="15.75" thickTop="1" x14ac:dyDescent="0.25">
      <c r="A243" s="9"/>
      <c r="B243" s="9"/>
      <c r="C243" s="9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x14ac:dyDescent="0.25">
      <c r="A244" s="9"/>
      <c r="B244" s="9"/>
      <c r="C244" s="9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ht="15.75" thickBot="1" x14ac:dyDescent="0.3">
      <c r="A245" s="10"/>
      <c r="B245" s="28" t="s">
        <v>294</v>
      </c>
      <c r="C245" s="28"/>
      <c r="D245" s="33">
        <f>SUM(D242:D244)</f>
        <v>-248714.74999999991</v>
      </c>
      <c r="E245" s="14"/>
      <c r="F245" s="31">
        <f>IF(D$12=0,0,D245/D$12)</f>
        <v>-0.94030555585170705</v>
      </c>
      <c r="G245" s="14"/>
      <c r="H245" s="33">
        <f>SUM(H242:H244)</f>
        <v>184756.33390799654</v>
      </c>
      <c r="I245" s="14"/>
      <c r="J245" s="31">
        <f>IF(H$12=0,0,H245/H$12)</f>
        <v>0.50409354648141547</v>
      </c>
      <c r="K245" s="16"/>
      <c r="L245" s="33">
        <f>+D245-H245</f>
        <v>-433471.08390799642</v>
      </c>
      <c r="M245" s="16"/>
      <c r="N245" s="31">
        <f>IF(H245=0,0,L245/H245)</f>
        <v>-2.3461771228035562</v>
      </c>
      <c r="O245" s="29"/>
      <c r="P245" s="33">
        <f>SUM(P242:P244)</f>
        <v>-1161267.5900000038</v>
      </c>
      <c r="Q245" s="14"/>
      <c r="R245" s="31">
        <f>IF(P$12=0,0,P245/P$12)</f>
        <v>-0.21214606219558171</v>
      </c>
      <c r="S245" s="14"/>
      <c r="T245" s="33">
        <f>SUM(T242:T244)</f>
        <v>-881393.52673788555</v>
      </c>
      <c r="U245" s="14"/>
      <c r="V245" s="31">
        <f>IF(T$12=0,0,T245/T$12)</f>
        <v>-9.6409230408036478E-2</v>
      </c>
      <c r="W245" s="16"/>
      <c r="X245" s="33">
        <f>+P245-T245</f>
        <v>-279874.06326211826</v>
      </c>
      <c r="Y245" s="16"/>
      <c r="Z245" s="31">
        <f>IF(T245=0,0,X245/T245)</f>
        <v>0.31753587333226352</v>
      </c>
    </row>
    <row r="246" spans="1:26" ht="15.75" thickTop="1" x14ac:dyDescent="0.25">
      <c r="A246" s="9"/>
      <c r="C246" s="9"/>
      <c r="D246" s="18"/>
      <c r="E246" s="18"/>
      <c r="G246" s="18"/>
      <c r="H246" s="18"/>
      <c r="I246" s="18"/>
      <c r="J246" s="42"/>
      <c r="K246" s="18"/>
      <c r="L246" s="18"/>
      <c r="M246" s="18"/>
      <c r="P246" s="18"/>
      <c r="Q246" s="18"/>
      <c r="R246" s="42"/>
      <c r="S246" s="18"/>
      <c r="T246" s="18"/>
      <c r="U246" s="18"/>
      <c r="V246" s="42"/>
      <c r="W246" s="18"/>
      <c r="X246" s="18"/>
    </row>
    <row r="247" spans="1:26" x14ac:dyDescent="0.25">
      <c r="A247" s="9"/>
      <c r="B247" s="56">
        <v>44454.686057210645</v>
      </c>
      <c r="D247" s="18"/>
      <c r="E247" s="18"/>
      <c r="G247" s="18"/>
      <c r="H247" s="18"/>
      <c r="I247" s="18"/>
      <c r="J247" s="42"/>
      <c r="K247" s="18"/>
      <c r="L247" s="18"/>
      <c r="M247" s="18"/>
      <c r="P247" s="18"/>
      <c r="Q247" s="18"/>
      <c r="R247" s="42"/>
      <c r="S247" s="18"/>
      <c r="T247" s="18"/>
      <c r="U247" s="18"/>
      <c r="V247" s="42"/>
      <c r="W247" s="18"/>
      <c r="X247" s="18"/>
    </row>
    <row r="248" spans="1:26" x14ac:dyDescent="0.25">
      <c r="A248" s="9"/>
      <c r="B248" s="55" t="s">
        <v>56</v>
      </c>
      <c r="D248" s="18"/>
      <c r="E248" s="18"/>
      <c r="G248" s="18"/>
      <c r="H248" s="18"/>
      <c r="I248" s="18"/>
      <c r="J248" s="42"/>
      <c r="K248" s="18"/>
      <c r="L248" s="18"/>
      <c r="M248" s="18"/>
      <c r="P248" s="18"/>
      <c r="Q248" s="18"/>
      <c r="R248" s="42"/>
      <c r="S248" s="18"/>
      <c r="T248" s="18"/>
      <c r="U248" s="18"/>
      <c r="V248" s="42"/>
      <c r="W248" s="18"/>
      <c r="X248" s="18"/>
    </row>
    <row r="249" spans="1:26" x14ac:dyDescent="0.25">
      <c r="A249" s="9"/>
      <c r="B249" s="63"/>
      <c r="D249" s="18"/>
      <c r="E249" s="18"/>
      <c r="G249" s="18"/>
      <c r="H249" s="18"/>
      <c r="I249" s="18"/>
      <c r="J249" s="42"/>
      <c r="K249" s="18"/>
      <c r="L249" s="18"/>
      <c r="M249" s="18"/>
      <c r="P249" s="18"/>
      <c r="Q249" s="18"/>
      <c r="R249" s="42"/>
      <c r="S249" s="18"/>
      <c r="T249" s="18"/>
      <c r="U249" s="18"/>
      <c r="V249" s="42"/>
      <c r="W249" s="18"/>
      <c r="X249" s="18"/>
    </row>
    <row r="250" spans="1:26" x14ac:dyDescent="0.25">
      <c r="D250" s="18"/>
      <c r="E250" s="18"/>
      <c r="G250" s="18"/>
      <c r="H250" s="18"/>
      <c r="I250" s="18"/>
      <c r="J250" s="42"/>
      <c r="K250" s="18"/>
      <c r="L250" s="18"/>
      <c r="M250" s="18"/>
      <c r="P250" s="18"/>
      <c r="Q250" s="18"/>
      <c r="R250" s="42"/>
      <c r="S250" s="18"/>
      <c r="T250" s="18"/>
      <c r="U250" s="18"/>
      <c r="V250" s="42"/>
      <c r="W250" s="18"/>
      <c r="X25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329186.08999999997</v>
      </c>
      <c r="E12" s="4"/>
      <c r="F12" s="12"/>
      <c r="G12" s="4"/>
      <c r="H12" s="4">
        <f>SUM(OSRRefH13x_0)</f>
        <v>671400</v>
      </c>
      <c r="I12" s="4"/>
      <c r="J12" s="12"/>
      <c r="K12" s="4"/>
      <c r="L12" s="4">
        <f t="shared" ref="L12:L93" si="0">+D12-H12</f>
        <v>-342213.91000000003</v>
      </c>
      <c r="M12" s="4"/>
      <c r="N12" s="12">
        <f t="shared" ref="N12:N93" si="1">IF(H12=0,0,L12/H12)</f>
        <v>-0.50970198093535901</v>
      </c>
      <c r="O12" s="10"/>
      <c r="P12" s="4">
        <f>SUM(OSRRefP13x_0)</f>
        <v>8111152.3499999968</v>
      </c>
      <c r="Q12" s="4"/>
      <c r="R12" s="12"/>
      <c r="S12" s="4"/>
      <c r="T12" s="4">
        <f>SUM(OSRRefT13x_0)</f>
        <v>11657182</v>
      </c>
      <c r="U12" s="4"/>
      <c r="V12" s="12"/>
      <c r="W12" s="4"/>
      <c r="X12" s="4">
        <f t="shared" ref="X12:X93" si="2">+P12-T12</f>
        <v>-3546029.6500000032</v>
      </c>
      <c r="Y12" s="4"/>
      <c r="Z12" s="12">
        <f t="shared" ref="Z12:Z93" si="3">IF(T12=0,0,X12/T12)</f>
        <v>-0.30419269854412528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-6674.19</f>
        <v>-6674.19</v>
      </c>
      <c r="E13" s="2"/>
      <c r="F13" s="19"/>
      <c r="G13" s="2"/>
      <c r="H13" s="2">
        <v>630994</v>
      </c>
      <c r="I13" s="2"/>
      <c r="J13" s="19"/>
      <c r="K13" s="2"/>
      <c r="L13" s="2">
        <f t="shared" si="0"/>
        <v>-637668.18999999994</v>
      </c>
      <c r="M13" s="2"/>
      <c r="N13" s="19">
        <f t="shared" si="1"/>
        <v>-1.0105772638091646</v>
      </c>
      <c r="O13" s="11"/>
      <c r="P13" s="2">
        <f>-154087.13</f>
        <v>-154087.13</v>
      </c>
      <c r="Q13" s="2"/>
      <c r="R13" s="19"/>
      <c r="S13" s="2"/>
      <c r="T13" s="2">
        <v>11148544</v>
      </c>
      <c r="U13" s="2"/>
      <c r="V13" s="19"/>
      <c r="W13" s="2"/>
      <c r="X13" s="2">
        <f t="shared" si="2"/>
        <v>-11302631.130000001</v>
      </c>
      <c r="Y13" s="2"/>
      <c r="Z13" s="19">
        <f t="shared" si="3"/>
        <v>-1.0138212783660361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--9691.34</f>
        <v>9691.34</v>
      </c>
      <c r="E14" s="2"/>
      <c r="F14" s="19"/>
      <c r="G14" s="2"/>
      <c r="H14" s="2"/>
      <c r="I14" s="2"/>
      <c r="J14" s="19"/>
      <c r="K14" s="2"/>
      <c r="L14" s="2">
        <f t="shared" si="0"/>
        <v>9691.34</v>
      </c>
      <c r="M14" s="2"/>
      <c r="N14" s="19">
        <f t="shared" si="1"/>
        <v>0</v>
      </c>
      <c r="O14" s="11"/>
      <c r="P14" s="2">
        <f>--1308779.9</f>
        <v>1308779.8999999999</v>
      </c>
      <c r="Q14" s="2"/>
      <c r="R14" s="19"/>
      <c r="S14" s="2"/>
      <c r="T14" s="2"/>
      <c r="U14" s="2"/>
      <c r="V14" s="19"/>
      <c r="W14" s="2"/>
      <c r="X14" s="2">
        <f t="shared" si="2"/>
        <v>1308779.8999999999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--6642.8</f>
        <v>6642.8</v>
      </c>
      <c r="E15" s="2"/>
      <c r="F15" s="19"/>
      <c r="G15" s="2"/>
      <c r="H15" s="2"/>
      <c r="I15" s="2"/>
      <c r="J15" s="19"/>
      <c r="K15" s="2"/>
      <c r="L15" s="2">
        <f t="shared" si="0"/>
        <v>6642.8</v>
      </c>
      <c r="M15" s="2"/>
      <c r="N15" s="19">
        <f t="shared" si="1"/>
        <v>0</v>
      </c>
      <c r="O15" s="11"/>
      <c r="P15" s="2">
        <f>--596913.27</f>
        <v>596913.27</v>
      </c>
      <c r="Q15" s="2"/>
      <c r="R15" s="19"/>
      <c r="S15" s="2"/>
      <c r="T15" s="2"/>
      <c r="U15" s="2"/>
      <c r="V15" s="19"/>
      <c r="W15" s="2"/>
      <c r="X15" s="2">
        <f t="shared" si="2"/>
        <v>596913.27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--25.1</f>
        <v>25.1</v>
      </c>
      <c r="E21" s="2"/>
      <c r="F21" s="19"/>
      <c r="G21" s="2"/>
      <c r="H21" s="2"/>
      <c r="I21" s="2"/>
      <c r="J21" s="19"/>
      <c r="K21" s="2"/>
      <c r="L21" s="2">
        <f t="shared" si="0"/>
        <v>25.1</v>
      </c>
      <c r="M21" s="2"/>
      <c r="N21" s="19">
        <f t="shared" si="1"/>
        <v>0</v>
      </c>
      <c r="O21" s="11"/>
      <c r="P21" s="2">
        <f>--547.64</f>
        <v>547.64</v>
      </c>
      <c r="Q21" s="2"/>
      <c r="R21" s="19"/>
      <c r="S21" s="2"/>
      <c r="T21" s="2"/>
      <c r="U21" s="2"/>
      <c r="V21" s="19"/>
      <c r="W21" s="2"/>
      <c r="X21" s="2">
        <f t="shared" si="2"/>
        <v>547.64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--3459.71</f>
        <v>3459.71</v>
      </c>
      <c r="E22" s="2"/>
      <c r="F22" s="19"/>
      <c r="G22" s="2"/>
      <c r="H22" s="2"/>
      <c r="I22" s="2"/>
      <c r="J22" s="19"/>
      <c r="K22" s="2"/>
      <c r="L22" s="2">
        <f t="shared" si="0"/>
        <v>3459.71</v>
      </c>
      <c r="M22" s="2"/>
      <c r="N22" s="19">
        <f t="shared" si="1"/>
        <v>0</v>
      </c>
      <c r="O22" s="11"/>
      <c r="P22" s="2">
        <f>--73564</f>
        <v>73564</v>
      </c>
      <c r="Q22" s="2"/>
      <c r="R22" s="19"/>
      <c r="S22" s="2"/>
      <c r="T22" s="2"/>
      <c r="U22" s="2"/>
      <c r="V22" s="19"/>
      <c r="W22" s="2"/>
      <c r="X22" s="2">
        <f t="shared" si="2"/>
        <v>73564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--2312.88</f>
        <v>2312.88</v>
      </c>
      <c r="E23" s="2"/>
      <c r="F23" s="19"/>
      <c r="G23" s="2"/>
      <c r="H23" s="2"/>
      <c r="I23" s="2"/>
      <c r="J23" s="19"/>
      <c r="K23" s="2"/>
      <c r="L23" s="2">
        <f t="shared" si="0"/>
        <v>2312.88</v>
      </c>
      <c r="M23" s="2"/>
      <c r="N23" s="19">
        <f t="shared" si="1"/>
        <v>0</v>
      </c>
      <c r="O23" s="11"/>
      <c r="P23" s="2">
        <f>--50708.2</f>
        <v>50708.2</v>
      </c>
      <c r="Q23" s="2"/>
      <c r="R23" s="19"/>
      <c r="S23" s="2"/>
      <c r="T23" s="2"/>
      <c r="U23" s="2"/>
      <c r="V23" s="19"/>
      <c r="W23" s="2"/>
      <c r="X23" s="2">
        <f t="shared" si="2"/>
        <v>50708.2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--380.76</f>
        <v>380.76</v>
      </c>
      <c r="E24" s="2"/>
      <c r="F24" s="19"/>
      <c r="G24" s="2"/>
      <c r="H24" s="2"/>
      <c r="I24" s="2"/>
      <c r="J24" s="19"/>
      <c r="K24" s="2"/>
      <c r="L24" s="2">
        <f t="shared" si="0"/>
        <v>380.76</v>
      </c>
      <c r="M24" s="2"/>
      <c r="N24" s="19">
        <f t="shared" si="1"/>
        <v>0</v>
      </c>
      <c r="O24" s="11"/>
      <c r="P24" s="2">
        <f>--5081.47</f>
        <v>5081.47</v>
      </c>
      <c r="Q24" s="2"/>
      <c r="R24" s="19"/>
      <c r="S24" s="2"/>
      <c r="T24" s="2"/>
      <c r="U24" s="2"/>
      <c r="V24" s="19"/>
      <c r="W24" s="2"/>
      <c r="X24" s="2">
        <f t="shared" si="2"/>
        <v>5081.47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--109798.76</f>
        <v>109798.76</v>
      </c>
      <c r="E26" s="2"/>
      <c r="F26" s="19"/>
      <c r="G26" s="2"/>
      <c r="H26" s="2"/>
      <c r="I26" s="2"/>
      <c r="J26" s="19"/>
      <c r="K26" s="2"/>
      <c r="L26" s="2">
        <f t="shared" si="0"/>
        <v>109798.76</v>
      </c>
      <c r="M26" s="2"/>
      <c r="N26" s="19">
        <f t="shared" si="1"/>
        <v>0</v>
      </c>
      <c r="O26" s="11"/>
      <c r="P26" s="2">
        <f>--1210378.91</f>
        <v>1210378.9099999999</v>
      </c>
      <c r="Q26" s="2"/>
      <c r="R26" s="19"/>
      <c r="S26" s="2"/>
      <c r="T26" s="2"/>
      <c r="U26" s="2"/>
      <c r="V26" s="19"/>
      <c r="W26" s="2"/>
      <c r="X26" s="2">
        <f t="shared" si="2"/>
        <v>1210378.9099999999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--80467.62</f>
        <v>80467.62</v>
      </c>
      <c r="E27" s="2"/>
      <c r="F27" s="19"/>
      <c r="G27" s="2"/>
      <c r="H27" s="2"/>
      <c r="I27" s="2"/>
      <c r="J27" s="19"/>
      <c r="K27" s="2"/>
      <c r="L27" s="2">
        <f t="shared" si="0"/>
        <v>80467.62</v>
      </c>
      <c r="M27" s="2"/>
      <c r="N27" s="19">
        <f t="shared" si="1"/>
        <v>0</v>
      </c>
      <c r="O27" s="11"/>
      <c r="P27" s="2">
        <f>--712240.21</f>
        <v>712240.21</v>
      </c>
      <c r="Q27" s="2"/>
      <c r="R27" s="19"/>
      <c r="S27" s="2"/>
      <c r="T27" s="2"/>
      <c r="U27" s="2"/>
      <c r="V27" s="19"/>
      <c r="W27" s="2"/>
      <c r="X27" s="2">
        <f t="shared" si="2"/>
        <v>712240.21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--7345.28</f>
        <v>7345.28</v>
      </c>
      <c r="E28" s="2"/>
      <c r="F28" s="19"/>
      <c r="G28" s="2"/>
      <c r="H28" s="2"/>
      <c r="I28" s="2"/>
      <c r="J28" s="19"/>
      <c r="K28" s="2"/>
      <c r="L28" s="2">
        <f t="shared" si="0"/>
        <v>7345.28</v>
      </c>
      <c r="M28" s="2"/>
      <c r="N28" s="19">
        <f t="shared" si="1"/>
        <v>0</v>
      </c>
      <c r="O28" s="11"/>
      <c r="P28" s="2">
        <f>--116251.83</f>
        <v>116251.83</v>
      </c>
      <c r="Q28" s="2"/>
      <c r="R28" s="19"/>
      <c r="S28" s="2"/>
      <c r="T28" s="2"/>
      <c r="U28" s="2"/>
      <c r="V28" s="19"/>
      <c r="W28" s="2"/>
      <c r="X28" s="2">
        <f t="shared" si="2"/>
        <v>116251.83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--2949.38</f>
        <v>2949.38</v>
      </c>
      <c r="E29" s="2"/>
      <c r="F29" s="19"/>
      <c r="G29" s="2"/>
      <c r="H29" s="2"/>
      <c r="I29" s="2"/>
      <c r="J29" s="19"/>
      <c r="K29" s="2"/>
      <c r="L29" s="2">
        <f t="shared" si="0"/>
        <v>2949.38</v>
      </c>
      <c r="M29" s="2"/>
      <c r="N29" s="19">
        <f t="shared" si="1"/>
        <v>0</v>
      </c>
      <c r="O29" s="11"/>
      <c r="P29" s="2">
        <f>--147027.05</f>
        <v>147027.04999999999</v>
      </c>
      <c r="Q29" s="2"/>
      <c r="R29" s="19"/>
      <c r="S29" s="2"/>
      <c r="T29" s="2"/>
      <c r="U29" s="2"/>
      <c r="V29" s="19"/>
      <c r="W29" s="2"/>
      <c r="X29" s="2">
        <f t="shared" si="2"/>
        <v>147027.04999999999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--2172.33</f>
        <v>2172.33</v>
      </c>
      <c r="E30" s="2"/>
      <c r="F30" s="19"/>
      <c r="G30" s="2"/>
      <c r="H30" s="2"/>
      <c r="I30" s="2"/>
      <c r="J30" s="19"/>
      <c r="K30" s="2"/>
      <c r="L30" s="2">
        <f t="shared" si="0"/>
        <v>2172.33</v>
      </c>
      <c r="M30" s="2"/>
      <c r="N30" s="19">
        <f t="shared" si="1"/>
        <v>0</v>
      </c>
      <c r="O30" s="11"/>
      <c r="P30" s="2">
        <f>--43288.66</f>
        <v>43288.66</v>
      </c>
      <c r="Q30" s="2"/>
      <c r="R30" s="19"/>
      <c r="S30" s="2"/>
      <c r="T30" s="2"/>
      <c r="U30" s="2"/>
      <c r="V30" s="19"/>
      <c r="W30" s="2"/>
      <c r="X30" s="2">
        <f t="shared" si="2"/>
        <v>43288.66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--81300.55</f>
        <v>81300.55</v>
      </c>
      <c r="E31" s="2"/>
      <c r="F31" s="19"/>
      <c r="G31" s="2"/>
      <c r="H31" s="2"/>
      <c r="I31" s="2"/>
      <c r="J31" s="19"/>
      <c r="K31" s="2"/>
      <c r="L31" s="2">
        <f t="shared" si="0"/>
        <v>81300.55</v>
      </c>
      <c r="M31" s="2"/>
      <c r="N31" s="19">
        <f t="shared" si="1"/>
        <v>0</v>
      </c>
      <c r="O31" s="11"/>
      <c r="P31" s="2">
        <f>--314878.48</f>
        <v>314878.48</v>
      </c>
      <c r="Q31" s="2"/>
      <c r="R31" s="19"/>
      <c r="S31" s="2"/>
      <c r="T31" s="2"/>
      <c r="U31" s="2"/>
      <c r="V31" s="19"/>
      <c r="W31" s="2"/>
      <c r="X31" s="2">
        <f t="shared" si="2"/>
        <v>314878.48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>--1743.92</f>
        <v>1743.92</v>
      </c>
      <c r="E32" s="2"/>
      <c r="F32" s="19"/>
      <c r="G32" s="2"/>
      <c r="H32" s="2"/>
      <c r="I32" s="2"/>
      <c r="J32" s="19"/>
      <c r="K32" s="2"/>
      <c r="L32" s="2">
        <f t="shared" si="0"/>
        <v>1743.92</v>
      </c>
      <c r="M32" s="2"/>
      <c r="N32" s="19">
        <f t="shared" si="1"/>
        <v>0</v>
      </c>
      <c r="O32" s="11"/>
      <c r="P32" s="2">
        <f>--65769.85</f>
        <v>65769.850000000006</v>
      </c>
      <c r="Q32" s="2"/>
      <c r="R32" s="19"/>
      <c r="S32" s="2"/>
      <c r="T32" s="2"/>
      <c r="U32" s="2"/>
      <c r="V32" s="19"/>
      <c r="W32" s="2"/>
      <c r="X32" s="2">
        <f t="shared" si="2"/>
        <v>65769.850000000006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--78232.49</f>
        <v>78232.490000000005</v>
      </c>
      <c r="E33" s="2"/>
      <c r="F33" s="19"/>
      <c r="G33" s="2"/>
      <c r="H33" s="2"/>
      <c r="I33" s="2"/>
      <c r="J33" s="19"/>
      <c r="K33" s="2"/>
      <c r="L33" s="2">
        <f t="shared" si="0"/>
        <v>78232.490000000005</v>
      </c>
      <c r="M33" s="2"/>
      <c r="N33" s="19">
        <f t="shared" si="1"/>
        <v>0</v>
      </c>
      <c r="O33" s="11"/>
      <c r="P33" s="2">
        <f>--2207891.11</f>
        <v>2207891.11</v>
      </c>
      <c r="Q33" s="2"/>
      <c r="R33" s="19"/>
      <c r="S33" s="2"/>
      <c r="T33" s="2"/>
      <c r="U33" s="2"/>
      <c r="V33" s="19"/>
      <c r="W33" s="2"/>
      <c r="X33" s="2">
        <f t="shared" si="2"/>
        <v>2207891.11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--3971.25</f>
        <v>3971.25</v>
      </c>
      <c r="E34" s="2"/>
      <c r="F34" s="19"/>
      <c r="G34" s="2"/>
      <c r="H34" s="2"/>
      <c r="I34" s="2"/>
      <c r="J34" s="19"/>
      <c r="K34" s="2"/>
      <c r="L34" s="2">
        <f t="shared" si="0"/>
        <v>3971.25</v>
      </c>
      <c r="M34" s="2"/>
      <c r="N34" s="19">
        <f t="shared" si="1"/>
        <v>0</v>
      </c>
      <c r="O34" s="11"/>
      <c r="P34" s="2">
        <f>--141118.23</f>
        <v>141118.23000000001</v>
      </c>
      <c r="Q34" s="2"/>
      <c r="R34" s="19"/>
      <c r="S34" s="2"/>
      <c r="T34" s="2"/>
      <c r="U34" s="2"/>
      <c r="V34" s="19"/>
      <c r="W34" s="2"/>
      <c r="X34" s="2">
        <f t="shared" si="2"/>
        <v>141118.23000000001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--4870.79</f>
        <v>4870.79</v>
      </c>
      <c r="Q35" s="2"/>
      <c r="R35" s="19"/>
      <c r="S35" s="2"/>
      <c r="T35" s="2"/>
      <c r="U35" s="2"/>
      <c r="V35" s="19"/>
      <c r="W35" s="2"/>
      <c r="X35" s="2">
        <f t="shared" si="2"/>
        <v>4870.79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--850.72</f>
        <v>850.72</v>
      </c>
      <c r="E36" s="2"/>
      <c r="F36" s="19"/>
      <c r="G36" s="2"/>
      <c r="H36" s="2"/>
      <c r="I36" s="2"/>
      <c r="J36" s="19"/>
      <c r="K36" s="2"/>
      <c r="L36" s="2">
        <f t="shared" si="0"/>
        <v>850.72</v>
      </c>
      <c r="M36" s="2"/>
      <c r="N36" s="19">
        <f t="shared" si="1"/>
        <v>0</v>
      </c>
      <c r="O36" s="11"/>
      <c r="P36" s="2">
        <f>--67783.14</f>
        <v>67783.14</v>
      </c>
      <c r="Q36" s="2"/>
      <c r="R36" s="19"/>
      <c r="S36" s="2"/>
      <c r="T36" s="2"/>
      <c r="U36" s="2"/>
      <c r="V36" s="19"/>
      <c r="W36" s="2"/>
      <c r="X36" s="2">
        <f t="shared" si="2"/>
        <v>67783.14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"4095", " - ", "TAXABLE SALES-CUSTOMER SERVICE")</f>
        <v xml:space="preserve">          4095 - TAXABLE SALES-CUSTOMER SERVICE</v>
      </c>
      <c r="C37" s="11"/>
      <c r="D37" s="2">
        <f>--1688.17</f>
        <v>1688.17</v>
      </c>
      <c r="E37" s="2"/>
      <c r="F37" s="19"/>
      <c r="G37" s="2"/>
      <c r="H37" s="2"/>
      <c r="I37" s="2"/>
      <c r="J37" s="19"/>
      <c r="K37" s="2"/>
      <c r="L37" s="2">
        <f t="shared" si="0"/>
        <v>1688.17</v>
      </c>
      <c r="M37" s="2"/>
      <c r="N37" s="19">
        <f t="shared" si="1"/>
        <v>0</v>
      </c>
      <c r="O37" s="11"/>
      <c r="P37" s="2">
        <f>--15614</f>
        <v>15614</v>
      </c>
      <c r="Q37" s="2"/>
      <c r="R37" s="19"/>
      <c r="S37" s="2"/>
      <c r="T37" s="2"/>
      <c r="U37" s="2"/>
      <c r="V37" s="19"/>
      <c r="W37" s="2"/>
      <c r="X37" s="2">
        <f t="shared" si="2"/>
        <v>15614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"4100", " - ", "NON-TAXABLE SALES")</f>
        <v xml:space="preserve">          4100 - NON-TAXABLE SALES</v>
      </c>
      <c r="C38" s="11"/>
      <c r="D38" s="2">
        <f>-14487.2</f>
        <v>-14487.2</v>
      </c>
      <c r="E38" s="2"/>
      <c r="F38" s="19"/>
      <c r="G38" s="2"/>
      <c r="H38" s="2">
        <v>40406</v>
      </c>
      <c r="I38" s="2"/>
      <c r="J38" s="19"/>
      <c r="K38" s="2"/>
      <c r="L38" s="2">
        <f t="shared" si="0"/>
        <v>-54893.2</v>
      </c>
      <c r="M38" s="2"/>
      <c r="N38" s="19">
        <f t="shared" si="1"/>
        <v>-1.3585408107706776</v>
      </c>
      <c r="O38" s="11"/>
      <c r="P38" s="2">
        <f>--262897.78</f>
        <v>262897.78000000003</v>
      </c>
      <c r="Q38" s="2"/>
      <c r="R38" s="19"/>
      <c r="S38" s="2"/>
      <c r="T38" s="2">
        <v>508638</v>
      </c>
      <c r="U38" s="2"/>
      <c r="V38" s="19"/>
      <c r="W38" s="2"/>
      <c r="X38" s="2">
        <f t="shared" si="2"/>
        <v>-245740.21999999997</v>
      </c>
      <c r="Y38" s="2"/>
      <c r="Z38" s="19">
        <f t="shared" si="3"/>
        <v>-0.48313382012354555</v>
      </c>
    </row>
    <row r="39" spans="1:26" s="24" customFormat="1" hidden="1" outlineLevel="1" x14ac:dyDescent="0.25">
      <c r="A39" s="44"/>
      <c r="B39" s="11" t="str">
        <f>CONCATENATE("          ", "4101", " - ", "NON-TAXABLE SALES-NEW TEXT")</f>
        <v xml:space="preserve">          4101 - NON-TAXABLE SALES-NEW TEXT</v>
      </c>
      <c r="C39" s="11"/>
      <c r="D39" s="2">
        <f>--1301.39</f>
        <v>1301.3900000000001</v>
      </c>
      <c r="E39" s="2"/>
      <c r="F39" s="19"/>
      <c r="G39" s="2"/>
      <c r="H39" s="2"/>
      <c r="I39" s="2"/>
      <c r="J39" s="19"/>
      <c r="K39" s="2"/>
      <c r="L39" s="2">
        <f t="shared" si="0"/>
        <v>1301.3900000000001</v>
      </c>
      <c r="M39" s="2"/>
      <c r="N39" s="19">
        <f t="shared" si="1"/>
        <v>0</v>
      </c>
      <c r="O39" s="11"/>
      <c r="P39" s="2">
        <f>--120548.46</f>
        <v>120548.46</v>
      </c>
      <c r="Q39" s="2"/>
      <c r="R39" s="19"/>
      <c r="S39" s="2"/>
      <c r="T39" s="2"/>
      <c r="U39" s="2"/>
      <c r="V39" s="19"/>
      <c r="W39" s="2"/>
      <c r="X39" s="2">
        <f t="shared" si="2"/>
        <v>120548.46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"4102", " - ", "NON-TAXABLE SALES-USED TEXT")</f>
        <v xml:space="preserve">          4102 - NON-TAXABLE SALES-USED TEXT</v>
      </c>
      <c r="C40" s="11"/>
      <c r="D40" s="2">
        <f>--540.91</f>
        <v>540.91</v>
      </c>
      <c r="E40" s="2"/>
      <c r="F40" s="19"/>
      <c r="G40" s="2"/>
      <c r="H40" s="2"/>
      <c r="I40" s="2"/>
      <c r="J40" s="19"/>
      <c r="K40" s="2"/>
      <c r="L40" s="2">
        <f t="shared" si="0"/>
        <v>540.91</v>
      </c>
      <c r="M40" s="2"/>
      <c r="N40" s="19">
        <f t="shared" si="1"/>
        <v>0</v>
      </c>
      <c r="O40" s="11"/>
      <c r="P40" s="2">
        <f>--51587.64</f>
        <v>51587.64</v>
      </c>
      <c r="Q40" s="2"/>
      <c r="R40" s="19"/>
      <c r="S40" s="2"/>
      <c r="T40" s="2"/>
      <c r="U40" s="2"/>
      <c r="V40" s="19"/>
      <c r="W40" s="2"/>
      <c r="X40" s="2">
        <f t="shared" si="2"/>
        <v>51587.64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"4103", " - ", "NON-TAXABLE SALES-RENTAL TEXT")</f>
        <v xml:space="preserve">          4103 - NON-TAXABLE SALES-RENTAL TEXT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--1138.95</f>
        <v>1138.95</v>
      </c>
      <c r="Q41" s="2"/>
      <c r="R41" s="19"/>
      <c r="S41" s="2"/>
      <c r="T41" s="2"/>
      <c r="U41" s="2"/>
      <c r="V41" s="19"/>
      <c r="W41" s="2"/>
      <c r="X41" s="2">
        <f t="shared" si="2"/>
        <v>1138.95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"4104", " - ", "NON-TAXABLE SALES-DIGITAL TEXT")</f>
        <v xml:space="preserve">          4104 - NON-TAXABLE SALES-DIGITAL TEXT</v>
      </c>
      <c r="C42" s="11"/>
      <c r="D42" s="2">
        <f>--695.53</f>
        <v>695.53</v>
      </c>
      <c r="E42" s="2"/>
      <c r="F42" s="19"/>
      <c r="G42" s="2"/>
      <c r="H42" s="2"/>
      <c r="I42" s="2"/>
      <c r="J42" s="19"/>
      <c r="K42" s="2"/>
      <c r="L42" s="2">
        <f t="shared" si="0"/>
        <v>695.53</v>
      </c>
      <c r="M42" s="2"/>
      <c r="N42" s="19">
        <f t="shared" si="1"/>
        <v>0</v>
      </c>
      <c r="O42" s="11"/>
      <c r="P42" s="2">
        <f>--491583.26</f>
        <v>491583.26</v>
      </c>
      <c r="Q42" s="2"/>
      <c r="R42" s="19"/>
      <c r="S42" s="2"/>
      <c r="T42" s="2"/>
      <c r="U42" s="2"/>
      <c r="V42" s="19"/>
      <c r="W42" s="2"/>
      <c r="X42" s="2">
        <f t="shared" si="2"/>
        <v>491583.26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"4113", " - ", "NON-TAXABLE SALES-TRADE BOOKS")</f>
        <v xml:space="preserve">          4113 - NON-TAXABLE SALES-TRADE BOOKS</v>
      </c>
      <c r="C43" s="11"/>
      <c r="D43" s="2">
        <f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--12127.25</f>
        <v>12127.25</v>
      </c>
      <c r="Q43" s="2"/>
      <c r="R43" s="19"/>
      <c r="S43" s="2"/>
      <c r="T43" s="2"/>
      <c r="U43" s="2"/>
      <c r="V43" s="19"/>
      <c r="W43" s="2"/>
      <c r="X43" s="2">
        <f t="shared" si="2"/>
        <v>12127.25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"4118", " - ", "NON-TAXABLE SALES-STUDY GUIDES")</f>
        <v xml:space="preserve">          4118 - NON-TAXABLE SALES-STUDY GUIDES</v>
      </c>
      <c r="C44" s="11"/>
      <c r="D44" s="2">
        <f>--594.22</f>
        <v>594.22</v>
      </c>
      <c r="E44" s="2"/>
      <c r="F44" s="19"/>
      <c r="G44" s="2"/>
      <c r="H44" s="2"/>
      <c r="I44" s="2"/>
      <c r="J44" s="19"/>
      <c r="K44" s="2"/>
      <c r="L44" s="2">
        <f t="shared" si="0"/>
        <v>594.22</v>
      </c>
      <c r="M44" s="2"/>
      <c r="N44" s="19">
        <f t="shared" si="1"/>
        <v>0</v>
      </c>
      <c r="O44" s="11"/>
      <c r="P44" s="2">
        <f>--1365.95</f>
        <v>1365.95</v>
      </c>
      <c r="Q44" s="2"/>
      <c r="R44" s="19"/>
      <c r="S44" s="2"/>
      <c r="T44" s="2"/>
      <c r="U44" s="2"/>
      <c r="V44" s="19"/>
      <c r="W44" s="2"/>
      <c r="X44" s="2">
        <f t="shared" si="2"/>
        <v>1365.95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"4126", " - ", "NON-TAXABLE SALES-WRITING INST")</f>
        <v xml:space="preserve">          4126 - NON-TAXABLE SALES-WRITING INST</v>
      </c>
      <c r="C45" s="11"/>
      <c r="D45" s="2">
        <f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--52.68</f>
        <v>52.68</v>
      </c>
      <c r="Q45" s="2"/>
      <c r="R45" s="19"/>
      <c r="S45" s="2"/>
      <c r="T45" s="2"/>
      <c r="U45" s="2"/>
      <c r="V45" s="19"/>
      <c r="W45" s="2"/>
      <c r="X45" s="2">
        <f t="shared" si="2"/>
        <v>52.68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"4127", " - ", "NON-TAXABLE SALES-SCHOOL SUPPL")</f>
        <v xml:space="preserve">          4127 - NON-TAXABLE SALES-SCHOOL SUPPL</v>
      </c>
      <c r="C46" s="11"/>
      <c r="D46" s="2">
        <f>--99.87</f>
        <v>99.87</v>
      </c>
      <c r="E46" s="2"/>
      <c r="F46" s="19"/>
      <c r="G46" s="2"/>
      <c r="H46" s="2"/>
      <c r="I46" s="2"/>
      <c r="J46" s="19"/>
      <c r="K46" s="2"/>
      <c r="L46" s="2">
        <f t="shared" si="0"/>
        <v>99.87</v>
      </c>
      <c r="M46" s="2"/>
      <c r="N46" s="19">
        <f t="shared" si="1"/>
        <v>0</v>
      </c>
      <c r="O46" s="11"/>
      <c r="P46" s="2">
        <f>--7748.6</f>
        <v>7748.6</v>
      </c>
      <c r="Q46" s="2"/>
      <c r="R46" s="19"/>
      <c r="S46" s="2"/>
      <c r="T46" s="2"/>
      <c r="U46" s="2"/>
      <c r="V46" s="19"/>
      <c r="W46" s="2"/>
      <c r="X46" s="2">
        <f t="shared" si="2"/>
        <v>7748.6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"4128", " - ", "NON-TAXABLE SALES-ART/TECH")</f>
        <v xml:space="preserve">          4128 - NON-TAXABLE SALES-ART/TECH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--115.91</f>
        <v>115.91</v>
      </c>
      <c r="Q47" s="2"/>
      <c r="R47" s="19"/>
      <c r="S47" s="2"/>
      <c r="T47" s="2"/>
      <c r="U47" s="2"/>
      <c r="V47" s="19"/>
      <c r="W47" s="2"/>
      <c r="X47" s="2">
        <f t="shared" si="2"/>
        <v>115.91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"4131", " - ", "NON-TAXABLE SALES-FOOD")</f>
        <v xml:space="preserve">          4131 - NON-TAXABLE SALES-FOOD</v>
      </c>
      <c r="C48" s="11"/>
      <c r="D48" s="2">
        <f>--540.62</f>
        <v>540.62</v>
      </c>
      <c r="E48" s="2"/>
      <c r="F48" s="19"/>
      <c r="G48" s="2"/>
      <c r="H48" s="2"/>
      <c r="I48" s="2"/>
      <c r="J48" s="19"/>
      <c r="K48" s="2"/>
      <c r="L48" s="2">
        <f t="shared" si="0"/>
        <v>540.62</v>
      </c>
      <c r="M48" s="2"/>
      <c r="N48" s="19">
        <f t="shared" si="1"/>
        <v>0</v>
      </c>
      <c r="O48" s="11"/>
      <c r="P48" s="2">
        <f>--12696.76</f>
        <v>12696.76</v>
      </c>
      <c r="Q48" s="2"/>
      <c r="R48" s="19"/>
      <c r="S48" s="2"/>
      <c r="T48" s="2"/>
      <c r="U48" s="2"/>
      <c r="V48" s="19"/>
      <c r="W48" s="2"/>
      <c r="X48" s="2">
        <f t="shared" si="2"/>
        <v>12696.76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ref="D49:D52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--22.49</f>
        <v>22.49</v>
      </c>
      <c r="Q49" s="2"/>
      <c r="R49" s="19"/>
      <c r="S49" s="2"/>
      <c r="T49" s="2"/>
      <c r="U49" s="2"/>
      <c r="V49" s="19"/>
      <c r="W49" s="2"/>
      <c r="X49" s="2">
        <f t="shared" si="2"/>
        <v>22.49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--80.71</f>
        <v>80.709999999999994</v>
      </c>
      <c r="Q50" s="2"/>
      <c r="R50" s="19"/>
      <c r="S50" s="2"/>
      <c r="T50" s="2"/>
      <c r="U50" s="2"/>
      <c r="V50" s="19"/>
      <c r="W50" s="2"/>
      <c r="X50" s="2">
        <f t="shared" si="2"/>
        <v>80.709999999999994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4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--45.53</f>
        <v>45.53</v>
      </c>
      <c r="Q51" s="2"/>
      <c r="R51" s="19"/>
      <c r="S51" s="2"/>
      <c r="T51" s="2"/>
      <c r="U51" s="2"/>
      <c r="V51" s="19"/>
      <c r="W51" s="2"/>
      <c r="X51" s="2">
        <f t="shared" si="2"/>
        <v>45.53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4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--68.25</f>
        <v>68.25</v>
      </c>
      <c r="Q52" s="2"/>
      <c r="R52" s="19"/>
      <c r="S52" s="2"/>
      <c r="T52" s="2"/>
      <c r="U52" s="2"/>
      <c r="V52" s="19"/>
      <c r="W52" s="2"/>
      <c r="X52" s="2">
        <f t="shared" si="2"/>
        <v>68.25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--9520.45</f>
        <v>9520.4500000000007</v>
      </c>
      <c r="E53" s="2"/>
      <c r="F53" s="19"/>
      <c r="G53" s="2"/>
      <c r="H53" s="2"/>
      <c r="I53" s="2"/>
      <c r="J53" s="19"/>
      <c r="K53" s="2"/>
      <c r="L53" s="2">
        <f t="shared" si="0"/>
        <v>9520.4500000000007</v>
      </c>
      <c r="M53" s="2"/>
      <c r="N53" s="19">
        <f t="shared" si="1"/>
        <v>0</v>
      </c>
      <c r="O53" s="11"/>
      <c r="P53" s="2">
        <f>--181046.21</f>
        <v>181046.21</v>
      </c>
      <c r="Q53" s="2"/>
      <c r="R53" s="19"/>
      <c r="S53" s="2"/>
      <c r="T53" s="2"/>
      <c r="U53" s="2"/>
      <c r="V53" s="19"/>
      <c r="W53" s="2"/>
      <c r="X53" s="2">
        <f t="shared" si="2"/>
        <v>181046.21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-25127.54</f>
        <v>-25127.54</v>
      </c>
      <c r="E54" s="2"/>
      <c r="F54" s="19"/>
      <c r="G54" s="2"/>
      <c r="H54" s="2"/>
      <c r="I54" s="2"/>
      <c r="J54" s="19"/>
      <c r="K54" s="2"/>
      <c r="L54" s="2">
        <f t="shared" si="0"/>
        <v>-25127.54</v>
      </c>
      <c r="M54" s="2"/>
      <c r="N54" s="19">
        <f t="shared" si="1"/>
        <v>0</v>
      </c>
      <c r="O54" s="11"/>
      <c r="P54" s="2">
        <f>--14028.49</f>
        <v>14028.49</v>
      </c>
      <c r="Q54" s="2"/>
      <c r="R54" s="19"/>
      <c r="S54" s="2"/>
      <c r="T54" s="2"/>
      <c r="U54" s="2"/>
      <c r="V54" s="19"/>
      <c r="W54" s="2"/>
      <c r="X54" s="2">
        <f t="shared" si="2"/>
        <v>14028.49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--54.07</f>
        <v>54.07</v>
      </c>
      <c r="E55" s="2"/>
      <c r="F55" s="19"/>
      <c r="G55" s="2"/>
      <c r="H55" s="2"/>
      <c r="I55" s="2"/>
      <c r="J55" s="19"/>
      <c r="K55" s="2"/>
      <c r="L55" s="2">
        <f t="shared" si="0"/>
        <v>54.07</v>
      </c>
      <c r="M55" s="2"/>
      <c r="N55" s="19">
        <f t="shared" si="1"/>
        <v>0</v>
      </c>
      <c r="O55" s="11"/>
      <c r="P55" s="2">
        <f>--2658.52</f>
        <v>2658.52</v>
      </c>
      <c r="Q55" s="2"/>
      <c r="R55" s="19"/>
      <c r="S55" s="2"/>
      <c r="T55" s="2"/>
      <c r="U55" s="2"/>
      <c r="V55" s="19"/>
      <c r="W55" s="2"/>
      <c r="X55" s="2">
        <f t="shared" si="2"/>
        <v>2658.52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"4143", " - ", "NON-TAXABLE SALES-CARDS")</f>
        <v xml:space="preserve">          4143 - NON-TAXABLE SALES-CARDS</v>
      </c>
      <c r="C56" s="11"/>
      <c r="D56" s="2">
        <f>--9.95</f>
        <v>9.9499999999999993</v>
      </c>
      <c r="E56" s="2"/>
      <c r="F56" s="19"/>
      <c r="G56" s="2"/>
      <c r="H56" s="2"/>
      <c r="I56" s="2"/>
      <c r="J56" s="19"/>
      <c r="K56" s="2"/>
      <c r="L56" s="2">
        <f t="shared" si="0"/>
        <v>9.9499999999999993</v>
      </c>
      <c r="M56" s="2"/>
      <c r="N56" s="19">
        <f t="shared" si="1"/>
        <v>0</v>
      </c>
      <c r="O56" s="11"/>
      <c r="P56" s="2">
        <f>--2562.11</f>
        <v>2562.11</v>
      </c>
      <c r="Q56" s="2"/>
      <c r="R56" s="19"/>
      <c r="S56" s="2"/>
      <c r="T56" s="2"/>
      <c r="U56" s="2"/>
      <c r="V56" s="19"/>
      <c r="W56" s="2"/>
      <c r="X56" s="2">
        <f t="shared" si="2"/>
        <v>2562.11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--129.75</f>
        <v>129.75</v>
      </c>
      <c r="E57" s="2"/>
      <c r="F57" s="19"/>
      <c r="G57" s="2"/>
      <c r="H57" s="2"/>
      <c r="I57" s="2"/>
      <c r="J57" s="19"/>
      <c r="K57" s="2"/>
      <c r="L57" s="2">
        <f t="shared" si="0"/>
        <v>129.75</v>
      </c>
      <c r="M57" s="2"/>
      <c r="N57" s="19">
        <f t="shared" si="1"/>
        <v>0</v>
      </c>
      <c r="O57" s="11"/>
      <c r="P57" s="2">
        <f>--1003.55</f>
        <v>1003.55</v>
      </c>
      <c r="Q57" s="2"/>
      <c r="R57" s="19"/>
      <c r="S57" s="2"/>
      <c r="T57" s="2"/>
      <c r="U57" s="2"/>
      <c r="V57" s="19"/>
      <c r="W57" s="2"/>
      <c r="X57" s="2">
        <f t="shared" si="2"/>
        <v>1003.55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--30</f>
        <v>30</v>
      </c>
      <c r="E58" s="2"/>
      <c r="F58" s="19"/>
      <c r="G58" s="2"/>
      <c r="H58" s="2"/>
      <c r="I58" s="2"/>
      <c r="J58" s="19"/>
      <c r="K58" s="2"/>
      <c r="L58" s="2">
        <f t="shared" si="0"/>
        <v>30</v>
      </c>
      <c r="M58" s="2"/>
      <c r="N58" s="19">
        <f t="shared" si="1"/>
        <v>0</v>
      </c>
      <c r="O58" s="11"/>
      <c r="P58" s="2">
        <f>--74096.89</f>
        <v>74096.89</v>
      </c>
      <c r="Q58" s="2"/>
      <c r="R58" s="19"/>
      <c r="S58" s="2"/>
      <c r="T58" s="2"/>
      <c r="U58" s="2"/>
      <c r="V58" s="19"/>
      <c r="W58" s="2"/>
      <c r="X58" s="2">
        <f t="shared" si="2"/>
        <v>74096.89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--282.2</f>
        <v>282.2</v>
      </c>
      <c r="E59" s="2"/>
      <c r="F59" s="19"/>
      <c r="G59" s="2"/>
      <c r="H59" s="2"/>
      <c r="I59" s="2"/>
      <c r="J59" s="19"/>
      <c r="K59" s="2"/>
      <c r="L59" s="2">
        <f t="shared" si="0"/>
        <v>282.2</v>
      </c>
      <c r="M59" s="2"/>
      <c r="N59" s="19">
        <f t="shared" si="1"/>
        <v>0</v>
      </c>
      <c r="O59" s="11"/>
      <c r="P59" s="2">
        <f>--668.1</f>
        <v>668.1</v>
      </c>
      <c r="Q59" s="2"/>
      <c r="R59" s="19"/>
      <c r="S59" s="2"/>
      <c r="T59" s="2"/>
      <c r="U59" s="2"/>
      <c r="V59" s="19"/>
      <c r="W59" s="2"/>
      <c r="X59" s="2">
        <f t="shared" si="2"/>
        <v>668.1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"4147", " - ", "NON-TAXABLE SALES-MISC")</f>
        <v xml:space="preserve">          4147 - NON-TAXABLE SALES-MISC</v>
      </c>
      <c r="C60" s="11"/>
      <c r="D60" s="2">
        <f>--4</f>
        <v>4</v>
      </c>
      <c r="E60" s="2"/>
      <c r="F60" s="19"/>
      <c r="G60" s="2"/>
      <c r="H60" s="2"/>
      <c r="I60" s="2"/>
      <c r="J60" s="19"/>
      <c r="K60" s="2"/>
      <c r="L60" s="2">
        <f t="shared" si="0"/>
        <v>4</v>
      </c>
      <c r="M60" s="2"/>
      <c r="N60" s="19">
        <f t="shared" si="1"/>
        <v>0</v>
      </c>
      <c r="O60" s="11"/>
      <c r="P60" s="2">
        <f>--172</f>
        <v>172</v>
      </c>
      <c r="Q60" s="2"/>
      <c r="R60" s="19"/>
      <c r="S60" s="2"/>
      <c r="T60" s="2"/>
      <c r="U60" s="2"/>
      <c r="V60" s="19"/>
      <c r="W60" s="2"/>
      <c r="X60" s="2">
        <f t="shared" si="2"/>
        <v>172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"4181", " - ", "NON-TAXABLE SALES-ELECTRONICS")</f>
        <v xml:space="preserve">          4181 - NON-TAXABLE SALES-ELECTRONICS</v>
      </c>
      <c r="C61" s="11"/>
      <c r="D61" s="2">
        <f>--33.97</f>
        <v>33.97</v>
      </c>
      <c r="E61" s="2"/>
      <c r="F61" s="19"/>
      <c r="G61" s="2"/>
      <c r="H61" s="2"/>
      <c r="I61" s="2"/>
      <c r="J61" s="19"/>
      <c r="K61" s="2"/>
      <c r="L61" s="2">
        <f t="shared" si="0"/>
        <v>33.97</v>
      </c>
      <c r="M61" s="2"/>
      <c r="N61" s="19">
        <f t="shared" si="1"/>
        <v>0</v>
      </c>
      <c r="O61" s="11"/>
      <c r="P61" s="2">
        <f>--14322.55</f>
        <v>14322.55</v>
      </c>
      <c r="Q61" s="2"/>
      <c r="R61" s="19"/>
      <c r="S61" s="2"/>
      <c r="T61" s="2"/>
      <c r="U61" s="2"/>
      <c r="V61" s="19"/>
      <c r="W61" s="2"/>
      <c r="X61" s="2">
        <f t="shared" si="2"/>
        <v>14322.55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"4182", " - ", "NON-TAXABLE SALES-COMPUTER HAR")</f>
        <v xml:space="preserve">          4182 - NON-TAXABLE SALES-COMPUTER HAR</v>
      </c>
      <c r="C62" s="11"/>
      <c r="D62" s="2">
        <f>--19892.86</f>
        <v>19892.86</v>
      </c>
      <c r="E62" s="2"/>
      <c r="F62" s="19"/>
      <c r="G62" s="2"/>
      <c r="H62" s="2"/>
      <c r="I62" s="2"/>
      <c r="J62" s="19"/>
      <c r="K62" s="2"/>
      <c r="L62" s="2">
        <f t="shared" si="0"/>
        <v>19892.86</v>
      </c>
      <c r="M62" s="2"/>
      <c r="N62" s="19">
        <f t="shared" si="1"/>
        <v>0</v>
      </c>
      <c r="O62" s="11"/>
      <c r="P62" s="2">
        <f>--367422.08</f>
        <v>367422.08</v>
      </c>
      <c r="Q62" s="2"/>
      <c r="R62" s="19"/>
      <c r="S62" s="2"/>
      <c r="T62" s="2"/>
      <c r="U62" s="2"/>
      <c r="V62" s="19"/>
      <c r="W62" s="2"/>
      <c r="X62" s="2">
        <f t="shared" si="2"/>
        <v>367422.08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"4183", " - ", "NON-TAXABLE SALES-COMPUTER EQU")</f>
        <v xml:space="preserve">          4183 - NON-TAXABLE SALES-COMPUTER EQU</v>
      </c>
      <c r="C63" s="11"/>
      <c r="D63" s="2">
        <f>--1441.27</f>
        <v>1441.27</v>
      </c>
      <c r="E63" s="2"/>
      <c r="F63" s="19"/>
      <c r="G63" s="2"/>
      <c r="H63" s="2"/>
      <c r="I63" s="2"/>
      <c r="J63" s="19"/>
      <c r="K63" s="2"/>
      <c r="L63" s="2">
        <f t="shared" si="0"/>
        <v>1441.27</v>
      </c>
      <c r="M63" s="2"/>
      <c r="N63" s="19">
        <f t="shared" si="1"/>
        <v>0</v>
      </c>
      <c r="O63" s="11"/>
      <c r="P63" s="2">
        <f>--23887.02</f>
        <v>23887.02</v>
      </c>
      <c r="Q63" s="2"/>
      <c r="R63" s="19"/>
      <c r="S63" s="2"/>
      <c r="T63" s="2"/>
      <c r="U63" s="2"/>
      <c r="V63" s="19"/>
      <c r="W63" s="2"/>
      <c r="X63" s="2">
        <f t="shared" si="2"/>
        <v>23887.02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"4185", " - ", "NON-TAXABLE SALES-SOFTWARE")</f>
        <v xml:space="preserve">          4185 - NON-TAXABLE SALES-SOFTWARE</v>
      </c>
      <c r="C64" s="11"/>
      <c r="D64" s="2">
        <f>--3849.74</f>
        <v>3849.74</v>
      </c>
      <c r="E64" s="2"/>
      <c r="F64" s="19"/>
      <c r="G64" s="2"/>
      <c r="H64" s="2"/>
      <c r="I64" s="2"/>
      <c r="J64" s="19"/>
      <c r="K64" s="2"/>
      <c r="L64" s="2">
        <f t="shared" si="0"/>
        <v>3849.74</v>
      </c>
      <c r="M64" s="2"/>
      <c r="N64" s="19">
        <f t="shared" si="1"/>
        <v>0</v>
      </c>
      <c r="O64" s="11"/>
      <c r="P64" s="2">
        <f>--59807.35</f>
        <v>59807.35</v>
      </c>
      <c r="Q64" s="2"/>
      <c r="R64" s="19"/>
      <c r="S64" s="2"/>
      <c r="T64" s="2"/>
      <c r="U64" s="2"/>
      <c r="V64" s="19"/>
      <c r="W64" s="2"/>
      <c r="X64" s="2">
        <f t="shared" si="2"/>
        <v>59807.35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"4186", " - ", "NON-TAXABLE SALES-COMPUTER SUP")</f>
        <v xml:space="preserve">          4186 - NON-TAXABLE SALES-COMPUTER SUP</v>
      </c>
      <c r="C65" s="11"/>
      <c r="D65" s="2">
        <f>--317.9</f>
        <v>317.89999999999998</v>
      </c>
      <c r="E65" s="2"/>
      <c r="F65" s="19"/>
      <c r="G65" s="2"/>
      <c r="H65" s="2"/>
      <c r="I65" s="2"/>
      <c r="J65" s="19"/>
      <c r="K65" s="2"/>
      <c r="L65" s="2">
        <f t="shared" si="0"/>
        <v>317.89999999999998</v>
      </c>
      <c r="M65" s="2"/>
      <c r="N65" s="19">
        <f t="shared" si="1"/>
        <v>0</v>
      </c>
      <c r="O65" s="11"/>
      <c r="P65" s="2">
        <f>--3797.04</f>
        <v>3797.04</v>
      </c>
      <c r="Q65" s="2"/>
      <c r="R65" s="19"/>
      <c r="S65" s="2"/>
      <c r="T65" s="2"/>
      <c r="U65" s="2"/>
      <c r="V65" s="19"/>
      <c r="W65" s="2"/>
      <c r="X65" s="2">
        <f t="shared" si="2"/>
        <v>3797.04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-1101.25</f>
        <v>-1101.25</v>
      </c>
      <c r="E66" s="2"/>
      <c r="F66" s="19"/>
      <c r="G66" s="2"/>
      <c r="H66" s="2"/>
      <c r="I66" s="2"/>
      <c r="J66" s="19"/>
      <c r="K66" s="2"/>
      <c r="L66" s="2">
        <f t="shared" si="0"/>
        <v>-1101.25</v>
      </c>
      <c r="M66" s="2"/>
      <c r="N66" s="19">
        <f t="shared" si="1"/>
        <v>0</v>
      </c>
      <c r="O66" s="11"/>
      <c r="P66" s="2">
        <f>-53397.67</f>
        <v>-53397.67</v>
      </c>
      <c r="Q66" s="2"/>
      <c r="R66" s="19"/>
      <c r="S66" s="2"/>
      <c r="T66" s="2"/>
      <c r="U66" s="2"/>
      <c r="V66" s="19"/>
      <c r="W66" s="2"/>
      <c r="X66" s="2">
        <f t="shared" si="2"/>
        <v>-53397.67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-433.75</f>
        <v>-433.75</v>
      </c>
      <c r="E67" s="2"/>
      <c r="F67" s="19"/>
      <c r="G67" s="2"/>
      <c r="H67" s="2"/>
      <c r="I67" s="2"/>
      <c r="J67" s="19"/>
      <c r="K67" s="2"/>
      <c r="L67" s="2">
        <f t="shared" si="0"/>
        <v>-433.75</v>
      </c>
      <c r="M67" s="2"/>
      <c r="N67" s="19">
        <f t="shared" si="1"/>
        <v>0</v>
      </c>
      <c r="O67" s="11"/>
      <c r="P67" s="2">
        <f>-20889.41</f>
        <v>-20889.41</v>
      </c>
      <c r="Q67" s="2"/>
      <c r="R67" s="19"/>
      <c r="S67" s="2"/>
      <c r="T67" s="2"/>
      <c r="U67" s="2"/>
      <c r="V67" s="19"/>
      <c r="W67" s="2"/>
      <c r="X67" s="2">
        <f t="shared" si="2"/>
        <v>-20889.41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-1763.1</f>
        <v>-1763.1</v>
      </c>
      <c r="Q68" s="2"/>
      <c r="R68" s="19"/>
      <c r="S68" s="2"/>
      <c r="T68" s="2"/>
      <c r="U68" s="2"/>
      <c r="V68" s="19"/>
      <c r="W68" s="2"/>
      <c r="X68" s="2">
        <f t="shared" si="2"/>
        <v>-1763.1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"4213", " - ", "NON-TAXABLE SALES-TRADE BOOKS")</f>
        <v xml:space="preserve">          4213 - NON-TAXABLE SALES-TRADE BOOKS</v>
      </c>
      <c r="C69" s="11"/>
      <c r="D69" s="2">
        <f>-25</f>
        <v>-25</v>
      </c>
      <c r="E69" s="2"/>
      <c r="F69" s="19"/>
      <c r="G69" s="2"/>
      <c r="H69" s="2"/>
      <c r="I69" s="2"/>
      <c r="J69" s="19"/>
      <c r="K69" s="2"/>
      <c r="L69" s="2">
        <f t="shared" si="0"/>
        <v>-25</v>
      </c>
      <c r="M69" s="2"/>
      <c r="N69" s="19">
        <f t="shared" si="1"/>
        <v>0</v>
      </c>
      <c r="O69" s="11"/>
      <c r="P69" s="2">
        <f>-103.92</f>
        <v>-103.92</v>
      </c>
      <c r="Q69" s="2"/>
      <c r="R69" s="19"/>
      <c r="S69" s="2"/>
      <c r="T69" s="2"/>
      <c r="U69" s="2"/>
      <c r="V69" s="19"/>
      <c r="W69" s="2"/>
      <c r="X69" s="2">
        <f t="shared" si="2"/>
        <v>-103.92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"4218", " - ", "SALES RETURN TAXABLE-STUDY GUI")</f>
        <v xml:space="preserve">          4218 - SALES RETURN TAXABLE-STUDY GUI</v>
      </c>
      <c r="C70" s="11"/>
      <c r="D70" s="2">
        <f>-23.44</f>
        <v>-23.44</v>
      </c>
      <c r="E70" s="2"/>
      <c r="F70" s="19"/>
      <c r="G70" s="2"/>
      <c r="H70" s="2"/>
      <c r="I70" s="2"/>
      <c r="J70" s="19"/>
      <c r="K70" s="2"/>
      <c r="L70" s="2">
        <f t="shared" si="0"/>
        <v>-23.44</v>
      </c>
      <c r="M70" s="2"/>
      <c r="N70" s="19">
        <f t="shared" si="1"/>
        <v>0</v>
      </c>
      <c r="O70" s="11"/>
      <c r="P70" s="2">
        <f>-28.65</f>
        <v>-28.65</v>
      </c>
      <c r="Q70" s="2"/>
      <c r="R70" s="19"/>
      <c r="S70" s="2"/>
      <c r="T70" s="2"/>
      <c r="U70" s="2"/>
      <c r="V70" s="19"/>
      <c r="W70" s="2"/>
      <c r="X70" s="2">
        <f t="shared" si="2"/>
        <v>-28.65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"4226", " - ", "SALES RETURN TAXABLE-WRITING I")</f>
        <v xml:space="preserve">          4226 - SALES RETURN TAXABLE-WRITING I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-35.02</f>
        <v>-35.020000000000003</v>
      </c>
      <c r="Q71" s="2"/>
      <c r="R71" s="19"/>
      <c r="S71" s="2"/>
      <c r="T71" s="2"/>
      <c r="U71" s="2"/>
      <c r="V71" s="19"/>
      <c r="W71" s="2"/>
      <c r="X71" s="2">
        <f t="shared" si="2"/>
        <v>-35.020000000000003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"4227", " - ", "SALES RETURN TAXABLE-SCHOOL SU")</f>
        <v xml:space="preserve">          4227 - SALES RETURN TAXABLE-SCHOOL SU</v>
      </c>
      <c r="C72" s="11"/>
      <c r="D72" s="2">
        <f>-80.63</f>
        <v>-80.63</v>
      </c>
      <c r="E72" s="2"/>
      <c r="F72" s="19"/>
      <c r="G72" s="2"/>
      <c r="H72" s="2"/>
      <c r="I72" s="2"/>
      <c r="J72" s="19"/>
      <c r="K72" s="2"/>
      <c r="L72" s="2">
        <f t="shared" si="0"/>
        <v>-80.63</v>
      </c>
      <c r="M72" s="2"/>
      <c r="N72" s="19">
        <f t="shared" si="1"/>
        <v>0</v>
      </c>
      <c r="O72" s="11"/>
      <c r="P72" s="2">
        <f>-1565.11</f>
        <v>-1565.11</v>
      </c>
      <c r="Q72" s="2"/>
      <c r="R72" s="19"/>
      <c r="S72" s="2"/>
      <c r="T72" s="2"/>
      <c r="U72" s="2"/>
      <c r="V72" s="19"/>
      <c r="W72" s="2"/>
      <c r="X72" s="2">
        <f t="shared" si="2"/>
        <v>-1565.11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"4228", " - ", "SALES RETURN TAXABLE-ART/TECH")</f>
        <v xml:space="preserve">          4228 - SALES RETURN TAXABLE-ART/TECH</v>
      </c>
      <c r="C73" s="11"/>
      <c r="D73" s="2">
        <f>-105.6</f>
        <v>-105.6</v>
      </c>
      <c r="E73" s="2"/>
      <c r="F73" s="19"/>
      <c r="G73" s="2"/>
      <c r="H73" s="2"/>
      <c r="I73" s="2"/>
      <c r="J73" s="19"/>
      <c r="K73" s="2"/>
      <c r="L73" s="2">
        <f t="shared" si="0"/>
        <v>-105.6</v>
      </c>
      <c r="M73" s="2"/>
      <c r="N73" s="19">
        <f t="shared" si="1"/>
        <v>0</v>
      </c>
      <c r="O73" s="11"/>
      <c r="P73" s="2">
        <f>-13079.33</f>
        <v>-13079.33</v>
      </c>
      <c r="Q73" s="2"/>
      <c r="R73" s="19"/>
      <c r="S73" s="2"/>
      <c r="T73" s="2"/>
      <c r="U73" s="2"/>
      <c r="V73" s="19"/>
      <c r="W73" s="2"/>
      <c r="X73" s="2">
        <f t="shared" si="2"/>
        <v>-13079.33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"4240", " - ", "SALES RETURN TAXABLE-LOGO CLOT")</f>
        <v xml:space="preserve">          4240 - SALES RETURN TAXABLE-LOGO CLOT</v>
      </c>
      <c r="C74" s="11"/>
      <c r="D74" s="2">
        <f>-4795.71</f>
        <v>-4795.71</v>
      </c>
      <c r="E74" s="2"/>
      <c r="F74" s="19"/>
      <c r="G74" s="2"/>
      <c r="H74" s="2"/>
      <c r="I74" s="2"/>
      <c r="J74" s="19"/>
      <c r="K74" s="2"/>
      <c r="L74" s="2">
        <f t="shared" si="0"/>
        <v>-4795.71</v>
      </c>
      <c r="M74" s="2"/>
      <c r="N74" s="19">
        <f t="shared" si="1"/>
        <v>0</v>
      </c>
      <c r="O74" s="11"/>
      <c r="P74" s="2">
        <f>-51889.15</f>
        <v>-51889.15</v>
      </c>
      <c r="Q74" s="2"/>
      <c r="R74" s="19"/>
      <c r="S74" s="2"/>
      <c r="T74" s="2"/>
      <c r="U74" s="2"/>
      <c r="V74" s="19"/>
      <c r="W74" s="2"/>
      <c r="X74" s="2">
        <f t="shared" si="2"/>
        <v>-51889.15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"4241", " - ", "SALES RETURN TAXABLE-LOGO GIFT")</f>
        <v xml:space="preserve">          4241 - SALES RETURN TAXABLE-LOGO GIFT</v>
      </c>
      <c r="C75" s="11"/>
      <c r="D75" s="2">
        <f>-1907.39</f>
        <v>-1907.39</v>
      </c>
      <c r="E75" s="2"/>
      <c r="F75" s="19"/>
      <c r="G75" s="2"/>
      <c r="H75" s="2"/>
      <c r="I75" s="2"/>
      <c r="J75" s="19"/>
      <c r="K75" s="2"/>
      <c r="L75" s="2">
        <f t="shared" si="0"/>
        <v>-1907.39</v>
      </c>
      <c r="M75" s="2"/>
      <c r="N75" s="19">
        <f t="shared" si="1"/>
        <v>0</v>
      </c>
      <c r="O75" s="11"/>
      <c r="P75" s="2">
        <f>-18587.93</f>
        <v>-18587.93</v>
      </c>
      <c r="Q75" s="2"/>
      <c r="R75" s="19"/>
      <c r="S75" s="2"/>
      <c r="T75" s="2"/>
      <c r="U75" s="2"/>
      <c r="V75" s="19"/>
      <c r="W75" s="2"/>
      <c r="X75" s="2">
        <f t="shared" si="2"/>
        <v>-18587.93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"4242", " - ", "SALES RETURN TAXABLE-EVERYDAY")</f>
        <v xml:space="preserve">          4242 - SALES RETURN TAXABLE-EVERYDAY</v>
      </c>
      <c r="C76" s="11"/>
      <c r="D76" s="2">
        <f>-131.98</f>
        <v>-131.97999999999999</v>
      </c>
      <c r="E76" s="2"/>
      <c r="F76" s="19"/>
      <c r="G76" s="2"/>
      <c r="H76" s="2"/>
      <c r="I76" s="2"/>
      <c r="J76" s="19"/>
      <c r="K76" s="2"/>
      <c r="L76" s="2">
        <f t="shared" si="0"/>
        <v>-131.97999999999999</v>
      </c>
      <c r="M76" s="2"/>
      <c r="N76" s="19">
        <f t="shared" si="1"/>
        <v>0</v>
      </c>
      <c r="O76" s="11"/>
      <c r="P76" s="2">
        <f>-2875.07</f>
        <v>-2875.07</v>
      </c>
      <c r="Q76" s="2"/>
      <c r="R76" s="19"/>
      <c r="S76" s="2"/>
      <c r="T76" s="2"/>
      <c r="U76" s="2"/>
      <c r="V76" s="19"/>
      <c r="W76" s="2"/>
      <c r="X76" s="2">
        <f t="shared" si="2"/>
        <v>-2875.07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"4243", " - ", "SALES RETURN TAXABLE-CARDS")</f>
        <v xml:space="preserve">          4243 - SALES RETURN TAXABLE-CARDS</v>
      </c>
      <c r="C77" s="11"/>
      <c r="D77" s="2">
        <f>-9.99</f>
        <v>-9.99</v>
      </c>
      <c r="E77" s="2"/>
      <c r="F77" s="19"/>
      <c r="G77" s="2"/>
      <c r="H77" s="2"/>
      <c r="I77" s="2"/>
      <c r="J77" s="19"/>
      <c r="K77" s="2"/>
      <c r="L77" s="2">
        <f t="shared" si="0"/>
        <v>-9.99</v>
      </c>
      <c r="M77" s="2"/>
      <c r="N77" s="19">
        <f t="shared" si="1"/>
        <v>0</v>
      </c>
      <c r="O77" s="11"/>
      <c r="P77" s="2">
        <f>-6228.98</f>
        <v>-6228.98</v>
      </c>
      <c r="Q77" s="2"/>
      <c r="R77" s="19"/>
      <c r="S77" s="2"/>
      <c r="T77" s="2"/>
      <c r="U77" s="2"/>
      <c r="V77" s="19"/>
      <c r="W77" s="2"/>
      <c r="X77" s="2">
        <f t="shared" si="2"/>
        <v>-6228.98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"4244", " - ", "SALES RETURN TAXABLE-ACCESSORI")</f>
        <v xml:space="preserve">          4244 - SALES RETURN TAXABLE-ACCESSORI</v>
      </c>
      <c r="C78" s="11"/>
      <c r="D78" s="2">
        <f>-34.84</f>
        <v>-34.840000000000003</v>
      </c>
      <c r="E78" s="2"/>
      <c r="F78" s="19"/>
      <c r="G78" s="2"/>
      <c r="H78" s="2"/>
      <c r="I78" s="2"/>
      <c r="J78" s="19"/>
      <c r="K78" s="2"/>
      <c r="L78" s="2">
        <f t="shared" si="0"/>
        <v>-34.840000000000003</v>
      </c>
      <c r="M78" s="2"/>
      <c r="N78" s="19">
        <f t="shared" si="1"/>
        <v>0</v>
      </c>
      <c r="O78" s="11"/>
      <c r="P78" s="2">
        <f>-1302.75</f>
        <v>-1302.75</v>
      </c>
      <c r="Q78" s="2"/>
      <c r="R78" s="19"/>
      <c r="S78" s="2"/>
      <c r="T78" s="2"/>
      <c r="U78" s="2"/>
      <c r="V78" s="19"/>
      <c r="W78" s="2"/>
      <c r="X78" s="2">
        <f t="shared" si="2"/>
        <v>-1302.75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"4245", " - ", "SALES RETURN TAXABLE-SPECIAL O")</f>
        <v xml:space="preserve">          4245 - SALES RETURN TAXABLE-SPECIAL O</v>
      </c>
      <c r="C79" s="11"/>
      <c r="D79" s="2">
        <f>-3318.4</f>
        <v>-3318.4</v>
      </c>
      <c r="E79" s="2"/>
      <c r="F79" s="19"/>
      <c r="G79" s="2"/>
      <c r="H79" s="2"/>
      <c r="I79" s="2"/>
      <c r="J79" s="19"/>
      <c r="K79" s="2"/>
      <c r="L79" s="2">
        <f t="shared" si="0"/>
        <v>-3318.4</v>
      </c>
      <c r="M79" s="2"/>
      <c r="N79" s="19">
        <f t="shared" si="1"/>
        <v>0</v>
      </c>
      <c r="O79" s="11"/>
      <c r="P79" s="2">
        <f>-18779.13</f>
        <v>-18779.13</v>
      </c>
      <c r="Q79" s="2"/>
      <c r="R79" s="19"/>
      <c r="S79" s="2"/>
      <c r="T79" s="2"/>
      <c r="U79" s="2"/>
      <c r="V79" s="19"/>
      <c r="W79" s="2"/>
      <c r="X79" s="2">
        <f t="shared" si="2"/>
        <v>-18779.13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"4281", " - ", "SALES RETURN TAXABLE-ELECTRONI")</f>
        <v xml:space="preserve">          4281 - SALES RETURN TAXABLE-ELECTRONI</v>
      </c>
      <c r="C80" s="11"/>
      <c r="D80" s="2">
        <f>-529.99</f>
        <v>-529.99</v>
      </c>
      <c r="E80" s="2"/>
      <c r="F80" s="19"/>
      <c r="G80" s="2"/>
      <c r="H80" s="2"/>
      <c r="I80" s="2"/>
      <c r="J80" s="19"/>
      <c r="K80" s="2"/>
      <c r="L80" s="2">
        <f t="shared" si="0"/>
        <v>-529.99</v>
      </c>
      <c r="M80" s="2"/>
      <c r="N80" s="19">
        <f t="shared" si="1"/>
        <v>0</v>
      </c>
      <c r="O80" s="11"/>
      <c r="P80" s="2">
        <f>-15372.12</f>
        <v>-15372.12</v>
      </c>
      <c r="Q80" s="2"/>
      <c r="R80" s="19"/>
      <c r="S80" s="2"/>
      <c r="T80" s="2"/>
      <c r="U80" s="2"/>
      <c r="V80" s="19"/>
      <c r="W80" s="2"/>
      <c r="X80" s="2">
        <f t="shared" si="2"/>
        <v>-15372.12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"4282", " - ", "SALES RETURN TAXABLE-COMPUTER")</f>
        <v xml:space="preserve">          4282 - SALES RETURN TAXABLE-COMPUTER</v>
      </c>
      <c r="C81" s="11"/>
      <c r="D81" s="2">
        <f>-44973</f>
        <v>-44973</v>
      </c>
      <c r="E81" s="2"/>
      <c r="F81" s="19"/>
      <c r="G81" s="2"/>
      <c r="H81" s="2"/>
      <c r="I81" s="2"/>
      <c r="J81" s="19"/>
      <c r="K81" s="2"/>
      <c r="L81" s="2">
        <f t="shared" si="0"/>
        <v>-44973</v>
      </c>
      <c r="M81" s="2"/>
      <c r="N81" s="19">
        <f t="shared" si="1"/>
        <v>0</v>
      </c>
      <c r="O81" s="11"/>
      <c r="P81" s="2">
        <f>-285193.17</f>
        <v>-285193.17</v>
      </c>
      <c r="Q81" s="2"/>
      <c r="R81" s="19"/>
      <c r="S81" s="2"/>
      <c r="T81" s="2"/>
      <c r="U81" s="2"/>
      <c r="V81" s="19"/>
      <c r="W81" s="2"/>
      <c r="X81" s="2">
        <f t="shared" si="2"/>
        <v>-285193.17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"4283", " - ", "SALES RETURN TAXABLE-COMPUTER")</f>
        <v xml:space="preserve">          4283 - SALES RETURN TAXABLE-COMPUTER</v>
      </c>
      <c r="C82" s="11"/>
      <c r="D82" s="2">
        <f>-23.47</f>
        <v>-23.47</v>
      </c>
      <c r="E82" s="2"/>
      <c r="F82" s="19"/>
      <c r="G82" s="2"/>
      <c r="H82" s="2"/>
      <c r="I82" s="2"/>
      <c r="J82" s="19"/>
      <c r="K82" s="2"/>
      <c r="L82" s="2">
        <f t="shared" si="0"/>
        <v>-23.47</v>
      </c>
      <c r="M82" s="2"/>
      <c r="N82" s="19">
        <f t="shared" si="1"/>
        <v>0</v>
      </c>
      <c r="O82" s="11"/>
      <c r="P82" s="2">
        <f>-4152.64</f>
        <v>-4152.6400000000003</v>
      </c>
      <c r="Q82" s="2"/>
      <c r="R82" s="19"/>
      <c r="S82" s="2"/>
      <c r="T82" s="2"/>
      <c r="U82" s="2"/>
      <c r="V82" s="19"/>
      <c r="W82" s="2"/>
      <c r="X82" s="2">
        <f t="shared" si="2"/>
        <v>-4152.6400000000003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"4285", " - ", "SALES RETURN TAXABLE-SOFTWARE")</f>
        <v xml:space="preserve">          4285 - SALES RETURN TAXABLE-SOFTWARE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-1091.79</f>
        <v>-1091.79</v>
      </c>
      <c r="Q83" s="2"/>
      <c r="R83" s="19"/>
      <c r="S83" s="2"/>
      <c r="T83" s="2"/>
      <c r="U83" s="2"/>
      <c r="V83" s="19"/>
      <c r="W83" s="2"/>
      <c r="X83" s="2">
        <f t="shared" si="2"/>
        <v>-1091.79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"4286", " - ", "SALES RETURN TAXABLE-COMPUTER")</f>
        <v xml:space="preserve">          4286 - SALES RETURN TAXABLE-COMPUTER</v>
      </c>
      <c r="C84" s="11"/>
      <c r="D84" s="2">
        <f>-9.99</f>
        <v>-9.99</v>
      </c>
      <c r="E84" s="2"/>
      <c r="F84" s="19"/>
      <c r="G84" s="2"/>
      <c r="H84" s="2"/>
      <c r="I84" s="2"/>
      <c r="J84" s="19"/>
      <c r="K84" s="2"/>
      <c r="L84" s="2">
        <f t="shared" si="0"/>
        <v>-9.99</v>
      </c>
      <c r="M84" s="2"/>
      <c r="N84" s="19">
        <f t="shared" si="1"/>
        <v>0</v>
      </c>
      <c r="O84" s="11"/>
      <c r="P84" s="2">
        <f>-4812.28</f>
        <v>-4812.28</v>
      </c>
      <c r="Q84" s="2"/>
      <c r="R84" s="19"/>
      <c r="S84" s="2"/>
      <c r="T84" s="2"/>
      <c r="U84" s="2"/>
      <c r="V84" s="19"/>
      <c r="W84" s="2"/>
      <c r="X84" s="2">
        <f t="shared" si="2"/>
        <v>-4812.28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"4301", " - ", "SALES RETURN NON TAXABLE-NEW T")</f>
        <v xml:space="preserve">          4301 - SALES RETURN NON TAXABLE-NEW T</v>
      </c>
      <c r="C85" s="11"/>
      <c r="D85" s="2">
        <f>-169.32</f>
        <v>-169.32</v>
      </c>
      <c r="E85" s="2"/>
      <c r="F85" s="19"/>
      <c r="G85" s="2"/>
      <c r="H85" s="2"/>
      <c r="I85" s="2"/>
      <c r="J85" s="19"/>
      <c r="K85" s="2"/>
      <c r="L85" s="2">
        <f t="shared" si="0"/>
        <v>-169.32</v>
      </c>
      <c r="M85" s="2"/>
      <c r="N85" s="19">
        <f t="shared" si="1"/>
        <v>0</v>
      </c>
      <c r="O85" s="11"/>
      <c r="P85" s="2">
        <f>-4965.68</f>
        <v>-4965.68</v>
      </c>
      <c r="Q85" s="2"/>
      <c r="R85" s="19"/>
      <c r="S85" s="2"/>
      <c r="T85" s="2"/>
      <c r="U85" s="2"/>
      <c r="V85" s="19"/>
      <c r="W85" s="2"/>
      <c r="X85" s="2">
        <f t="shared" si="2"/>
        <v>-4965.68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"4302", " - ", "SALES RETURN NON TAXABLE-TEXT")</f>
        <v xml:space="preserve">          4302 - SALES RETURN NON TAXABLE-TEXT</v>
      </c>
      <c r="C86" s="11"/>
      <c r="D86" s="2">
        <f>-111.43</f>
        <v>-111.43</v>
      </c>
      <c r="E86" s="2"/>
      <c r="F86" s="19"/>
      <c r="G86" s="2"/>
      <c r="H86" s="2"/>
      <c r="I86" s="2"/>
      <c r="J86" s="19"/>
      <c r="K86" s="2"/>
      <c r="L86" s="2">
        <f t="shared" si="0"/>
        <v>-111.43</v>
      </c>
      <c r="M86" s="2"/>
      <c r="N86" s="19">
        <f t="shared" si="1"/>
        <v>0</v>
      </c>
      <c r="O86" s="11"/>
      <c r="P86" s="2">
        <f>-2688.97</f>
        <v>-2688.97</v>
      </c>
      <c r="Q86" s="2"/>
      <c r="R86" s="19"/>
      <c r="S86" s="2"/>
      <c r="T86" s="2"/>
      <c r="U86" s="2"/>
      <c r="V86" s="19"/>
      <c r="W86" s="2"/>
      <c r="X86" s="2">
        <f t="shared" si="2"/>
        <v>-2688.97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"4304", " - ", "SALES RETURN NON TAXABLE-DIGIT")</f>
        <v xml:space="preserve">          4304 - SALES RETURN NON TAXABLE-DIGIT</v>
      </c>
      <c r="C87" s="11"/>
      <c r="D87" s="2">
        <f>-144.89</f>
        <v>-144.88999999999999</v>
      </c>
      <c r="E87" s="2"/>
      <c r="F87" s="19"/>
      <c r="G87" s="2"/>
      <c r="H87" s="2"/>
      <c r="I87" s="2"/>
      <c r="J87" s="19"/>
      <c r="K87" s="2"/>
      <c r="L87" s="2">
        <f t="shared" si="0"/>
        <v>-144.88999999999999</v>
      </c>
      <c r="M87" s="2"/>
      <c r="N87" s="19">
        <f t="shared" si="1"/>
        <v>0</v>
      </c>
      <c r="O87" s="11"/>
      <c r="P87" s="2">
        <f>-31026.87</f>
        <v>-31026.87</v>
      </c>
      <c r="Q87" s="2"/>
      <c r="R87" s="19"/>
      <c r="S87" s="2"/>
      <c r="T87" s="2"/>
      <c r="U87" s="2"/>
      <c r="V87" s="19"/>
      <c r="W87" s="2"/>
      <c r="X87" s="2">
        <f t="shared" si="2"/>
        <v>-31026.87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"4327", " - ", "SALES RETURN NON TAXABLE-SCHOO")</f>
        <v xml:space="preserve">          4327 - SALES RETURN NON TAXABLE-SCHOO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-17.41</f>
        <v>-17.41</v>
      </c>
      <c r="Q88" s="2"/>
      <c r="R88" s="19"/>
      <c r="S88" s="2"/>
      <c r="T88" s="2"/>
      <c r="U88" s="2"/>
      <c r="V88" s="19"/>
      <c r="W88" s="2"/>
      <c r="X88" s="2">
        <f t="shared" si="2"/>
        <v>-17.41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"4340", " - ", "SALES RETURN NON TAXABLE-LOGO")</f>
        <v xml:space="preserve">          4340 - SALES RETURN NON TAXABLE-LOGO</v>
      </c>
      <c r="C89" s="11"/>
      <c r="D89" s="2">
        <f>-286.5</f>
        <v>-286.5</v>
      </c>
      <c r="E89" s="2"/>
      <c r="F89" s="19"/>
      <c r="G89" s="2"/>
      <c r="H89" s="2"/>
      <c r="I89" s="2"/>
      <c r="J89" s="19"/>
      <c r="K89" s="2"/>
      <c r="L89" s="2">
        <f t="shared" si="0"/>
        <v>-286.5</v>
      </c>
      <c r="M89" s="2"/>
      <c r="N89" s="19">
        <f t="shared" si="1"/>
        <v>0</v>
      </c>
      <c r="O89" s="11"/>
      <c r="P89" s="2">
        <f>-3737.76</f>
        <v>-3737.76</v>
      </c>
      <c r="Q89" s="2"/>
      <c r="R89" s="19"/>
      <c r="S89" s="2"/>
      <c r="T89" s="2"/>
      <c r="U89" s="2"/>
      <c r="V89" s="19"/>
      <c r="W89" s="2"/>
      <c r="X89" s="2">
        <f t="shared" si="2"/>
        <v>-3737.76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"4341", " - ", "SALES RETURN NON TAXABLE-LOGO")</f>
        <v xml:space="preserve">          4341 - SALES RETURN NON TAXABLE-LOGO</v>
      </c>
      <c r="C90" s="11"/>
      <c r="D90" s="2">
        <f>-20.85</f>
        <v>-20.85</v>
      </c>
      <c r="E90" s="2"/>
      <c r="F90" s="19"/>
      <c r="G90" s="2"/>
      <c r="H90" s="2"/>
      <c r="I90" s="2"/>
      <c r="J90" s="19"/>
      <c r="K90" s="2"/>
      <c r="L90" s="2">
        <f t="shared" si="0"/>
        <v>-20.85</v>
      </c>
      <c r="M90" s="2"/>
      <c r="N90" s="19">
        <f t="shared" si="1"/>
        <v>0</v>
      </c>
      <c r="O90" s="11"/>
      <c r="P90" s="2">
        <f>-527.59</f>
        <v>-527.59</v>
      </c>
      <c r="Q90" s="2"/>
      <c r="R90" s="19"/>
      <c r="S90" s="2"/>
      <c r="T90" s="2"/>
      <c r="U90" s="2"/>
      <c r="V90" s="19"/>
      <c r="W90" s="2"/>
      <c r="X90" s="2">
        <f t="shared" si="2"/>
        <v>-527.59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"4342", " - ", "SALES RETURN NON TAXABLE-EVERY")</f>
        <v xml:space="preserve">          4342 - SALES RETURN NON TAXABLE-EVERY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-118.7</f>
        <v>-118.7</v>
      </c>
      <c r="Q91" s="2"/>
      <c r="R91" s="19"/>
      <c r="S91" s="2"/>
      <c r="T91" s="2"/>
      <c r="U91" s="2"/>
      <c r="V91" s="19"/>
      <c r="W91" s="2"/>
      <c r="X91" s="2">
        <f t="shared" si="2"/>
        <v>-118.7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"4381", " - ", "SALES RETURN NON TAXABLE-ELECT")</f>
        <v xml:space="preserve">          4381 - SALES RETURN NON TAXABLE-ELECT</v>
      </c>
      <c r="C92" s="11"/>
      <c r="D92" s="2">
        <f>-1.99</f>
        <v>-1.99</v>
      </c>
      <c r="E92" s="2"/>
      <c r="F92" s="19"/>
      <c r="G92" s="2"/>
      <c r="H92" s="2"/>
      <c r="I92" s="2"/>
      <c r="J92" s="19"/>
      <c r="K92" s="2"/>
      <c r="L92" s="2">
        <f t="shared" si="0"/>
        <v>-1.99</v>
      </c>
      <c r="M92" s="2"/>
      <c r="N92" s="19">
        <f t="shared" si="1"/>
        <v>0</v>
      </c>
      <c r="O92" s="11"/>
      <c r="P92" s="2">
        <f>-5626.14</f>
        <v>-5626.14</v>
      </c>
      <c r="Q92" s="2"/>
      <c r="R92" s="19"/>
      <c r="S92" s="2"/>
      <c r="T92" s="2"/>
      <c r="U92" s="2"/>
      <c r="V92" s="19"/>
      <c r="W92" s="2"/>
      <c r="X92" s="2">
        <f t="shared" si="2"/>
        <v>-5626.14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"4383", " - ", "SALES RETURN NON TAXABLE-COMPU")</f>
        <v xml:space="preserve">          4383 - SALES RETURN NON TAXABLE-COMPU</v>
      </c>
      <c r="C93" s="11"/>
      <c r="D93" s="2">
        <f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-14.99</f>
        <v>-14.99</v>
      </c>
      <c r="Q93" s="2"/>
      <c r="R93" s="19"/>
      <c r="S93" s="2"/>
      <c r="T93" s="2"/>
      <c r="U93" s="2"/>
      <c r="V93" s="19"/>
      <c r="W93" s="2"/>
      <c r="X93" s="2">
        <f t="shared" si="2"/>
        <v>-14.99</v>
      </c>
      <c r="Y93" s="2"/>
      <c r="Z93" s="19">
        <f t="shared" si="3"/>
        <v>0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collapsed="1" x14ac:dyDescent="0.25">
      <c r="A95" s="10"/>
      <c r="B95" s="29" t="s">
        <v>257</v>
      </c>
      <c r="C95" s="10"/>
      <c r="D95" s="4">
        <f>SUM(OSRRefD16x_0)</f>
        <v>288585.3299999999</v>
      </c>
      <c r="E95" s="4"/>
      <c r="F95" s="12">
        <f t="shared" ref="F95:F150" si="5">IF(D$12=0,0,D95/D$12)</f>
        <v>0.87666319679546578</v>
      </c>
      <c r="G95" s="4"/>
      <c r="H95" s="4">
        <f>SUM(OSRRefH16x_0)</f>
        <v>423191</v>
      </c>
      <c r="I95" s="4"/>
      <c r="J95" s="12">
        <f t="shared" ref="J95:J150" si="6">IF(H$12=0,0,H95/H$12)</f>
        <v>0.63031128984212093</v>
      </c>
      <c r="K95" s="4"/>
      <c r="L95" s="4">
        <f t="shared" ref="L95:L150" si="7">+D95-H95</f>
        <v>-134605.6700000001</v>
      </c>
      <c r="M95" s="4"/>
      <c r="N95" s="12">
        <f t="shared" ref="N95:N150" si="8">IF(H95=0,0,L95/H95)</f>
        <v>-0.31807309229166053</v>
      </c>
      <c r="O95" s="10"/>
      <c r="P95" s="4">
        <f>SUM(OSRRefP16x_0)</f>
        <v>5771855.9900000012</v>
      </c>
      <c r="Q95" s="4"/>
      <c r="R95" s="12">
        <f t="shared" ref="R95:R150" si="9">IF(P$12=0,0,P95/P$12)</f>
        <v>0.71159506577385434</v>
      </c>
      <c r="S95" s="4"/>
      <c r="T95" s="4">
        <f>SUM(OSRRefT16x_0)</f>
        <v>7306656</v>
      </c>
      <c r="U95" s="4"/>
      <c r="V95" s="12">
        <f t="shared" ref="V95:V150" si="10">IF(T$12=0,0,T95/T$12)</f>
        <v>0.62679436591107529</v>
      </c>
      <c r="W95" s="4"/>
      <c r="X95" s="4">
        <f t="shared" ref="X95:X150" si="11">+P95-T95</f>
        <v>-1534800.0099999988</v>
      </c>
      <c r="Y95" s="4"/>
      <c r="Z95" s="12">
        <f t="shared" ref="Z95:Z150" si="12">IF(T95=0,0,X95/T95)</f>
        <v>-0.21005505254387216</v>
      </c>
    </row>
    <row r="96" spans="1:26" s="24" customFormat="1" hidden="1" outlineLevel="1" x14ac:dyDescent="0.25">
      <c r="A96" s="44"/>
      <c r="B96" s="11" t="str">
        <f>CONCATENATE("          ", "5000", " - ", "PURCHASES @ COST")</f>
        <v xml:space="preserve">          5000 - PURCHASES @ COST</v>
      </c>
      <c r="C96" s="11"/>
      <c r="D96" s="2"/>
      <c r="E96" s="2"/>
      <c r="F96" s="19">
        <f t="shared" si="5"/>
        <v>0</v>
      </c>
      <c r="G96" s="2"/>
      <c r="H96" s="2">
        <v>423191</v>
      </c>
      <c r="I96" s="2"/>
      <c r="J96" s="19">
        <f t="shared" si="6"/>
        <v>0.63031128984212093</v>
      </c>
      <c r="K96" s="2"/>
      <c r="L96" s="2">
        <f t="shared" si="7"/>
        <v>-423191</v>
      </c>
      <c r="M96" s="2"/>
      <c r="N96" s="19">
        <f t="shared" si="8"/>
        <v>-1</v>
      </c>
      <c r="O96" s="11"/>
      <c r="P96" s="2">
        <v>0</v>
      </c>
      <c r="Q96" s="2"/>
      <c r="R96" s="19">
        <f t="shared" si="9"/>
        <v>0</v>
      </c>
      <c r="S96" s="2"/>
      <c r="T96" s="2">
        <v>7306656</v>
      </c>
      <c r="U96" s="2"/>
      <c r="V96" s="19">
        <f t="shared" si="10"/>
        <v>0.62679436591107529</v>
      </c>
      <c r="W96" s="2"/>
      <c r="X96" s="2">
        <f t="shared" si="11"/>
        <v>-7306656</v>
      </c>
      <c r="Y96" s="2"/>
      <c r="Z96" s="19">
        <f t="shared" si="12"/>
        <v>-1</v>
      </c>
    </row>
    <row r="97" spans="1:26" s="24" customFormat="1" hidden="1" outlineLevel="1" x14ac:dyDescent="0.25">
      <c r="A97" s="44"/>
      <c r="B97" s="11" t="str">
        <f>CONCATENATE("          ", "5001", " - ", "PURCHASES @ COST-NEW TEXT")</f>
        <v xml:space="preserve">          5001 - PURCHASES @ COST-NEW TEXT</v>
      </c>
      <c r="C97" s="11"/>
      <c r="D97" s="2">
        <v>142777.26</v>
      </c>
      <c r="E97" s="2"/>
      <c r="F97" s="19">
        <f t="shared" si="5"/>
        <v>0.43372810801331252</v>
      </c>
      <c r="G97" s="2"/>
      <c r="H97" s="2"/>
      <c r="I97" s="2"/>
      <c r="J97" s="19">
        <f t="shared" si="6"/>
        <v>0</v>
      </c>
      <c r="K97" s="2"/>
      <c r="L97" s="2">
        <f t="shared" si="7"/>
        <v>142777.26</v>
      </c>
      <c r="M97" s="2"/>
      <c r="N97" s="19">
        <f t="shared" si="8"/>
        <v>0</v>
      </c>
      <c r="O97" s="11"/>
      <c r="P97" s="2">
        <v>1214343.74</v>
      </c>
      <c r="Q97" s="2"/>
      <c r="R97" s="19">
        <f t="shared" si="9"/>
        <v>0.14971285060377401</v>
      </c>
      <c r="S97" s="2"/>
      <c r="T97" s="2"/>
      <c r="U97" s="2"/>
      <c r="V97" s="19">
        <f t="shared" si="10"/>
        <v>0</v>
      </c>
      <c r="W97" s="2"/>
      <c r="X97" s="2">
        <f t="shared" si="11"/>
        <v>1214343.74</v>
      </c>
      <c r="Y97" s="2"/>
      <c r="Z97" s="19">
        <f t="shared" si="12"/>
        <v>0</v>
      </c>
    </row>
    <row r="98" spans="1:26" s="24" customFormat="1" hidden="1" outlineLevel="1" x14ac:dyDescent="0.25">
      <c r="A98" s="44"/>
      <c r="B98" s="11" t="str">
        <f>CONCATENATE("          ", "5002", " - ", "PURCHASES @ COST-USED TEXT")</f>
        <v xml:space="preserve">          5002 - PURCHASES @ COST-USED TEXT</v>
      </c>
      <c r="C98" s="11"/>
      <c r="D98" s="2">
        <v>-17366.759999999998</v>
      </c>
      <c r="E98" s="2"/>
      <c r="F98" s="19">
        <f t="shared" si="5"/>
        <v>-5.2756664171320237E-2</v>
      </c>
      <c r="G98" s="2"/>
      <c r="H98" s="2"/>
      <c r="I98" s="2"/>
      <c r="J98" s="19">
        <f t="shared" si="6"/>
        <v>0</v>
      </c>
      <c r="K98" s="2"/>
      <c r="L98" s="2">
        <f t="shared" si="7"/>
        <v>-17366.759999999998</v>
      </c>
      <c r="M98" s="2"/>
      <c r="N98" s="19">
        <f t="shared" si="8"/>
        <v>0</v>
      </c>
      <c r="O98" s="11"/>
      <c r="P98" s="2">
        <v>262546.52</v>
      </c>
      <c r="Q98" s="2"/>
      <c r="R98" s="19">
        <f t="shared" si="9"/>
        <v>3.2368584471231157E-2</v>
      </c>
      <c r="S98" s="2"/>
      <c r="T98" s="2"/>
      <c r="U98" s="2"/>
      <c r="V98" s="19">
        <f t="shared" si="10"/>
        <v>0</v>
      </c>
      <c r="W98" s="2"/>
      <c r="X98" s="2">
        <f t="shared" si="11"/>
        <v>262546.52</v>
      </c>
      <c r="Y98" s="2"/>
      <c r="Z98" s="19">
        <f t="shared" si="12"/>
        <v>0</v>
      </c>
    </row>
    <row r="99" spans="1:26" s="24" customFormat="1" hidden="1" outlineLevel="1" x14ac:dyDescent="0.25">
      <c r="A99" s="44"/>
      <c r="B99" s="11" t="str">
        <f>CONCATENATE("          ", "5003", " - ", "PURCHASES @ COST-RENTAL TEXT")</f>
        <v xml:space="preserve">          5003 - PURCHASES @ COST-RENTAL TEXT</v>
      </c>
      <c r="C99" s="11"/>
      <c r="D99" s="2">
        <v>6024.36</v>
      </c>
      <c r="E99" s="2"/>
      <c r="F99" s="19">
        <f t="shared" si="5"/>
        <v>1.830077327994023E-2</v>
      </c>
      <c r="G99" s="2"/>
      <c r="H99" s="2"/>
      <c r="I99" s="2"/>
      <c r="J99" s="19">
        <f t="shared" si="6"/>
        <v>0</v>
      </c>
      <c r="K99" s="2"/>
      <c r="L99" s="2">
        <f t="shared" si="7"/>
        <v>6024.36</v>
      </c>
      <c r="M99" s="2"/>
      <c r="N99" s="19">
        <f t="shared" si="8"/>
        <v>0</v>
      </c>
      <c r="O99" s="11"/>
      <c r="P99" s="2">
        <v>13236.44</v>
      </c>
      <c r="Q99" s="2"/>
      <c r="R99" s="19">
        <f t="shared" si="9"/>
        <v>1.6318815661254353E-3</v>
      </c>
      <c r="S99" s="2"/>
      <c r="T99" s="2"/>
      <c r="U99" s="2"/>
      <c r="V99" s="19">
        <f t="shared" si="10"/>
        <v>0</v>
      </c>
      <c r="W99" s="2"/>
      <c r="X99" s="2">
        <f t="shared" si="11"/>
        <v>13236.44</v>
      </c>
      <c r="Y99" s="2"/>
      <c r="Z99" s="19">
        <f t="shared" si="12"/>
        <v>0</v>
      </c>
    </row>
    <row r="100" spans="1:26" s="24" customFormat="1" hidden="1" outlineLevel="1" x14ac:dyDescent="0.25">
      <c r="A100" s="44"/>
      <c r="B100" s="11" t="str">
        <f>CONCATENATE("          ", "5004", " - ", "PURCHASES @ COST-DIGITAL TEXT")</f>
        <v xml:space="preserve">          5004 - PURCHASES @ COST-DIGITAL TEXT</v>
      </c>
      <c r="C100" s="11"/>
      <c r="D100" s="2">
        <v>178285.37</v>
      </c>
      <c r="E100" s="2"/>
      <c r="F100" s="19">
        <f t="shared" si="5"/>
        <v>0.5415944823184965</v>
      </c>
      <c r="G100" s="2"/>
      <c r="H100" s="2"/>
      <c r="I100" s="2"/>
      <c r="J100" s="19">
        <f t="shared" si="6"/>
        <v>0</v>
      </c>
      <c r="K100" s="2"/>
      <c r="L100" s="2">
        <f t="shared" si="7"/>
        <v>178285.37</v>
      </c>
      <c r="M100" s="2"/>
      <c r="N100" s="19">
        <f t="shared" si="8"/>
        <v>0</v>
      </c>
      <c r="O100" s="11"/>
      <c r="P100" s="2">
        <v>377891.8</v>
      </c>
      <c r="Q100" s="2"/>
      <c r="R100" s="19">
        <f t="shared" si="9"/>
        <v>4.6589163129206926E-2</v>
      </c>
      <c r="S100" s="2"/>
      <c r="T100" s="2"/>
      <c r="U100" s="2"/>
      <c r="V100" s="19">
        <f t="shared" si="10"/>
        <v>0</v>
      </c>
      <c r="W100" s="2"/>
      <c r="X100" s="2">
        <f t="shared" si="11"/>
        <v>377891.8</v>
      </c>
      <c r="Y100" s="2"/>
      <c r="Z100" s="19">
        <f t="shared" si="12"/>
        <v>0</v>
      </c>
    </row>
    <row r="101" spans="1:26" s="24" customFormat="1" hidden="1" outlineLevel="1" x14ac:dyDescent="0.25">
      <c r="A101" s="44"/>
      <c r="B101" s="11" t="str">
        <f>CONCATENATE("          ", "5011", " - ", "PURCHASES @ COST-NO VALUE TEXT")</f>
        <v xml:space="preserve">          5011 - PURCHASES @ COST-NO VALUE TEXT</v>
      </c>
      <c r="C101" s="11"/>
      <c r="D101" s="2">
        <v>63.17</v>
      </c>
      <c r="E101" s="2"/>
      <c r="F101" s="19">
        <f t="shared" si="5"/>
        <v>1.9189753734734054E-4</v>
      </c>
      <c r="G101" s="2"/>
      <c r="H101" s="2"/>
      <c r="I101" s="2"/>
      <c r="J101" s="19">
        <f t="shared" si="6"/>
        <v>0</v>
      </c>
      <c r="K101" s="2"/>
      <c r="L101" s="2">
        <f t="shared" si="7"/>
        <v>63.17</v>
      </c>
      <c r="M101" s="2"/>
      <c r="N101" s="19">
        <f t="shared" si="8"/>
        <v>0</v>
      </c>
      <c r="O101" s="11"/>
      <c r="P101" s="2">
        <v>130.34</v>
      </c>
      <c r="Q101" s="2"/>
      <c r="R101" s="19">
        <f t="shared" si="9"/>
        <v>1.6069233368548435E-5</v>
      </c>
      <c r="S101" s="2"/>
      <c r="T101" s="2"/>
      <c r="U101" s="2"/>
      <c r="V101" s="19">
        <f t="shared" si="10"/>
        <v>0</v>
      </c>
      <c r="W101" s="2"/>
      <c r="X101" s="2">
        <f t="shared" si="11"/>
        <v>130.34</v>
      </c>
      <c r="Y101" s="2"/>
      <c r="Z101" s="19">
        <f t="shared" si="12"/>
        <v>0</v>
      </c>
    </row>
    <row r="102" spans="1:26" s="24" customFormat="1" hidden="1" outlineLevel="1" x14ac:dyDescent="0.25">
      <c r="A102" s="44"/>
      <c r="B102" s="11" t="str">
        <f>CONCATENATE("          ", "5013", " - ", "PURCHASES @ COST-TRADE BOOKS")</f>
        <v xml:space="preserve">          5013 - PURCHASES @ COST-TRADE BOOKS</v>
      </c>
      <c r="C102" s="11"/>
      <c r="D102" s="2">
        <v>1964.92</v>
      </c>
      <c r="E102" s="2"/>
      <c r="F102" s="19">
        <f t="shared" si="5"/>
        <v>5.9690249973806614E-3</v>
      </c>
      <c r="G102" s="2"/>
      <c r="H102" s="2"/>
      <c r="I102" s="2"/>
      <c r="J102" s="19">
        <f t="shared" si="6"/>
        <v>0</v>
      </c>
      <c r="K102" s="2"/>
      <c r="L102" s="2">
        <f t="shared" si="7"/>
        <v>1964.92</v>
      </c>
      <c r="M102" s="2"/>
      <c r="N102" s="19">
        <f t="shared" si="8"/>
        <v>0</v>
      </c>
      <c r="O102" s="11"/>
      <c r="P102" s="2">
        <v>11634.94</v>
      </c>
      <c r="Q102" s="2"/>
      <c r="R102" s="19">
        <f t="shared" si="9"/>
        <v>1.4344373645009893E-3</v>
      </c>
      <c r="S102" s="2"/>
      <c r="T102" s="2"/>
      <c r="U102" s="2"/>
      <c r="V102" s="19">
        <f t="shared" si="10"/>
        <v>0</v>
      </c>
      <c r="W102" s="2"/>
      <c r="X102" s="2">
        <f t="shared" si="11"/>
        <v>11634.94</v>
      </c>
      <c r="Y102" s="2"/>
      <c r="Z102" s="19">
        <f t="shared" si="12"/>
        <v>0</v>
      </c>
    </row>
    <row r="103" spans="1:26" s="24" customFormat="1" hidden="1" outlineLevel="1" x14ac:dyDescent="0.25">
      <c r="A103" s="44"/>
      <c r="B103" s="11" t="str">
        <f>CONCATENATE("          ", "5014", " - ", "PURCHASES @ COST-REMAINDERS")</f>
        <v xml:space="preserve">          5014 - PURCHASES @ COST-REMAINDERS</v>
      </c>
      <c r="C103" s="11"/>
      <c r="D103" s="2">
        <v>-161.43</v>
      </c>
      <c r="E103" s="2"/>
      <c r="F103" s="19">
        <f t="shared" si="5"/>
        <v>-4.9039131635240127E-4</v>
      </c>
      <c r="G103" s="2"/>
      <c r="H103" s="2"/>
      <c r="I103" s="2"/>
      <c r="J103" s="19">
        <f t="shared" si="6"/>
        <v>0</v>
      </c>
      <c r="K103" s="2"/>
      <c r="L103" s="2">
        <f t="shared" si="7"/>
        <v>-161.43</v>
      </c>
      <c r="M103" s="2"/>
      <c r="N103" s="19">
        <f t="shared" si="8"/>
        <v>0</v>
      </c>
      <c r="O103" s="11"/>
      <c r="P103" s="2">
        <v>-49.86</v>
      </c>
      <c r="Q103" s="2"/>
      <c r="R103" s="19">
        <f t="shared" si="9"/>
        <v>-6.1470920343396116E-6</v>
      </c>
      <c r="S103" s="2"/>
      <c r="T103" s="2"/>
      <c r="U103" s="2"/>
      <c r="V103" s="19">
        <f t="shared" si="10"/>
        <v>0</v>
      </c>
      <c r="W103" s="2"/>
      <c r="X103" s="2">
        <f t="shared" si="11"/>
        <v>-49.86</v>
      </c>
      <c r="Y103" s="2"/>
      <c r="Z103" s="19">
        <f t="shared" si="12"/>
        <v>0</v>
      </c>
    </row>
    <row r="104" spans="1:26" s="24" customFormat="1" hidden="1" outlineLevel="1" x14ac:dyDescent="0.25">
      <c r="A104" s="44"/>
      <c r="B104" s="11" t="str">
        <f>CONCATENATE("          ", "5018", " - ", "PURCHASES @ COST-STUDY GUIDES")</f>
        <v xml:space="preserve">          5018 - PURCHASES @ COST-STUDY GUIDES</v>
      </c>
      <c r="C104" s="11"/>
      <c r="D104" s="2">
        <v>476.17</v>
      </c>
      <c r="E104" s="2"/>
      <c r="F104" s="19">
        <f t="shared" si="5"/>
        <v>1.4465070501612023E-3</v>
      </c>
      <c r="G104" s="2"/>
      <c r="H104" s="2"/>
      <c r="I104" s="2"/>
      <c r="J104" s="19">
        <f t="shared" si="6"/>
        <v>0</v>
      </c>
      <c r="K104" s="2"/>
      <c r="L104" s="2">
        <f t="shared" si="7"/>
        <v>476.17</v>
      </c>
      <c r="M104" s="2"/>
      <c r="N104" s="19">
        <f t="shared" si="8"/>
        <v>0</v>
      </c>
      <c r="O104" s="11"/>
      <c r="P104" s="2">
        <v>1443.38</v>
      </c>
      <c r="Q104" s="2"/>
      <c r="R104" s="19">
        <f t="shared" si="9"/>
        <v>1.7795005416215622E-4</v>
      </c>
      <c r="S104" s="2"/>
      <c r="T104" s="2"/>
      <c r="U104" s="2"/>
      <c r="V104" s="19">
        <f t="shared" si="10"/>
        <v>0</v>
      </c>
      <c r="W104" s="2"/>
      <c r="X104" s="2">
        <f t="shared" si="11"/>
        <v>1443.38</v>
      </c>
      <c r="Y104" s="2"/>
      <c r="Z104" s="19">
        <f t="shared" si="12"/>
        <v>0</v>
      </c>
    </row>
    <row r="105" spans="1:26" s="24" customFormat="1" hidden="1" outlineLevel="1" x14ac:dyDescent="0.25">
      <c r="A105" s="44"/>
      <c r="B105" s="11" t="str">
        <f>CONCATENATE("          ", "5025", " - ", "PURCHASES @ COST-TEST FORMS")</f>
        <v xml:space="preserve">          5025 - PURCHASES @ COST-TEST FORMS</v>
      </c>
      <c r="C105" s="11"/>
      <c r="D105" s="2">
        <v>161</v>
      </c>
      <c r="E105" s="2"/>
      <c r="F105" s="19">
        <f t="shared" si="5"/>
        <v>4.8908506431726809E-4</v>
      </c>
      <c r="G105" s="2"/>
      <c r="H105" s="2"/>
      <c r="I105" s="2"/>
      <c r="J105" s="19">
        <f t="shared" si="6"/>
        <v>0</v>
      </c>
      <c r="K105" s="2"/>
      <c r="L105" s="2">
        <f t="shared" si="7"/>
        <v>161</v>
      </c>
      <c r="M105" s="2"/>
      <c r="N105" s="19">
        <f t="shared" si="8"/>
        <v>0</v>
      </c>
      <c r="O105" s="11"/>
      <c r="P105" s="2">
        <v>760.29</v>
      </c>
      <c r="Q105" s="2"/>
      <c r="R105" s="19">
        <f t="shared" si="9"/>
        <v>9.373390699534823E-5</v>
      </c>
      <c r="S105" s="2"/>
      <c r="T105" s="2"/>
      <c r="U105" s="2"/>
      <c r="V105" s="19">
        <f t="shared" si="10"/>
        <v>0</v>
      </c>
      <c r="W105" s="2"/>
      <c r="X105" s="2">
        <f t="shared" si="11"/>
        <v>760.29</v>
      </c>
      <c r="Y105" s="2"/>
      <c r="Z105" s="19">
        <f t="shared" si="12"/>
        <v>0</v>
      </c>
    </row>
    <row r="106" spans="1:26" s="24" customFormat="1" hidden="1" outlineLevel="1" x14ac:dyDescent="0.25">
      <c r="A106" s="44"/>
      <c r="B106" s="11" t="str">
        <f>CONCATENATE("          ", "5026", " - ", "PURCHASES @ COST-WRITING INSTR")</f>
        <v xml:space="preserve">          5026 - PURCHASES @ COST-WRITING INSTR</v>
      </c>
      <c r="C106" s="11"/>
      <c r="D106" s="2">
        <v>1361.75</v>
      </c>
      <c r="E106" s="2"/>
      <c r="F106" s="19">
        <f t="shared" si="5"/>
        <v>4.1367179275406205E-3</v>
      </c>
      <c r="G106" s="2"/>
      <c r="H106" s="2"/>
      <c r="I106" s="2"/>
      <c r="J106" s="19">
        <f t="shared" si="6"/>
        <v>0</v>
      </c>
      <c r="K106" s="2"/>
      <c r="L106" s="2">
        <f t="shared" si="7"/>
        <v>1361.75</v>
      </c>
      <c r="M106" s="2"/>
      <c r="N106" s="19">
        <f t="shared" si="8"/>
        <v>0</v>
      </c>
      <c r="O106" s="11"/>
      <c r="P106" s="2">
        <v>1944.25</v>
      </c>
      <c r="Q106" s="2"/>
      <c r="R106" s="19">
        <f t="shared" si="9"/>
        <v>2.3970083609636562E-4</v>
      </c>
      <c r="S106" s="2"/>
      <c r="T106" s="2"/>
      <c r="U106" s="2"/>
      <c r="V106" s="19">
        <f t="shared" si="10"/>
        <v>0</v>
      </c>
      <c r="W106" s="2"/>
      <c r="X106" s="2">
        <f t="shared" si="11"/>
        <v>1944.25</v>
      </c>
      <c r="Y106" s="2"/>
      <c r="Z106" s="19">
        <f t="shared" si="12"/>
        <v>0</v>
      </c>
    </row>
    <row r="107" spans="1:26" s="24" customFormat="1" hidden="1" outlineLevel="1" x14ac:dyDescent="0.25">
      <c r="A107" s="44"/>
      <c r="B107" s="11" t="str">
        <f>CONCATENATE("          ", "5027", " - ", "PURCHASES @ COST-SCHOOL SUPPLI")</f>
        <v xml:space="preserve">          5027 - PURCHASES @ COST-SCHOOL SUPPLI</v>
      </c>
      <c r="C107" s="11"/>
      <c r="D107" s="2">
        <v>-23546.66</v>
      </c>
      <c r="E107" s="2"/>
      <c r="F107" s="19">
        <f t="shared" si="5"/>
        <v>-7.1529936152526979E-2</v>
      </c>
      <c r="G107" s="2"/>
      <c r="H107" s="2"/>
      <c r="I107" s="2"/>
      <c r="J107" s="19">
        <f t="shared" si="6"/>
        <v>0</v>
      </c>
      <c r="K107" s="2"/>
      <c r="L107" s="2">
        <f t="shared" si="7"/>
        <v>-23546.66</v>
      </c>
      <c r="M107" s="2"/>
      <c r="N107" s="19">
        <f t="shared" si="8"/>
        <v>0</v>
      </c>
      <c r="O107" s="11"/>
      <c r="P107" s="2">
        <v>188.33</v>
      </c>
      <c r="Q107" s="2"/>
      <c r="R107" s="19">
        <f t="shared" si="9"/>
        <v>2.3218649073950644E-5</v>
      </c>
      <c r="S107" s="2"/>
      <c r="T107" s="2"/>
      <c r="U107" s="2"/>
      <c r="V107" s="19">
        <f t="shared" si="10"/>
        <v>0</v>
      </c>
      <c r="W107" s="2"/>
      <c r="X107" s="2">
        <f t="shared" si="11"/>
        <v>188.33</v>
      </c>
      <c r="Y107" s="2"/>
      <c r="Z107" s="19">
        <f t="shared" si="12"/>
        <v>0</v>
      </c>
    </row>
    <row r="108" spans="1:26" s="24" customFormat="1" hidden="1" outlineLevel="1" x14ac:dyDescent="0.25">
      <c r="A108" s="44"/>
      <c r="B108" s="11" t="str">
        <f>CONCATENATE("          ", "5028", " - ", "PURCHASES @ COST-ART/TECH")</f>
        <v xml:space="preserve">          5028 - PURCHASES @ COST-ART/TECH</v>
      </c>
      <c r="C108" s="11"/>
      <c r="D108" s="2">
        <v>4965.34</v>
      </c>
      <c r="E108" s="2"/>
      <c r="F108" s="19">
        <f t="shared" si="5"/>
        <v>1.5083687163087604E-2</v>
      </c>
      <c r="G108" s="2"/>
      <c r="H108" s="2"/>
      <c r="I108" s="2"/>
      <c r="J108" s="19">
        <f t="shared" si="6"/>
        <v>0</v>
      </c>
      <c r="K108" s="2"/>
      <c r="L108" s="2">
        <f t="shared" si="7"/>
        <v>4965.34</v>
      </c>
      <c r="M108" s="2"/>
      <c r="N108" s="19">
        <f t="shared" si="8"/>
        <v>0</v>
      </c>
      <c r="O108" s="11"/>
      <c r="P108" s="2">
        <v>52646.080000000002</v>
      </c>
      <c r="Q108" s="2"/>
      <c r="R108" s="19">
        <f t="shared" si="9"/>
        <v>6.4905796030326098E-3</v>
      </c>
      <c r="S108" s="2"/>
      <c r="T108" s="2"/>
      <c r="U108" s="2"/>
      <c r="V108" s="19">
        <f t="shared" si="10"/>
        <v>0</v>
      </c>
      <c r="W108" s="2"/>
      <c r="X108" s="2">
        <f t="shared" si="11"/>
        <v>52646.080000000002</v>
      </c>
      <c r="Y108" s="2"/>
      <c r="Z108" s="19">
        <f t="shared" si="12"/>
        <v>0</v>
      </c>
    </row>
    <row r="109" spans="1:26" s="24" customFormat="1" hidden="1" outlineLevel="1" x14ac:dyDescent="0.25">
      <c r="A109" s="44"/>
      <c r="B109" s="11" t="str">
        <f>CONCATENATE("          ", "5031", " - ", "PURCHASES @ COST-FOOD")</f>
        <v xml:space="preserve">          5031 - PURCHASES @ COST-FOOD</v>
      </c>
      <c r="C109" s="11"/>
      <c r="D109" s="2">
        <v>75599.55</v>
      </c>
      <c r="E109" s="2"/>
      <c r="F109" s="19">
        <f t="shared" si="5"/>
        <v>0.22965596754103434</v>
      </c>
      <c r="G109" s="2"/>
      <c r="H109" s="2"/>
      <c r="I109" s="2"/>
      <c r="J109" s="19">
        <f t="shared" si="6"/>
        <v>0</v>
      </c>
      <c r="K109" s="2"/>
      <c r="L109" s="2">
        <f t="shared" si="7"/>
        <v>75599.55</v>
      </c>
      <c r="M109" s="2"/>
      <c r="N109" s="19">
        <f t="shared" si="8"/>
        <v>0</v>
      </c>
      <c r="O109" s="11"/>
      <c r="P109" s="2">
        <v>83665.64</v>
      </c>
      <c r="Q109" s="2"/>
      <c r="R109" s="19">
        <f t="shared" si="9"/>
        <v>1.0314889474366738E-2</v>
      </c>
      <c r="S109" s="2"/>
      <c r="T109" s="2"/>
      <c r="U109" s="2"/>
      <c r="V109" s="19">
        <f t="shared" si="10"/>
        <v>0</v>
      </c>
      <c r="W109" s="2"/>
      <c r="X109" s="2">
        <f t="shared" si="11"/>
        <v>83665.64</v>
      </c>
      <c r="Y109" s="2"/>
      <c r="Z109" s="19">
        <f t="shared" si="12"/>
        <v>0</v>
      </c>
    </row>
    <row r="110" spans="1:26" s="24" customFormat="1" hidden="1" outlineLevel="1" x14ac:dyDescent="0.25">
      <c r="A110" s="44"/>
      <c r="B110" s="11" t="str">
        <f>CONCATENATE("          ", "5032", " - ", "PURCHASES @ COST-JUICE")</f>
        <v xml:space="preserve">          5032 - PURCHASES @ COST-JUICE</v>
      </c>
      <c r="C110" s="11"/>
      <c r="D110" s="2">
        <v>291</v>
      </c>
      <c r="E110" s="2"/>
      <c r="F110" s="19">
        <f t="shared" si="5"/>
        <v>8.8399847028773312E-4</v>
      </c>
      <c r="G110" s="2"/>
      <c r="H110" s="2"/>
      <c r="I110" s="2"/>
      <c r="J110" s="19">
        <f t="shared" si="6"/>
        <v>0</v>
      </c>
      <c r="K110" s="2"/>
      <c r="L110" s="2">
        <f t="shared" si="7"/>
        <v>291</v>
      </c>
      <c r="M110" s="2"/>
      <c r="N110" s="19">
        <f t="shared" si="8"/>
        <v>0</v>
      </c>
      <c r="O110" s="11"/>
      <c r="P110" s="2">
        <v>291</v>
      </c>
      <c r="Q110" s="2"/>
      <c r="R110" s="19">
        <f t="shared" si="9"/>
        <v>3.5876529923642741E-5</v>
      </c>
      <c r="S110" s="2"/>
      <c r="T110" s="2"/>
      <c r="U110" s="2"/>
      <c r="V110" s="19">
        <f t="shared" si="10"/>
        <v>0</v>
      </c>
      <c r="W110" s="2"/>
      <c r="X110" s="2">
        <f t="shared" si="11"/>
        <v>291</v>
      </c>
      <c r="Y110" s="2"/>
      <c r="Z110" s="19">
        <f t="shared" si="12"/>
        <v>0</v>
      </c>
    </row>
    <row r="111" spans="1:26" s="24" customFormat="1" hidden="1" outlineLevel="1" x14ac:dyDescent="0.25">
      <c r="A111" s="44"/>
      <c r="B111" s="11" t="str">
        <f>CONCATENATE("          ", "5033", " - ", "PURCHASES @ COST-CANDY")</f>
        <v xml:space="preserve">          5033 - PURCHASES @ COST-CANDY</v>
      </c>
      <c r="C111" s="11"/>
      <c r="D111" s="2">
        <v>1266</v>
      </c>
      <c r="E111" s="2"/>
      <c r="F111" s="19">
        <f t="shared" si="5"/>
        <v>3.8458490150662201E-3</v>
      </c>
      <c r="G111" s="2"/>
      <c r="H111" s="2"/>
      <c r="I111" s="2"/>
      <c r="J111" s="19">
        <f t="shared" si="6"/>
        <v>0</v>
      </c>
      <c r="K111" s="2"/>
      <c r="L111" s="2">
        <f t="shared" si="7"/>
        <v>1266</v>
      </c>
      <c r="M111" s="2"/>
      <c r="N111" s="19">
        <f t="shared" si="8"/>
        <v>0</v>
      </c>
      <c r="O111" s="11"/>
      <c r="P111" s="2">
        <v>1266</v>
      </c>
      <c r="Q111" s="2"/>
      <c r="R111" s="19">
        <f t="shared" si="9"/>
        <v>1.5608139822450759E-4</v>
      </c>
      <c r="S111" s="2"/>
      <c r="T111" s="2"/>
      <c r="U111" s="2"/>
      <c r="V111" s="19">
        <f t="shared" si="10"/>
        <v>0</v>
      </c>
      <c r="W111" s="2"/>
      <c r="X111" s="2">
        <f t="shared" si="11"/>
        <v>1266</v>
      </c>
      <c r="Y111" s="2"/>
      <c r="Z111" s="19">
        <f t="shared" si="12"/>
        <v>0</v>
      </c>
    </row>
    <row r="112" spans="1:26" s="24" customFormat="1" hidden="1" outlineLevel="1" x14ac:dyDescent="0.25">
      <c r="A112" s="44"/>
      <c r="B112" s="11" t="str">
        <f>CONCATENATE("          ", "5034", " - ", "PURCHASES @ COST-SODA")</f>
        <v xml:space="preserve">          5034 - PURCHASES @ COST-SODA</v>
      </c>
      <c r="C112" s="11"/>
      <c r="D112" s="2">
        <v>567</v>
      </c>
      <c r="E112" s="2"/>
      <c r="F112" s="19">
        <f t="shared" si="5"/>
        <v>1.7224300091173356E-3</v>
      </c>
      <c r="G112" s="2"/>
      <c r="H112" s="2"/>
      <c r="I112" s="2"/>
      <c r="J112" s="19">
        <f t="shared" si="6"/>
        <v>0</v>
      </c>
      <c r="K112" s="2"/>
      <c r="L112" s="2">
        <f t="shared" si="7"/>
        <v>567</v>
      </c>
      <c r="M112" s="2"/>
      <c r="N112" s="19">
        <f t="shared" si="8"/>
        <v>0</v>
      </c>
      <c r="O112" s="11"/>
      <c r="P112" s="2">
        <v>567</v>
      </c>
      <c r="Q112" s="2"/>
      <c r="R112" s="19">
        <f t="shared" si="9"/>
        <v>6.9903754181118325E-5</v>
      </c>
      <c r="S112" s="2"/>
      <c r="T112" s="2"/>
      <c r="U112" s="2"/>
      <c r="V112" s="19">
        <f t="shared" si="10"/>
        <v>0</v>
      </c>
      <c r="W112" s="2"/>
      <c r="X112" s="2">
        <f t="shared" si="11"/>
        <v>567</v>
      </c>
      <c r="Y112" s="2"/>
      <c r="Z112" s="19">
        <f t="shared" si="12"/>
        <v>0</v>
      </c>
    </row>
    <row r="113" spans="1:26" s="24" customFormat="1" hidden="1" outlineLevel="1" x14ac:dyDescent="0.25">
      <c r="A113" s="44"/>
      <c r="B113" s="11" t="str">
        <f>CONCATENATE("          ", "5035", " - ", "PURCHASES @ COST-HEALTH &amp; BEAU")</f>
        <v xml:space="preserve">          5035 - PURCHASES @ COST-HEALTH &amp; BEAU</v>
      </c>
      <c r="C113" s="11"/>
      <c r="D113" s="2">
        <v>339</v>
      </c>
      <c r="E113" s="2"/>
      <c r="F113" s="19">
        <f t="shared" si="5"/>
        <v>1.0298126509537509E-3</v>
      </c>
      <c r="G113" s="2"/>
      <c r="H113" s="2"/>
      <c r="I113" s="2"/>
      <c r="J113" s="19">
        <f t="shared" si="6"/>
        <v>0</v>
      </c>
      <c r="K113" s="2"/>
      <c r="L113" s="2">
        <f t="shared" si="7"/>
        <v>339</v>
      </c>
      <c r="M113" s="2"/>
      <c r="N113" s="19">
        <f t="shared" si="8"/>
        <v>0</v>
      </c>
      <c r="O113" s="11"/>
      <c r="P113" s="2">
        <v>339</v>
      </c>
      <c r="Q113" s="2"/>
      <c r="R113" s="19">
        <f t="shared" si="9"/>
        <v>4.1794308055377621E-5</v>
      </c>
      <c r="S113" s="2"/>
      <c r="T113" s="2"/>
      <c r="U113" s="2"/>
      <c r="V113" s="19">
        <f t="shared" si="10"/>
        <v>0</v>
      </c>
      <c r="W113" s="2"/>
      <c r="X113" s="2">
        <f t="shared" si="11"/>
        <v>339</v>
      </c>
      <c r="Y113" s="2"/>
      <c r="Z113" s="19">
        <f t="shared" si="12"/>
        <v>0</v>
      </c>
    </row>
    <row r="114" spans="1:26" s="24" customFormat="1" hidden="1" outlineLevel="1" x14ac:dyDescent="0.25">
      <c r="A114" s="44"/>
      <c r="B114" s="11" t="str">
        <f>CONCATENATE("          ", "5037", " - ", "PURCHASES @ COST-WATER")</f>
        <v xml:space="preserve">          5037 - PURCHASES @ COST-WATER</v>
      </c>
      <c r="C114" s="11"/>
      <c r="D114" s="2">
        <v>190.95</v>
      </c>
      <c r="E114" s="2"/>
      <c r="F114" s="19">
        <f t="shared" si="5"/>
        <v>5.8006703746200212E-4</v>
      </c>
      <c r="G114" s="2"/>
      <c r="H114" s="2"/>
      <c r="I114" s="2"/>
      <c r="J114" s="19">
        <f t="shared" si="6"/>
        <v>0</v>
      </c>
      <c r="K114" s="2"/>
      <c r="L114" s="2">
        <f t="shared" si="7"/>
        <v>190.95</v>
      </c>
      <c r="M114" s="2"/>
      <c r="N114" s="19">
        <f t="shared" si="8"/>
        <v>0</v>
      </c>
      <c r="O114" s="11"/>
      <c r="P114" s="2">
        <v>190.95</v>
      </c>
      <c r="Q114" s="2"/>
      <c r="R114" s="19">
        <f t="shared" si="9"/>
        <v>2.3541661130307835E-5</v>
      </c>
      <c r="S114" s="2"/>
      <c r="T114" s="2"/>
      <c r="U114" s="2"/>
      <c r="V114" s="19">
        <f t="shared" si="10"/>
        <v>0</v>
      </c>
      <c r="W114" s="2"/>
      <c r="X114" s="2">
        <f t="shared" si="11"/>
        <v>190.95</v>
      </c>
      <c r="Y114" s="2"/>
      <c r="Z114" s="19">
        <f t="shared" si="12"/>
        <v>0</v>
      </c>
    </row>
    <row r="115" spans="1:26" s="24" customFormat="1" hidden="1" outlineLevel="1" x14ac:dyDescent="0.25">
      <c r="A115" s="44"/>
      <c r="B115" s="11" t="str">
        <f>CONCATENATE("          ", "5040", " - ", "PURCHASES @ COST-LOGO CLOTHING")</f>
        <v xml:space="preserve">          5040 - PURCHASES @ COST-LOGO CLOTHING</v>
      </c>
      <c r="C115" s="11"/>
      <c r="D115" s="2">
        <v>65486.18</v>
      </c>
      <c r="E115" s="2"/>
      <c r="F115" s="19">
        <f t="shared" si="5"/>
        <v>0.19893361836765341</v>
      </c>
      <c r="G115" s="2"/>
      <c r="H115" s="2"/>
      <c r="I115" s="2"/>
      <c r="J115" s="19">
        <f t="shared" si="6"/>
        <v>0</v>
      </c>
      <c r="K115" s="2"/>
      <c r="L115" s="2">
        <f t="shared" si="7"/>
        <v>65486.18</v>
      </c>
      <c r="M115" s="2"/>
      <c r="N115" s="19">
        <f t="shared" si="8"/>
        <v>0</v>
      </c>
      <c r="O115" s="11"/>
      <c r="P115" s="2">
        <v>392865.16</v>
      </c>
      <c r="Q115" s="2"/>
      <c r="R115" s="19">
        <f t="shared" si="9"/>
        <v>4.8435184428510969E-2</v>
      </c>
      <c r="S115" s="2"/>
      <c r="T115" s="2"/>
      <c r="U115" s="2"/>
      <c r="V115" s="19">
        <f t="shared" si="10"/>
        <v>0</v>
      </c>
      <c r="W115" s="2"/>
      <c r="X115" s="2">
        <f t="shared" si="11"/>
        <v>392865.16</v>
      </c>
      <c r="Y115" s="2"/>
      <c r="Z115" s="19">
        <f t="shared" si="12"/>
        <v>0</v>
      </c>
    </row>
    <row r="116" spans="1:26" s="24" customFormat="1" hidden="1" outlineLevel="1" x14ac:dyDescent="0.25">
      <c r="A116" s="44"/>
      <c r="B116" s="11" t="str">
        <f>CONCATENATE("          ", "5041", " - ", "PURCHASES @ COST-LOGO GIFTS")</f>
        <v xml:space="preserve">          5041 - PURCHASES @ COST-LOGO GIFTS</v>
      </c>
      <c r="C116" s="11"/>
      <c r="D116" s="2">
        <v>115476.79</v>
      </c>
      <c r="E116" s="2"/>
      <c r="F116" s="19">
        <f t="shared" si="5"/>
        <v>0.35079486499566248</v>
      </c>
      <c r="G116" s="2"/>
      <c r="H116" s="2"/>
      <c r="I116" s="2"/>
      <c r="J116" s="19">
        <f t="shared" si="6"/>
        <v>0</v>
      </c>
      <c r="K116" s="2"/>
      <c r="L116" s="2">
        <f t="shared" si="7"/>
        <v>115476.79</v>
      </c>
      <c r="M116" s="2"/>
      <c r="N116" s="19">
        <f t="shared" si="8"/>
        <v>0</v>
      </c>
      <c r="O116" s="11"/>
      <c r="P116" s="2">
        <v>221875.64</v>
      </c>
      <c r="Q116" s="2"/>
      <c r="R116" s="19">
        <f t="shared" si="9"/>
        <v>2.7354391882430874E-2</v>
      </c>
      <c r="S116" s="2"/>
      <c r="T116" s="2"/>
      <c r="U116" s="2"/>
      <c r="V116" s="19">
        <f t="shared" si="10"/>
        <v>0</v>
      </c>
      <c r="W116" s="2"/>
      <c r="X116" s="2">
        <f t="shared" si="11"/>
        <v>221875.64</v>
      </c>
      <c r="Y116" s="2"/>
      <c r="Z116" s="19">
        <f t="shared" si="12"/>
        <v>0</v>
      </c>
    </row>
    <row r="117" spans="1:26" s="24" customFormat="1" hidden="1" outlineLevel="1" x14ac:dyDescent="0.25">
      <c r="A117" s="44"/>
      <c r="B117" s="11" t="str">
        <f>CONCATENATE("          ", "5042", " - ", "PURCHASES @ COST-EVERYDAY GIFT")</f>
        <v xml:space="preserve">          5042 - PURCHASES @ COST-EVERYDAY GIFT</v>
      </c>
      <c r="C117" s="11"/>
      <c r="D117" s="2">
        <v>-39.200000000000003</v>
      </c>
      <c r="E117" s="2"/>
      <c r="F117" s="19">
        <f t="shared" si="5"/>
        <v>-1.1908158087724791E-4</v>
      </c>
      <c r="G117" s="2"/>
      <c r="H117" s="2"/>
      <c r="I117" s="2"/>
      <c r="J117" s="19">
        <f t="shared" si="6"/>
        <v>0</v>
      </c>
      <c r="K117" s="2"/>
      <c r="L117" s="2">
        <f t="shared" si="7"/>
        <v>-39.200000000000003</v>
      </c>
      <c r="M117" s="2"/>
      <c r="N117" s="19">
        <f t="shared" si="8"/>
        <v>0</v>
      </c>
      <c r="O117" s="11"/>
      <c r="P117" s="2">
        <v>18708.87</v>
      </c>
      <c r="Q117" s="2"/>
      <c r="R117" s="19">
        <f t="shared" si="9"/>
        <v>2.3065612865723088E-3</v>
      </c>
      <c r="S117" s="2"/>
      <c r="T117" s="2"/>
      <c r="U117" s="2"/>
      <c r="V117" s="19">
        <f t="shared" si="10"/>
        <v>0</v>
      </c>
      <c r="W117" s="2"/>
      <c r="X117" s="2">
        <f t="shared" si="11"/>
        <v>18708.87</v>
      </c>
      <c r="Y117" s="2"/>
      <c r="Z117" s="19">
        <f t="shared" si="12"/>
        <v>0</v>
      </c>
    </row>
    <row r="118" spans="1:26" s="24" customFormat="1" hidden="1" outlineLevel="1" x14ac:dyDescent="0.25">
      <c r="A118" s="44"/>
      <c r="B118" s="11" t="str">
        <f>CONCATENATE("          ", "5043", " - ", "PURCHASES @ COST-CARDS")</f>
        <v xml:space="preserve">          5043 - PURCHASES @ COST-CARDS</v>
      </c>
      <c r="C118" s="11"/>
      <c r="D118" s="2">
        <v>-4615.6499999999996</v>
      </c>
      <c r="E118" s="2"/>
      <c r="F118" s="19">
        <f t="shared" si="5"/>
        <v>-1.4021400478981356E-2</v>
      </c>
      <c r="G118" s="2"/>
      <c r="H118" s="2"/>
      <c r="I118" s="2"/>
      <c r="J118" s="19">
        <f t="shared" si="6"/>
        <v>0</v>
      </c>
      <c r="K118" s="2"/>
      <c r="L118" s="2">
        <f t="shared" si="7"/>
        <v>-4615.6499999999996</v>
      </c>
      <c r="M118" s="2"/>
      <c r="N118" s="19">
        <f t="shared" si="8"/>
        <v>0</v>
      </c>
      <c r="O118" s="11"/>
      <c r="P118" s="2">
        <v>50967.68</v>
      </c>
      <c r="Q118" s="2"/>
      <c r="R118" s="19">
        <f t="shared" si="9"/>
        <v>6.2836546276929467E-3</v>
      </c>
      <c r="S118" s="2"/>
      <c r="T118" s="2"/>
      <c r="U118" s="2"/>
      <c r="V118" s="19">
        <f t="shared" si="10"/>
        <v>0</v>
      </c>
      <c r="W118" s="2"/>
      <c r="X118" s="2">
        <f t="shared" si="11"/>
        <v>50967.68</v>
      </c>
      <c r="Y118" s="2"/>
      <c r="Z118" s="19">
        <f t="shared" si="12"/>
        <v>0</v>
      </c>
    </row>
    <row r="119" spans="1:26" s="24" customFormat="1" hidden="1" outlineLevel="1" x14ac:dyDescent="0.25">
      <c r="A119" s="44"/>
      <c r="B119" s="11" t="str">
        <f>CONCATENATE("          ", "5044", " - ", "PURCHASES @ COST-ACCESSORIES")</f>
        <v xml:space="preserve">          5044 - PURCHASES @ COST-ACCESSORIES</v>
      </c>
      <c r="C119" s="11"/>
      <c r="D119" s="2">
        <v>4371.2</v>
      </c>
      <c r="E119" s="2"/>
      <c r="F119" s="19">
        <f t="shared" si="5"/>
        <v>1.3278811385985356E-2</v>
      </c>
      <c r="G119" s="2"/>
      <c r="H119" s="2"/>
      <c r="I119" s="2"/>
      <c r="J119" s="19">
        <f t="shared" si="6"/>
        <v>0</v>
      </c>
      <c r="K119" s="2"/>
      <c r="L119" s="2">
        <f t="shared" si="7"/>
        <v>4371.2</v>
      </c>
      <c r="M119" s="2"/>
      <c r="N119" s="19">
        <f t="shared" si="8"/>
        <v>0</v>
      </c>
      <c r="O119" s="11"/>
      <c r="P119" s="2">
        <v>6926.91</v>
      </c>
      <c r="Q119" s="2"/>
      <c r="R119" s="19">
        <f t="shared" si="9"/>
        <v>8.5399826080199352E-4</v>
      </c>
      <c r="S119" s="2"/>
      <c r="T119" s="2"/>
      <c r="U119" s="2"/>
      <c r="V119" s="19">
        <f t="shared" si="10"/>
        <v>0</v>
      </c>
      <c r="W119" s="2"/>
      <c r="X119" s="2">
        <f t="shared" si="11"/>
        <v>6926.91</v>
      </c>
      <c r="Y119" s="2"/>
      <c r="Z119" s="19">
        <f t="shared" si="12"/>
        <v>0</v>
      </c>
    </row>
    <row r="120" spans="1:26" s="24" customFormat="1" hidden="1" outlineLevel="1" x14ac:dyDescent="0.25">
      <c r="A120" s="44"/>
      <c r="B120" s="11" t="str">
        <f>CONCATENATE("          ", "5045", " - ", "PURCHASES @ COST-SPECIAL ORDER")</f>
        <v xml:space="preserve">          5045 - PURCHASES @ COST-SPECIAL ORDER</v>
      </c>
      <c r="C120" s="11"/>
      <c r="D120" s="2">
        <v>33785.81</v>
      </c>
      <c r="E120" s="2"/>
      <c r="F120" s="19">
        <f t="shared" si="5"/>
        <v>0.10263437923516149</v>
      </c>
      <c r="G120" s="2"/>
      <c r="H120" s="2"/>
      <c r="I120" s="2"/>
      <c r="J120" s="19">
        <f t="shared" si="6"/>
        <v>0</v>
      </c>
      <c r="K120" s="2"/>
      <c r="L120" s="2">
        <f t="shared" si="7"/>
        <v>33785.81</v>
      </c>
      <c r="M120" s="2"/>
      <c r="N120" s="19">
        <f t="shared" si="8"/>
        <v>0</v>
      </c>
      <c r="O120" s="11"/>
      <c r="P120" s="2">
        <v>172925.05</v>
      </c>
      <c r="Q120" s="2"/>
      <c r="R120" s="19">
        <f t="shared" si="9"/>
        <v>2.1319418319149196E-2</v>
      </c>
      <c r="S120" s="2"/>
      <c r="T120" s="2"/>
      <c r="U120" s="2"/>
      <c r="V120" s="19">
        <f t="shared" si="10"/>
        <v>0</v>
      </c>
      <c r="W120" s="2"/>
      <c r="X120" s="2">
        <f t="shared" si="11"/>
        <v>172925.05</v>
      </c>
      <c r="Y120" s="2"/>
      <c r="Z120" s="19">
        <f t="shared" si="12"/>
        <v>0</v>
      </c>
    </row>
    <row r="121" spans="1:26" s="24" customFormat="1" hidden="1" outlineLevel="1" x14ac:dyDescent="0.25">
      <c r="A121" s="44"/>
      <c r="B121" s="11" t="str">
        <f>CONCATENATE("          ", "5081", " - ", "PURCHASES @ COST-ELECTRONICS")</f>
        <v xml:space="preserve">          5081 - PURCHASES @ COST-ELECTRONICS</v>
      </c>
      <c r="C121" s="11"/>
      <c r="D121" s="2">
        <v>-4801.84</v>
      </c>
      <c r="E121" s="2"/>
      <c r="F121" s="19">
        <f t="shared" si="5"/>
        <v>-1.4587007610193981E-2</v>
      </c>
      <c r="G121" s="2"/>
      <c r="H121" s="2"/>
      <c r="I121" s="2"/>
      <c r="J121" s="19">
        <f t="shared" si="6"/>
        <v>0</v>
      </c>
      <c r="K121" s="2"/>
      <c r="L121" s="2">
        <f t="shared" si="7"/>
        <v>-4801.84</v>
      </c>
      <c r="M121" s="2"/>
      <c r="N121" s="19">
        <f t="shared" si="8"/>
        <v>0</v>
      </c>
      <c r="O121" s="11"/>
      <c r="P121" s="2">
        <v>27617.62</v>
      </c>
      <c r="Q121" s="2"/>
      <c r="R121" s="19">
        <f t="shared" si="9"/>
        <v>3.4048947434700827E-3</v>
      </c>
      <c r="S121" s="2"/>
      <c r="T121" s="2"/>
      <c r="U121" s="2"/>
      <c r="V121" s="19">
        <f t="shared" si="10"/>
        <v>0</v>
      </c>
      <c r="W121" s="2"/>
      <c r="X121" s="2">
        <f t="shared" si="11"/>
        <v>27617.62</v>
      </c>
      <c r="Y121" s="2"/>
      <c r="Z121" s="19">
        <f t="shared" si="12"/>
        <v>0</v>
      </c>
    </row>
    <row r="122" spans="1:26" s="24" customFormat="1" hidden="1" outlineLevel="1" x14ac:dyDescent="0.25">
      <c r="A122" s="44"/>
      <c r="B122" s="11" t="str">
        <f>CONCATENATE("          ", "5082", " - ", "PURCHASES @ COST-COMPUTER HARD")</f>
        <v xml:space="preserve">          5082 - PURCHASES @ COST-COMPUTER HARD</v>
      </c>
      <c r="C122" s="11"/>
      <c r="D122" s="2">
        <v>153062.79</v>
      </c>
      <c r="E122" s="2"/>
      <c r="F122" s="19">
        <f t="shared" si="5"/>
        <v>0.46497344404801561</v>
      </c>
      <c r="G122" s="2"/>
      <c r="H122" s="2"/>
      <c r="I122" s="2"/>
      <c r="J122" s="19">
        <f t="shared" si="6"/>
        <v>0</v>
      </c>
      <c r="K122" s="2"/>
      <c r="L122" s="2">
        <f t="shared" si="7"/>
        <v>153062.79</v>
      </c>
      <c r="M122" s="2"/>
      <c r="N122" s="19">
        <f t="shared" si="8"/>
        <v>0</v>
      </c>
      <c r="O122" s="11"/>
      <c r="P122" s="2">
        <v>1955597.66</v>
      </c>
      <c r="Q122" s="2"/>
      <c r="R122" s="19">
        <f t="shared" si="9"/>
        <v>0.24109985555874816</v>
      </c>
      <c r="S122" s="2"/>
      <c r="T122" s="2"/>
      <c r="U122" s="2"/>
      <c r="V122" s="19">
        <f t="shared" si="10"/>
        <v>0</v>
      </c>
      <c r="W122" s="2"/>
      <c r="X122" s="2">
        <f t="shared" si="11"/>
        <v>1955597.66</v>
      </c>
      <c r="Y122" s="2"/>
      <c r="Z122" s="19">
        <f t="shared" si="12"/>
        <v>0</v>
      </c>
    </row>
    <row r="123" spans="1:26" s="24" customFormat="1" hidden="1" outlineLevel="1" x14ac:dyDescent="0.25">
      <c r="A123" s="44"/>
      <c r="B123" s="11" t="str">
        <f>CONCATENATE("          ", "5083", " - ", "PURCHASES @ COST-COMPUTER EQUI")</f>
        <v xml:space="preserve">          5083 - PURCHASES @ COST-COMPUTER EQUI</v>
      </c>
      <c r="C123" s="11"/>
      <c r="D123" s="2">
        <v>24791.69</v>
      </c>
      <c r="E123" s="2"/>
      <c r="F123" s="19">
        <f t="shared" si="5"/>
        <v>7.5312082597414731E-2</v>
      </c>
      <c r="G123" s="2"/>
      <c r="H123" s="2"/>
      <c r="I123" s="2"/>
      <c r="J123" s="19">
        <f t="shared" si="6"/>
        <v>0</v>
      </c>
      <c r="K123" s="2"/>
      <c r="L123" s="2">
        <f t="shared" si="7"/>
        <v>24791.69</v>
      </c>
      <c r="M123" s="2"/>
      <c r="N123" s="19">
        <f t="shared" si="8"/>
        <v>0</v>
      </c>
      <c r="O123" s="11"/>
      <c r="P123" s="2">
        <v>151821.63</v>
      </c>
      <c r="Q123" s="2"/>
      <c r="R123" s="19">
        <f t="shared" si="9"/>
        <v>1.8717640040382188E-2</v>
      </c>
      <c r="S123" s="2"/>
      <c r="T123" s="2"/>
      <c r="U123" s="2"/>
      <c r="V123" s="19">
        <f t="shared" si="10"/>
        <v>0</v>
      </c>
      <c r="W123" s="2"/>
      <c r="X123" s="2">
        <f t="shared" si="11"/>
        <v>151821.63</v>
      </c>
      <c r="Y123" s="2"/>
      <c r="Z123" s="19">
        <f t="shared" si="12"/>
        <v>0</v>
      </c>
    </row>
    <row r="124" spans="1:26" s="24" customFormat="1" hidden="1" outlineLevel="1" x14ac:dyDescent="0.25">
      <c r="A124" s="44"/>
      <c r="B124" s="11" t="str">
        <f>CONCATENATE("          ", "5084", " - ", "PURCHASES @ COST-SOFTWARE LICE")</f>
        <v xml:space="preserve">          5084 - PURCHASES @ COST-SOFTWARE LICE</v>
      </c>
      <c r="C124" s="11"/>
      <c r="D124" s="2">
        <v>2421</v>
      </c>
      <c r="E124" s="2"/>
      <c r="F124" s="19">
        <f t="shared" si="5"/>
        <v>7.3545027373422738E-3</v>
      </c>
      <c r="G124" s="2"/>
      <c r="H124" s="2"/>
      <c r="I124" s="2"/>
      <c r="J124" s="19">
        <f t="shared" si="6"/>
        <v>0</v>
      </c>
      <c r="K124" s="2"/>
      <c r="L124" s="2">
        <f t="shared" si="7"/>
        <v>2421</v>
      </c>
      <c r="M124" s="2"/>
      <c r="N124" s="19">
        <f t="shared" si="8"/>
        <v>0</v>
      </c>
      <c r="O124" s="11"/>
      <c r="P124" s="2">
        <v>2421</v>
      </c>
      <c r="Q124" s="2"/>
      <c r="R124" s="19">
        <f t="shared" si="9"/>
        <v>2.9847793451937823E-4</v>
      </c>
      <c r="S124" s="2"/>
      <c r="T124" s="2"/>
      <c r="U124" s="2"/>
      <c r="V124" s="19">
        <f t="shared" si="10"/>
        <v>0</v>
      </c>
      <c r="W124" s="2"/>
      <c r="X124" s="2">
        <f t="shared" si="11"/>
        <v>2421</v>
      </c>
      <c r="Y124" s="2"/>
      <c r="Z124" s="19">
        <f t="shared" si="12"/>
        <v>0</v>
      </c>
    </row>
    <row r="125" spans="1:26" s="24" customFormat="1" hidden="1" outlineLevel="1" x14ac:dyDescent="0.25">
      <c r="A125" s="44"/>
      <c r="B125" s="11" t="str">
        <f>CONCATENATE("          ", "5085", " - ", "PURCHASES @ COST-SOFTWARE")</f>
        <v xml:space="preserve">          5085 - PURCHASES @ COST-SOFTWARE</v>
      </c>
      <c r="C125" s="11"/>
      <c r="D125" s="2">
        <v>10694.79</v>
      </c>
      <c r="E125" s="2"/>
      <c r="F125" s="19">
        <f t="shared" si="5"/>
        <v>3.2488584192606688E-2</v>
      </c>
      <c r="G125" s="2"/>
      <c r="H125" s="2"/>
      <c r="I125" s="2"/>
      <c r="J125" s="19">
        <f t="shared" si="6"/>
        <v>0</v>
      </c>
      <c r="K125" s="2"/>
      <c r="L125" s="2">
        <f t="shared" si="7"/>
        <v>10694.79</v>
      </c>
      <c r="M125" s="2"/>
      <c r="N125" s="19">
        <f t="shared" si="8"/>
        <v>0</v>
      </c>
      <c r="O125" s="11"/>
      <c r="P125" s="2">
        <v>56981.16</v>
      </c>
      <c r="Q125" s="2"/>
      <c r="R125" s="19">
        <f t="shared" si="9"/>
        <v>7.0250388035184696E-3</v>
      </c>
      <c r="S125" s="2"/>
      <c r="T125" s="2"/>
      <c r="U125" s="2"/>
      <c r="V125" s="19">
        <f t="shared" si="10"/>
        <v>0</v>
      </c>
      <c r="W125" s="2"/>
      <c r="X125" s="2">
        <f t="shared" si="11"/>
        <v>56981.16</v>
      </c>
      <c r="Y125" s="2"/>
      <c r="Z125" s="19">
        <f t="shared" si="12"/>
        <v>0</v>
      </c>
    </row>
    <row r="126" spans="1:26" s="24" customFormat="1" hidden="1" outlineLevel="1" x14ac:dyDescent="0.25">
      <c r="A126" s="44"/>
      <c r="B126" s="11" t="str">
        <f>CONCATENATE("          ", "5086", " - ", "PURCHASES @ COST-COMPUTER SUPP")</f>
        <v xml:space="preserve">          5086 - PURCHASES @ COST-COMPUTER SUPP</v>
      </c>
      <c r="C126" s="11"/>
      <c r="D126" s="2">
        <v>853.49</v>
      </c>
      <c r="E126" s="2"/>
      <c r="F126" s="19">
        <f t="shared" si="5"/>
        <v>2.5927280220133242E-3</v>
      </c>
      <c r="G126" s="2"/>
      <c r="H126" s="2"/>
      <c r="I126" s="2"/>
      <c r="J126" s="19">
        <f t="shared" si="6"/>
        <v>0</v>
      </c>
      <c r="K126" s="2"/>
      <c r="L126" s="2">
        <f t="shared" si="7"/>
        <v>853.49</v>
      </c>
      <c r="M126" s="2"/>
      <c r="N126" s="19">
        <f t="shared" si="8"/>
        <v>0</v>
      </c>
      <c r="O126" s="11"/>
      <c r="P126" s="2">
        <v>24629.71</v>
      </c>
      <c r="Q126" s="2"/>
      <c r="R126" s="19">
        <f t="shared" si="9"/>
        <v>3.0365241506035835E-3</v>
      </c>
      <c r="S126" s="2"/>
      <c r="T126" s="2"/>
      <c r="U126" s="2"/>
      <c r="V126" s="19">
        <f t="shared" si="10"/>
        <v>0</v>
      </c>
      <c r="W126" s="2"/>
      <c r="X126" s="2">
        <f t="shared" si="11"/>
        <v>24629.71</v>
      </c>
      <c r="Y126" s="2"/>
      <c r="Z126" s="19">
        <f t="shared" si="12"/>
        <v>0</v>
      </c>
    </row>
    <row r="127" spans="1:26" s="24" customFormat="1" hidden="1" outlineLevel="1" x14ac:dyDescent="0.25">
      <c r="A127" s="44"/>
      <c r="B127" s="11" t="str">
        <f>CONCATENATE("          ", "5092", " - ", "PURCHASES @ COST-GRAD MERCH")</f>
        <v xml:space="preserve">          5092 - PURCHASES @ COST-GRAD MERCH</v>
      </c>
      <c r="C127" s="11"/>
      <c r="D127" s="2"/>
      <c r="E127" s="2"/>
      <c r="F127" s="19">
        <f t="shared" si="5"/>
        <v>0</v>
      </c>
      <c r="G127" s="2"/>
      <c r="H127" s="2"/>
      <c r="I127" s="2"/>
      <c r="J127" s="19">
        <f t="shared" si="6"/>
        <v>0</v>
      </c>
      <c r="K127" s="2"/>
      <c r="L127" s="2">
        <f t="shared" si="7"/>
        <v>0</v>
      </c>
      <c r="M127" s="2"/>
      <c r="N127" s="19">
        <f t="shared" si="8"/>
        <v>0</v>
      </c>
      <c r="O127" s="11"/>
      <c r="P127" s="2">
        <v>0</v>
      </c>
      <c r="Q127" s="2"/>
      <c r="R127" s="19">
        <f t="shared" si="9"/>
        <v>0</v>
      </c>
      <c r="S127" s="2"/>
      <c r="T127" s="2"/>
      <c r="U127" s="2"/>
      <c r="V127" s="19">
        <f t="shared" si="10"/>
        <v>0</v>
      </c>
      <c r="W127" s="2"/>
      <c r="X127" s="2">
        <f t="shared" si="11"/>
        <v>0</v>
      </c>
      <c r="Y127" s="2"/>
      <c r="Z127" s="19">
        <f t="shared" si="12"/>
        <v>0</v>
      </c>
    </row>
    <row r="128" spans="1:26" s="24" customFormat="1" hidden="1" outlineLevel="1" x14ac:dyDescent="0.25">
      <c r="A128" s="44"/>
      <c r="B128" s="11" t="str">
        <f>CONCATENATE("          ", "5200", " - ", "PURCHASES OFFSET")</f>
        <v xml:space="preserve">          5200 - PURCHASES OFFSET</v>
      </c>
      <c r="C128" s="11"/>
      <c r="D128" s="2">
        <v>-715181.51</v>
      </c>
      <c r="E128" s="2"/>
      <c r="F128" s="19">
        <f t="shared" si="5"/>
        <v>-2.1725751230861547</v>
      </c>
      <c r="G128" s="2"/>
      <c r="H128" s="2"/>
      <c r="I128" s="2"/>
      <c r="J128" s="19">
        <f t="shared" si="6"/>
        <v>0</v>
      </c>
      <c r="K128" s="2"/>
      <c r="L128" s="2">
        <f t="shared" si="7"/>
        <v>-715181.51</v>
      </c>
      <c r="M128" s="2"/>
      <c r="N128" s="19">
        <f t="shared" si="8"/>
        <v>0</v>
      </c>
      <c r="O128" s="11"/>
      <c r="P128" s="2">
        <v>-4591688.47</v>
      </c>
      <c r="Q128" s="2"/>
      <c r="R128" s="19">
        <f t="shared" si="9"/>
        <v>-0.56609570032302514</v>
      </c>
      <c r="S128" s="2"/>
      <c r="T128" s="2"/>
      <c r="U128" s="2"/>
      <c r="V128" s="19">
        <f t="shared" si="10"/>
        <v>0</v>
      </c>
      <c r="W128" s="2"/>
      <c r="X128" s="2">
        <f t="shared" si="11"/>
        <v>-4591688.47</v>
      </c>
      <c r="Y128" s="2"/>
      <c r="Z128" s="19">
        <f t="shared" si="12"/>
        <v>0</v>
      </c>
    </row>
    <row r="129" spans="1:26" s="24" customFormat="1" hidden="1" outlineLevel="1" x14ac:dyDescent="0.25">
      <c r="A129" s="44"/>
      <c r="B129" s="11" t="str">
        <f>CONCATENATE("          ", "5300", " - ", "COG$ OFFSET")</f>
        <v xml:space="preserve">          5300 - COG$ OFFSET</v>
      </c>
      <c r="C129" s="11"/>
      <c r="D129" s="2">
        <v>223946</v>
      </c>
      <c r="E129" s="2"/>
      <c r="F129" s="19">
        <f t="shared" si="5"/>
        <v>0.68030213548816731</v>
      </c>
      <c r="G129" s="2"/>
      <c r="H129" s="2"/>
      <c r="I129" s="2"/>
      <c r="J129" s="19">
        <f t="shared" si="6"/>
        <v>0</v>
      </c>
      <c r="K129" s="2"/>
      <c r="L129" s="2">
        <f t="shared" si="7"/>
        <v>223946</v>
      </c>
      <c r="M129" s="2"/>
      <c r="N129" s="19">
        <f t="shared" si="8"/>
        <v>0</v>
      </c>
      <c r="O129" s="11"/>
      <c r="P129" s="2">
        <v>5152122</v>
      </c>
      <c r="Q129" s="2"/>
      <c r="R129" s="19">
        <f t="shared" si="9"/>
        <v>0.63518989382562907</v>
      </c>
      <c r="S129" s="2"/>
      <c r="T129" s="2"/>
      <c r="U129" s="2"/>
      <c r="V129" s="19">
        <f t="shared" si="10"/>
        <v>0</v>
      </c>
      <c r="W129" s="2"/>
      <c r="X129" s="2">
        <f t="shared" si="11"/>
        <v>5152122</v>
      </c>
      <c r="Y129" s="2"/>
      <c r="Z129" s="19">
        <f t="shared" si="12"/>
        <v>0</v>
      </c>
    </row>
    <row r="130" spans="1:26" s="24" customFormat="1" hidden="1" outlineLevel="1" x14ac:dyDescent="0.25">
      <c r="A130" s="44"/>
      <c r="B130" s="11" t="str">
        <f>CONCATENATE("          ", "5500", " - ", "FREIGHT-IN")</f>
        <v xml:space="preserve">          5500 - FREIGHT-IN</v>
      </c>
      <c r="C130" s="11"/>
      <c r="D130" s="2">
        <v>65</v>
      </c>
      <c r="E130" s="2"/>
      <c r="F130" s="19">
        <f t="shared" si="5"/>
        <v>1.9745670298523249E-4</v>
      </c>
      <c r="G130" s="2"/>
      <c r="H130" s="2"/>
      <c r="I130" s="2"/>
      <c r="J130" s="19">
        <f t="shared" si="6"/>
        <v>0</v>
      </c>
      <c r="K130" s="2"/>
      <c r="L130" s="2">
        <f t="shared" si="7"/>
        <v>65</v>
      </c>
      <c r="M130" s="2"/>
      <c r="N130" s="19">
        <f t="shared" si="8"/>
        <v>0</v>
      </c>
      <c r="O130" s="11"/>
      <c r="P130" s="2">
        <v>65</v>
      </c>
      <c r="Q130" s="2"/>
      <c r="R130" s="19">
        <f t="shared" si="9"/>
        <v>8.0136578867243232E-6</v>
      </c>
      <c r="S130" s="2"/>
      <c r="T130" s="2"/>
      <c r="U130" s="2"/>
      <c r="V130" s="19">
        <f t="shared" si="10"/>
        <v>0</v>
      </c>
      <c r="W130" s="2"/>
      <c r="X130" s="2">
        <f t="shared" si="11"/>
        <v>65</v>
      </c>
      <c r="Y130" s="2"/>
      <c r="Z130" s="19">
        <f t="shared" si="12"/>
        <v>0</v>
      </c>
    </row>
    <row r="131" spans="1:26" s="24" customFormat="1" hidden="1" outlineLevel="1" x14ac:dyDescent="0.25">
      <c r="A131" s="44"/>
      <c r="B131" s="11" t="str">
        <f>CONCATENATE("          ", "5501", " - ", "FREIGHT-IN-NEW TEXT")</f>
        <v xml:space="preserve">          5501 - FREIGHT-IN-NEW TEXT</v>
      </c>
      <c r="C131" s="11"/>
      <c r="D131" s="2">
        <v>1565.85</v>
      </c>
      <c r="E131" s="2"/>
      <c r="F131" s="19">
        <f t="shared" si="5"/>
        <v>4.7567319749142502E-3</v>
      </c>
      <c r="G131" s="2"/>
      <c r="H131" s="2"/>
      <c r="I131" s="2"/>
      <c r="J131" s="19">
        <f t="shared" si="6"/>
        <v>0</v>
      </c>
      <c r="K131" s="2"/>
      <c r="L131" s="2">
        <f t="shared" si="7"/>
        <v>1565.85</v>
      </c>
      <c r="M131" s="2"/>
      <c r="N131" s="19">
        <f t="shared" si="8"/>
        <v>0</v>
      </c>
      <c r="O131" s="11"/>
      <c r="P131" s="2">
        <v>53401.99</v>
      </c>
      <c r="Q131" s="2"/>
      <c r="R131" s="19">
        <f t="shared" si="9"/>
        <v>6.5837735127734368E-3</v>
      </c>
      <c r="S131" s="2"/>
      <c r="T131" s="2"/>
      <c r="U131" s="2"/>
      <c r="V131" s="19">
        <f t="shared" si="10"/>
        <v>0</v>
      </c>
      <c r="W131" s="2"/>
      <c r="X131" s="2">
        <f t="shared" si="11"/>
        <v>53401.99</v>
      </c>
      <c r="Y131" s="2"/>
      <c r="Z131" s="19">
        <f t="shared" si="12"/>
        <v>0</v>
      </c>
    </row>
    <row r="132" spans="1:26" s="24" customFormat="1" hidden="1" outlineLevel="1" x14ac:dyDescent="0.25">
      <c r="A132" s="44"/>
      <c r="B132" s="11" t="str">
        <f>CONCATENATE("          ", "5502", " - ", "FREIGHT-IN-USED TEXT")</f>
        <v xml:space="preserve">          5502 - FREIGHT-IN-USED TEXT</v>
      </c>
      <c r="C132" s="11"/>
      <c r="D132" s="2">
        <v>149.80000000000001</v>
      </c>
      <c r="E132" s="2"/>
      <c r="F132" s="19">
        <f t="shared" si="5"/>
        <v>4.5506175549519737E-4</v>
      </c>
      <c r="G132" s="2"/>
      <c r="H132" s="2"/>
      <c r="I132" s="2"/>
      <c r="J132" s="19">
        <f t="shared" si="6"/>
        <v>0</v>
      </c>
      <c r="K132" s="2"/>
      <c r="L132" s="2">
        <f t="shared" si="7"/>
        <v>149.80000000000001</v>
      </c>
      <c r="M132" s="2"/>
      <c r="N132" s="19">
        <f t="shared" si="8"/>
        <v>0</v>
      </c>
      <c r="O132" s="11"/>
      <c r="P132" s="2">
        <v>18142.669999999998</v>
      </c>
      <c r="Q132" s="2"/>
      <c r="R132" s="19">
        <f t="shared" si="9"/>
        <v>2.2367561620267192E-3</v>
      </c>
      <c r="S132" s="2"/>
      <c r="T132" s="2"/>
      <c r="U132" s="2"/>
      <c r="V132" s="19">
        <f t="shared" si="10"/>
        <v>0</v>
      </c>
      <c r="W132" s="2"/>
      <c r="X132" s="2">
        <f t="shared" si="11"/>
        <v>18142.669999999998</v>
      </c>
      <c r="Y132" s="2"/>
      <c r="Z132" s="19">
        <f t="shared" si="12"/>
        <v>0</v>
      </c>
    </row>
    <row r="133" spans="1:26" s="24" customFormat="1" hidden="1" outlineLevel="1" x14ac:dyDescent="0.25">
      <c r="A133" s="44"/>
      <c r="B133" s="11" t="str">
        <f>CONCATENATE("          ", "5504", " - ", "FREIGHT-IN-DIGITAL TEXT")</f>
        <v xml:space="preserve">          5504 - FREIGHT-IN-DIGITAL TEXT</v>
      </c>
      <c r="C133" s="11"/>
      <c r="D133" s="2">
        <v>4.28</v>
      </c>
      <c r="E133" s="2"/>
      <c r="F133" s="19">
        <f t="shared" si="5"/>
        <v>1.3001764442719923E-5</v>
      </c>
      <c r="G133" s="2"/>
      <c r="H133" s="2"/>
      <c r="I133" s="2"/>
      <c r="J133" s="19">
        <f t="shared" si="6"/>
        <v>0</v>
      </c>
      <c r="K133" s="2"/>
      <c r="L133" s="2">
        <f t="shared" si="7"/>
        <v>4.28</v>
      </c>
      <c r="M133" s="2"/>
      <c r="N133" s="19">
        <f t="shared" si="8"/>
        <v>0</v>
      </c>
      <c r="O133" s="11"/>
      <c r="P133" s="2">
        <v>33.200000000000003</v>
      </c>
      <c r="Q133" s="2"/>
      <c r="R133" s="19">
        <f t="shared" si="9"/>
        <v>4.0931298744499621E-6</v>
      </c>
      <c r="S133" s="2"/>
      <c r="T133" s="2"/>
      <c r="U133" s="2"/>
      <c r="V133" s="19">
        <f t="shared" si="10"/>
        <v>0</v>
      </c>
      <c r="W133" s="2"/>
      <c r="X133" s="2">
        <f t="shared" si="11"/>
        <v>33.200000000000003</v>
      </c>
      <c r="Y133" s="2"/>
      <c r="Z133" s="19">
        <f t="shared" si="12"/>
        <v>0</v>
      </c>
    </row>
    <row r="134" spans="1:26" s="24" customFormat="1" hidden="1" outlineLevel="1" x14ac:dyDescent="0.25">
      <c r="A134" s="44"/>
      <c r="B134" s="11" t="str">
        <f>CONCATENATE("          ", "5513", " - ", "FREIGHT-IN-TRADE BOOKS")</f>
        <v xml:space="preserve">          5513 - FREIGHT-IN-TRADE BOOKS</v>
      </c>
      <c r="C134" s="11"/>
      <c r="D134" s="2"/>
      <c r="E134" s="2"/>
      <c r="F134" s="19">
        <f t="shared" si="5"/>
        <v>0</v>
      </c>
      <c r="G134" s="2"/>
      <c r="H134" s="2"/>
      <c r="I134" s="2"/>
      <c r="J134" s="19">
        <f t="shared" si="6"/>
        <v>0</v>
      </c>
      <c r="K134" s="2"/>
      <c r="L134" s="2">
        <f t="shared" si="7"/>
        <v>0</v>
      </c>
      <c r="M134" s="2"/>
      <c r="N134" s="19">
        <f t="shared" si="8"/>
        <v>0</v>
      </c>
      <c r="O134" s="11"/>
      <c r="P134" s="2">
        <v>85.28</v>
      </c>
      <c r="Q134" s="2"/>
      <c r="R134" s="19">
        <f t="shared" si="9"/>
        <v>1.0513919147382311E-5</v>
      </c>
      <c r="S134" s="2"/>
      <c r="T134" s="2"/>
      <c r="U134" s="2"/>
      <c r="V134" s="19">
        <f t="shared" si="10"/>
        <v>0</v>
      </c>
      <c r="W134" s="2"/>
      <c r="X134" s="2">
        <f t="shared" si="11"/>
        <v>85.28</v>
      </c>
      <c r="Y134" s="2"/>
      <c r="Z134" s="19">
        <f t="shared" si="12"/>
        <v>0</v>
      </c>
    </row>
    <row r="135" spans="1:26" s="24" customFormat="1" hidden="1" outlineLevel="1" x14ac:dyDescent="0.25">
      <c r="A135" s="44"/>
      <c r="B135" s="11" t="str">
        <f>CONCATENATE("          ", "5525", " - ", "FREIGHT-IN-TEST FORMS")</f>
        <v xml:space="preserve">          5525 - FREIGHT-IN-TEST FORMS</v>
      </c>
      <c r="C135" s="11"/>
      <c r="D135" s="2"/>
      <c r="E135" s="2"/>
      <c r="F135" s="19">
        <f t="shared" si="5"/>
        <v>0</v>
      </c>
      <c r="G135" s="2"/>
      <c r="H135" s="2"/>
      <c r="I135" s="2"/>
      <c r="J135" s="19">
        <f t="shared" si="6"/>
        <v>0</v>
      </c>
      <c r="K135" s="2"/>
      <c r="L135" s="2">
        <f t="shared" si="7"/>
        <v>0</v>
      </c>
      <c r="M135" s="2"/>
      <c r="N135" s="19">
        <f t="shared" si="8"/>
        <v>0</v>
      </c>
      <c r="O135" s="11"/>
      <c r="P135" s="2">
        <v>48.14</v>
      </c>
      <c r="Q135" s="2"/>
      <c r="R135" s="19">
        <f t="shared" si="9"/>
        <v>5.9350383179524444E-6</v>
      </c>
      <c r="S135" s="2"/>
      <c r="T135" s="2"/>
      <c r="U135" s="2"/>
      <c r="V135" s="19">
        <f t="shared" si="10"/>
        <v>0</v>
      </c>
      <c r="W135" s="2"/>
      <c r="X135" s="2">
        <f t="shared" si="11"/>
        <v>48.14</v>
      </c>
      <c r="Y135" s="2"/>
      <c r="Z135" s="19">
        <f t="shared" si="12"/>
        <v>0</v>
      </c>
    </row>
    <row r="136" spans="1:26" s="24" customFormat="1" hidden="1" outlineLevel="1" x14ac:dyDescent="0.25">
      <c r="A136" s="44"/>
      <c r="B136" s="11" t="str">
        <f>CONCATENATE("          ", "5526", " - ", "FREIGHT-IN-WRITING INSTRUMENTS")</f>
        <v xml:space="preserve">          5526 - FREIGHT-IN-WRITING INSTRUMENTS</v>
      </c>
      <c r="C136" s="11"/>
      <c r="D136" s="2"/>
      <c r="E136" s="2"/>
      <c r="F136" s="19">
        <f t="shared" si="5"/>
        <v>0</v>
      </c>
      <c r="G136" s="2"/>
      <c r="H136" s="2"/>
      <c r="I136" s="2"/>
      <c r="J136" s="19">
        <f t="shared" si="6"/>
        <v>0</v>
      </c>
      <c r="K136" s="2"/>
      <c r="L136" s="2">
        <f t="shared" si="7"/>
        <v>0</v>
      </c>
      <c r="M136" s="2"/>
      <c r="N136" s="19">
        <f t="shared" si="8"/>
        <v>0</v>
      </c>
      <c r="O136" s="11"/>
      <c r="P136" s="2">
        <v>0</v>
      </c>
      <c r="Q136" s="2"/>
      <c r="R136" s="19">
        <f t="shared" si="9"/>
        <v>0</v>
      </c>
      <c r="S136" s="2"/>
      <c r="T136" s="2"/>
      <c r="U136" s="2"/>
      <c r="V136" s="19">
        <f t="shared" si="10"/>
        <v>0</v>
      </c>
      <c r="W136" s="2"/>
      <c r="X136" s="2">
        <f t="shared" si="11"/>
        <v>0</v>
      </c>
      <c r="Y136" s="2"/>
      <c r="Z136" s="19">
        <f t="shared" si="12"/>
        <v>0</v>
      </c>
    </row>
    <row r="137" spans="1:26" s="24" customFormat="1" hidden="1" outlineLevel="1" x14ac:dyDescent="0.25">
      <c r="A137" s="44"/>
      <c r="B137" s="11" t="str">
        <f>CONCATENATE("          ", "5527", " - ", "FREIGHT-IN-SCHOOL SUPPLIES")</f>
        <v xml:space="preserve">          5527 - FREIGHT-IN-SCHOOL SUPPLIES</v>
      </c>
      <c r="C137" s="11"/>
      <c r="D137" s="2">
        <v>58.29</v>
      </c>
      <c r="E137" s="2"/>
      <c r="F137" s="19">
        <f t="shared" si="5"/>
        <v>1.7707309564629539E-4</v>
      </c>
      <c r="G137" s="2"/>
      <c r="H137" s="2"/>
      <c r="I137" s="2"/>
      <c r="J137" s="19">
        <f t="shared" si="6"/>
        <v>0</v>
      </c>
      <c r="K137" s="2"/>
      <c r="L137" s="2">
        <f t="shared" si="7"/>
        <v>58.29</v>
      </c>
      <c r="M137" s="2"/>
      <c r="N137" s="19">
        <f t="shared" si="8"/>
        <v>0</v>
      </c>
      <c r="O137" s="11"/>
      <c r="P137" s="2">
        <v>276.91000000000003</v>
      </c>
      <c r="Q137" s="2"/>
      <c r="R137" s="19">
        <f t="shared" si="9"/>
        <v>3.4139415467889733E-5</v>
      </c>
      <c r="S137" s="2"/>
      <c r="T137" s="2"/>
      <c r="U137" s="2"/>
      <c r="V137" s="19">
        <f t="shared" si="10"/>
        <v>0</v>
      </c>
      <c r="W137" s="2"/>
      <c r="X137" s="2">
        <f t="shared" si="11"/>
        <v>276.91000000000003</v>
      </c>
      <c r="Y137" s="2"/>
      <c r="Z137" s="19">
        <f t="shared" si="12"/>
        <v>0</v>
      </c>
    </row>
    <row r="138" spans="1:26" s="24" customFormat="1" hidden="1" outlineLevel="1" x14ac:dyDescent="0.25">
      <c r="A138" s="44"/>
      <c r="B138" s="11" t="str">
        <f>CONCATENATE("          ", "5528", " - ", "FREIGHT-IN-ART/TECH")</f>
        <v xml:space="preserve">          5528 - FREIGHT-IN-ART/TECH</v>
      </c>
      <c r="C138" s="11"/>
      <c r="D138" s="2">
        <v>102.68</v>
      </c>
      <c r="E138" s="2"/>
      <c r="F138" s="19">
        <f t="shared" si="5"/>
        <v>3.1192083480805649E-4</v>
      </c>
      <c r="G138" s="2"/>
      <c r="H138" s="2"/>
      <c r="I138" s="2"/>
      <c r="J138" s="19">
        <f t="shared" si="6"/>
        <v>0</v>
      </c>
      <c r="K138" s="2"/>
      <c r="L138" s="2">
        <f t="shared" si="7"/>
        <v>102.68</v>
      </c>
      <c r="M138" s="2"/>
      <c r="N138" s="19">
        <f t="shared" si="8"/>
        <v>0</v>
      </c>
      <c r="O138" s="11"/>
      <c r="P138" s="2">
        <v>675.64</v>
      </c>
      <c r="Q138" s="2"/>
      <c r="R138" s="19">
        <f t="shared" si="9"/>
        <v>8.3297658685944938E-5</v>
      </c>
      <c r="S138" s="2"/>
      <c r="T138" s="2"/>
      <c r="U138" s="2"/>
      <c r="V138" s="19">
        <f t="shared" si="10"/>
        <v>0</v>
      </c>
      <c r="W138" s="2"/>
      <c r="X138" s="2">
        <f t="shared" si="11"/>
        <v>675.64</v>
      </c>
      <c r="Y138" s="2"/>
      <c r="Z138" s="19">
        <f t="shared" si="12"/>
        <v>0</v>
      </c>
    </row>
    <row r="139" spans="1:26" s="24" customFormat="1" hidden="1" outlineLevel="1" x14ac:dyDescent="0.25">
      <c r="A139" s="44"/>
      <c r="B139" s="11" t="str">
        <f>CONCATENATE("          ", "5540", " - ", "FREIGHT-IN-LOGO CLOTHING")</f>
        <v xml:space="preserve">          5540 - FREIGHT-IN-LOGO CLOTHING</v>
      </c>
      <c r="C139" s="11"/>
      <c r="D139" s="2">
        <v>1384.09</v>
      </c>
      <c r="E139" s="2"/>
      <c r="F139" s="19">
        <f t="shared" si="5"/>
        <v>4.2045822774589292E-3</v>
      </c>
      <c r="G139" s="2"/>
      <c r="H139" s="2"/>
      <c r="I139" s="2"/>
      <c r="J139" s="19">
        <f t="shared" si="6"/>
        <v>0</v>
      </c>
      <c r="K139" s="2"/>
      <c r="L139" s="2">
        <f t="shared" si="7"/>
        <v>1384.09</v>
      </c>
      <c r="M139" s="2"/>
      <c r="N139" s="19">
        <f t="shared" si="8"/>
        <v>0</v>
      </c>
      <c r="O139" s="11"/>
      <c r="P139" s="2">
        <v>11883.79</v>
      </c>
      <c r="Q139" s="2"/>
      <c r="R139" s="19">
        <f t="shared" si="9"/>
        <v>1.4651173455027023E-3</v>
      </c>
      <c r="S139" s="2"/>
      <c r="T139" s="2"/>
      <c r="U139" s="2"/>
      <c r="V139" s="19">
        <f t="shared" si="10"/>
        <v>0</v>
      </c>
      <c r="W139" s="2"/>
      <c r="X139" s="2">
        <f t="shared" si="11"/>
        <v>11883.79</v>
      </c>
      <c r="Y139" s="2"/>
      <c r="Z139" s="19">
        <f t="shared" si="12"/>
        <v>0</v>
      </c>
    </row>
    <row r="140" spans="1:26" s="24" customFormat="1" hidden="1" outlineLevel="1" x14ac:dyDescent="0.25">
      <c r="A140" s="44"/>
      <c r="B140" s="11" t="str">
        <f>CONCATENATE("          ", "5541", " - ", "FREIGHT-IN-LOGO GIFTS")</f>
        <v xml:space="preserve">          5541 - FREIGHT-IN-LOGO GIFTS</v>
      </c>
      <c r="C140" s="11"/>
      <c r="D140" s="2">
        <v>1606.81</v>
      </c>
      <c r="E140" s="2"/>
      <c r="F140" s="19">
        <f t="shared" si="5"/>
        <v>4.8811600757492522E-3</v>
      </c>
      <c r="G140" s="2"/>
      <c r="H140" s="2"/>
      <c r="I140" s="2"/>
      <c r="J140" s="19">
        <f t="shared" si="6"/>
        <v>0</v>
      </c>
      <c r="K140" s="2"/>
      <c r="L140" s="2">
        <f t="shared" si="7"/>
        <v>1606.81</v>
      </c>
      <c r="M140" s="2"/>
      <c r="N140" s="19">
        <f t="shared" si="8"/>
        <v>0</v>
      </c>
      <c r="O140" s="11"/>
      <c r="P140" s="2">
        <v>7584.01</v>
      </c>
      <c r="Q140" s="2"/>
      <c r="R140" s="19">
        <f t="shared" si="9"/>
        <v>9.3501017768455588E-4</v>
      </c>
      <c r="S140" s="2"/>
      <c r="T140" s="2"/>
      <c r="U140" s="2"/>
      <c r="V140" s="19">
        <f t="shared" si="10"/>
        <v>0</v>
      </c>
      <c r="W140" s="2"/>
      <c r="X140" s="2">
        <f t="shared" si="11"/>
        <v>7584.01</v>
      </c>
      <c r="Y140" s="2"/>
      <c r="Z140" s="19">
        <f t="shared" si="12"/>
        <v>0</v>
      </c>
    </row>
    <row r="141" spans="1:26" s="24" customFormat="1" hidden="1" outlineLevel="1" x14ac:dyDescent="0.25">
      <c r="A141" s="44"/>
      <c r="B141" s="11" t="str">
        <f>CONCATENATE("          ", "5542", " - ", "FREIGHT-IN-EVERYDAY GIFTS")</f>
        <v xml:space="preserve">          5542 - FREIGHT-IN-EVERYDAY GIFTS</v>
      </c>
      <c r="C141" s="11"/>
      <c r="D141" s="2"/>
      <c r="E141" s="2"/>
      <c r="F141" s="19">
        <f t="shared" si="5"/>
        <v>0</v>
      </c>
      <c r="G141" s="2"/>
      <c r="H141" s="2"/>
      <c r="I141" s="2"/>
      <c r="J141" s="19">
        <f t="shared" si="6"/>
        <v>0</v>
      </c>
      <c r="K141" s="2"/>
      <c r="L141" s="2">
        <f t="shared" si="7"/>
        <v>0</v>
      </c>
      <c r="M141" s="2"/>
      <c r="N141" s="19">
        <f t="shared" si="8"/>
        <v>0</v>
      </c>
      <c r="O141" s="11"/>
      <c r="P141" s="2">
        <v>681.72</v>
      </c>
      <c r="Q141" s="2"/>
      <c r="R141" s="19">
        <f t="shared" si="9"/>
        <v>8.40472439159647E-5</v>
      </c>
      <c r="S141" s="2"/>
      <c r="T141" s="2"/>
      <c r="U141" s="2"/>
      <c r="V141" s="19">
        <f t="shared" si="10"/>
        <v>0</v>
      </c>
      <c r="W141" s="2"/>
      <c r="X141" s="2">
        <f t="shared" si="11"/>
        <v>681.72</v>
      </c>
      <c r="Y141" s="2"/>
      <c r="Z141" s="19">
        <f t="shared" si="12"/>
        <v>0</v>
      </c>
    </row>
    <row r="142" spans="1:26" s="24" customFormat="1" hidden="1" outlineLevel="1" x14ac:dyDescent="0.25">
      <c r="A142" s="44"/>
      <c r="B142" s="11" t="str">
        <f>CONCATENATE("          ", "5543", " - ", "FREIGHT-IN-CARDS")</f>
        <v xml:space="preserve">          5543 - FREIGHT-IN-CARDS</v>
      </c>
      <c r="C142" s="11"/>
      <c r="D142" s="2"/>
      <c r="E142" s="2"/>
      <c r="F142" s="19">
        <f t="shared" si="5"/>
        <v>0</v>
      </c>
      <c r="G142" s="2"/>
      <c r="H142" s="2"/>
      <c r="I142" s="2"/>
      <c r="J142" s="19">
        <f t="shared" si="6"/>
        <v>0</v>
      </c>
      <c r="K142" s="2"/>
      <c r="L142" s="2">
        <f t="shared" si="7"/>
        <v>0</v>
      </c>
      <c r="M142" s="2"/>
      <c r="N142" s="19">
        <f t="shared" si="8"/>
        <v>0</v>
      </c>
      <c r="O142" s="11"/>
      <c r="P142" s="2">
        <v>9110.5300000000007</v>
      </c>
      <c r="Q142" s="2"/>
      <c r="R142" s="19">
        <f t="shared" si="9"/>
        <v>1.1232103167190545E-3</v>
      </c>
      <c r="S142" s="2"/>
      <c r="T142" s="2"/>
      <c r="U142" s="2"/>
      <c r="V142" s="19">
        <f t="shared" si="10"/>
        <v>0</v>
      </c>
      <c r="W142" s="2"/>
      <c r="X142" s="2">
        <f t="shared" si="11"/>
        <v>9110.5300000000007</v>
      </c>
      <c r="Y142" s="2"/>
      <c r="Z142" s="19">
        <f t="shared" si="12"/>
        <v>0</v>
      </c>
    </row>
    <row r="143" spans="1:26" s="24" customFormat="1" hidden="1" outlineLevel="1" x14ac:dyDescent="0.25">
      <c r="A143" s="44"/>
      <c r="B143" s="11" t="str">
        <f>CONCATENATE("          ", "5544", " - ", "FREIGHT-IN-ACCESSORIES")</f>
        <v xml:space="preserve">          5544 - FREIGHT-IN-ACCESSORIES</v>
      </c>
      <c r="C143" s="11"/>
      <c r="D143" s="2">
        <v>48.59</v>
      </c>
      <c r="E143" s="2"/>
      <c r="F143" s="19">
        <f t="shared" si="5"/>
        <v>1.4760647997003764E-4</v>
      </c>
      <c r="G143" s="2"/>
      <c r="H143" s="2"/>
      <c r="I143" s="2"/>
      <c r="J143" s="19">
        <f t="shared" si="6"/>
        <v>0</v>
      </c>
      <c r="K143" s="2"/>
      <c r="L143" s="2">
        <f t="shared" si="7"/>
        <v>48.59</v>
      </c>
      <c r="M143" s="2"/>
      <c r="N143" s="19">
        <f t="shared" si="8"/>
        <v>0</v>
      </c>
      <c r="O143" s="11"/>
      <c r="P143" s="2">
        <v>48.59</v>
      </c>
      <c r="Q143" s="2"/>
      <c r="R143" s="19">
        <f t="shared" si="9"/>
        <v>5.9905174879374597E-6</v>
      </c>
      <c r="S143" s="2"/>
      <c r="T143" s="2"/>
      <c r="U143" s="2"/>
      <c r="V143" s="19">
        <f t="shared" si="10"/>
        <v>0</v>
      </c>
      <c r="W143" s="2"/>
      <c r="X143" s="2">
        <f t="shared" si="11"/>
        <v>48.59</v>
      </c>
      <c r="Y143" s="2"/>
      <c r="Z143" s="19">
        <f t="shared" si="12"/>
        <v>0</v>
      </c>
    </row>
    <row r="144" spans="1:26" s="24" customFormat="1" hidden="1" outlineLevel="1" x14ac:dyDescent="0.25">
      <c r="A144" s="44"/>
      <c r="B144" s="11" t="str">
        <f>CONCATENATE("          ", "5545", " - ", "FREIGHT-IN-SPECIAL ORDERS")</f>
        <v xml:space="preserve">          5545 - FREIGHT-IN-SPECIAL ORDERS</v>
      </c>
      <c r="C144" s="11"/>
      <c r="D144" s="2">
        <v>90.41</v>
      </c>
      <c r="E144" s="2"/>
      <c r="F144" s="19">
        <f t="shared" si="5"/>
        <v>2.7464708487530566E-4</v>
      </c>
      <c r="G144" s="2"/>
      <c r="H144" s="2"/>
      <c r="I144" s="2"/>
      <c r="J144" s="19">
        <f t="shared" si="6"/>
        <v>0</v>
      </c>
      <c r="K144" s="2"/>
      <c r="L144" s="2">
        <f t="shared" si="7"/>
        <v>90.41</v>
      </c>
      <c r="M144" s="2"/>
      <c r="N144" s="19">
        <f t="shared" si="8"/>
        <v>0</v>
      </c>
      <c r="O144" s="11"/>
      <c r="P144" s="2">
        <v>2559.0700000000002</v>
      </c>
      <c r="Q144" s="2"/>
      <c r="R144" s="19">
        <f t="shared" si="9"/>
        <v>3.1550017674122482E-4</v>
      </c>
      <c r="S144" s="2"/>
      <c r="T144" s="2"/>
      <c r="U144" s="2"/>
      <c r="V144" s="19">
        <f t="shared" si="10"/>
        <v>0</v>
      </c>
      <c r="W144" s="2"/>
      <c r="X144" s="2">
        <f t="shared" si="11"/>
        <v>2559.0700000000002</v>
      </c>
      <c r="Y144" s="2"/>
      <c r="Z144" s="19">
        <f t="shared" si="12"/>
        <v>0</v>
      </c>
    </row>
    <row r="145" spans="1:26" s="24" customFormat="1" hidden="1" outlineLevel="1" x14ac:dyDescent="0.25">
      <c r="A145" s="44"/>
      <c r="B145" s="11" t="str">
        <f>CONCATENATE("          ", "5581", " - ", "FREIGHT-IN-ELECTRONICS")</f>
        <v xml:space="preserve">          5581 - FREIGHT-IN-ELECTRONICS</v>
      </c>
      <c r="C145" s="11"/>
      <c r="D145" s="2">
        <v>0</v>
      </c>
      <c r="E145" s="2"/>
      <c r="F145" s="19">
        <f t="shared" si="5"/>
        <v>0</v>
      </c>
      <c r="G145" s="2"/>
      <c r="H145" s="2"/>
      <c r="I145" s="2"/>
      <c r="J145" s="19">
        <f t="shared" si="6"/>
        <v>0</v>
      </c>
      <c r="K145" s="2"/>
      <c r="L145" s="2">
        <f t="shared" si="7"/>
        <v>0</v>
      </c>
      <c r="M145" s="2"/>
      <c r="N145" s="19">
        <f t="shared" si="8"/>
        <v>0</v>
      </c>
      <c r="O145" s="11"/>
      <c r="P145" s="2">
        <v>31</v>
      </c>
      <c r="Q145" s="2"/>
      <c r="R145" s="19">
        <f t="shared" si="9"/>
        <v>3.8218983767454464E-6</v>
      </c>
      <c r="S145" s="2"/>
      <c r="T145" s="2"/>
      <c r="U145" s="2"/>
      <c r="V145" s="19">
        <f t="shared" si="10"/>
        <v>0</v>
      </c>
      <c r="W145" s="2"/>
      <c r="X145" s="2">
        <f t="shared" si="11"/>
        <v>31</v>
      </c>
      <c r="Y145" s="2"/>
      <c r="Z145" s="19">
        <f t="shared" si="12"/>
        <v>0</v>
      </c>
    </row>
    <row r="146" spans="1:26" s="24" customFormat="1" hidden="1" outlineLevel="1" x14ac:dyDescent="0.25">
      <c r="A146" s="44"/>
      <c r="B146" s="11" t="str">
        <f>CONCATENATE("          ", "5582", " - ", "FREIGHT-IN-COMPUTER HARDWARE")</f>
        <v xml:space="preserve">          5582 - FREIGHT-IN-COMPUTER HARDWARE</v>
      </c>
      <c r="C146" s="11"/>
      <c r="D146" s="2"/>
      <c r="E146" s="2"/>
      <c r="F146" s="19">
        <f t="shared" si="5"/>
        <v>0</v>
      </c>
      <c r="G146" s="2"/>
      <c r="H146" s="2"/>
      <c r="I146" s="2"/>
      <c r="J146" s="19">
        <f t="shared" si="6"/>
        <v>0</v>
      </c>
      <c r="K146" s="2"/>
      <c r="L146" s="2">
        <f t="shared" si="7"/>
        <v>0</v>
      </c>
      <c r="M146" s="2"/>
      <c r="N146" s="19">
        <f t="shared" si="8"/>
        <v>0</v>
      </c>
      <c r="O146" s="11"/>
      <c r="P146" s="2">
        <v>145</v>
      </c>
      <c r="Q146" s="2"/>
      <c r="R146" s="19">
        <f t="shared" si="9"/>
        <v>1.7876621439615797E-5</v>
      </c>
      <c r="S146" s="2"/>
      <c r="T146" s="2"/>
      <c r="U146" s="2"/>
      <c r="V146" s="19">
        <f t="shared" si="10"/>
        <v>0</v>
      </c>
      <c r="W146" s="2"/>
      <c r="X146" s="2">
        <f t="shared" si="11"/>
        <v>145</v>
      </c>
      <c r="Y146" s="2"/>
      <c r="Z146" s="19">
        <f t="shared" si="12"/>
        <v>0</v>
      </c>
    </row>
    <row r="147" spans="1:26" s="24" customFormat="1" hidden="1" outlineLevel="1" x14ac:dyDescent="0.25">
      <c r="A147" s="44"/>
      <c r="B147" s="11" t="str">
        <f>CONCATENATE("          ", "5583", " - ", "FREIGHT-IN-COMPUTER EQUIPMENT")</f>
        <v xml:space="preserve">          5583 - FREIGHT-IN-COMPUTER EQUIPMENT</v>
      </c>
      <c r="C147" s="11"/>
      <c r="D147" s="2"/>
      <c r="E147" s="2"/>
      <c r="F147" s="19">
        <f t="shared" si="5"/>
        <v>0</v>
      </c>
      <c r="G147" s="2"/>
      <c r="H147" s="2"/>
      <c r="I147" s="2"/>
      <c r="J147" s="19">
        <f t="shared" si="6"/>
        <v>0</v>
      </c>
      <c r="K147" s="2"/>
      <c r="L147" s="2">
        <f t="shared" si="7"/>
        <v>0</v>
      </c>
      <c r="M147" s="2"/>
      <c r="N147" s="19">
        <f t="shared" si="8"/>
        <v>0</v>
      </c>
      <c r="O147" s="11"/>
      <c r="P147" s="2">
        <v>242.46</v>
      </c>
      <c r="Q147" s="2"/>
      <c r="R147" s="19">
        <f t="shared" si="9"/>
        <v>2.9892176787925835E-5</v>
      </c>
      <c r="S147" s="2"/>
      <c r="T147" s="2"/>
      <c r="U147" s="2"/>
      <c r="V147" s="19">
        <f t="shared" si="10"/>
        <v>0</v>
      </c>
      <c r="W147" s="2"/>
      <c r="X147" s="2">
        <f t="shared" si="11"/>
        <v>242.46</v>
      </c>
      <c r="Y147" s="2"/>
      <c r="Z147" s="19">
        <f t="shared" si="12"/>
        <v>0</v>
      </c>
    </row>
    <row r="148" spans="1:26" s="24" customFormat="1" hidden="1" outlineLevel="1" x14ac:dyDescent="0.25">
      <c r="A148" s="44"/>
      <c r="B148" s="11" t="str">
        <f>CONCATENATE("          ", "5585", " - ", "FREIGHT-IN-SOFTWARE")</f>
        <v xml:space="preserve">          5585 - FREIGHT-IN-SOFTWARE</v>
      </c>
      <c r="C148" s="11"/>
      <c r="D148" s="2"/>
      <c r="E148" s="2"/>
      <c r="F148" s="19">
        <f t="shared" si="5"/>
        <v>0</v>
      </c>
      <c r="G148" s="2"/>
      <c r="H148" s="2"/>
      <c r="I148" s="2"/>
      <c r="J148" s="19">
        <f t="shared" si="6"/>
        <v>0</v>
      </c>
      <c r="K148" s="2"/>
      <c r="L148" s="2">
        <f t="shared" si="7"/>
        <v>0</v>
      </c>
      <c r="M148" s="2"/>
      <c r="N148" s="19">
        <f t="shared" si="8"/>
        <v>0</v>
      </c>
      <c r="O148" s="11"/>
      <c r="P148" s="2">
        <v>9.41</v>
      </c>
      <c r="Q148" s="2"/>
      <c r="R148" s="19">
        <f t="shared" si="9"/>
        <v>1.1601310879088597E-6</v>
      </c>
      <c r="S148" s="2"/>
      <c r="T148" s="2"/>
      <c r="U148" s="2"/>
      <c r="V148" s="19">
        <f t="shared" si="10"/>
        <v>0</v>
      </c>
      <c r="W148" s="2"/>
      <c r="X148" s="2">
        <f t="shared" si="11"/>
        <v>9.41</v>
      </c>
      <c r="Y148" s="2"/>
      <c r="Z148" s="19">
        <f t="shared" si="12"/>
        <v>0</v>
      </c>
    </row>
    <row r="149" spans="1:26" s="24" customFormat="1" hidden="1" outlineLevel="1" x14ac:dyDescent="0.25">
      <c r="A149" s="44"/>
      <c r="B149" s="11" t="str">
        <f>CONCATENATE("          ", "5586", " - ", "FREIGHT-IN-COMPUTER SUPPLIES")</f>
        <v xml:space="preserve">          5586 - FREIGHT-IN-COMPUTER SUPPLIES</v>
      </c>
      <c r="C149" s="11"/>
      <c r="D149" s="2"/>
      <c r="E149" s="2"/>
      <c r="F149" s="19">
        <f t="shared" si="5"/>
        <v>0</v>
      </c>
      <c r="G149" s="2"/>
      <c r="H149" s="2"/>
      <c r="I149" s="2"/>
      <c r="J149" s="19">
        <f t="shared" si="6"/>
        <v>0</v>
      </c>
      <c r="K149" s="2"/>
      <c r="L149" s="2">
        <f t="shared" si="7"/>
        <v>0</v>
      </c>
      <c r="M149" s="2"/>
      <c r="N149" s="19">
        <f t="shared" si="8"/>
        <v>0</v>
      </c>
      <c r="O149" s="11"/>
      <c r="P149" s="2">
        <v>24.12</v>
      </c>
      <c r="Q149" s="2"/>
      <c r="R149" s="19">
        <f t="shared" si="9"/>
        <v>2.9736835111967797E-6</v>
      </c>
      <c r="S149" s="2"/>
      <c r="T149" s="2"/>
      <c r="U149" s="2"/>
      <c r="V149" s="19">
        <f t="shared" si="10"/>
        <v>0</v>
      </c>
      <c r="W149" s="2"/>
      <c r="X149" s="2">
        <f t="shared" si="11"/>
        <v>24.12</v>
      </c>
      <c r="Y149" s="2"/>
      <c r="Z149" s="19">
        <f t="shared" si="12"/>
        <v>0</v>
      </c>
    </row>
    <row r="150" spans="1:26" s="24" customFormat="1" hidden="1" outlineLevel="1" x14ac:dyDescent="0.25">
      <c r="A150" s="44"/>
      <c r="B150" s="11" t="str">
        <f>CONCATENATE("          ", "5592", " - ", "FREIGHT-IN-GRAD MERCH")</f>
        <v xml:space="preserve">          5592 - FREIGHT-IN-GRAD MERCH</v>
      </c>
      <c r="C150" s="11"/>
      <c r="D150" s="2"/>
      <c r="E150" s="2"/>
      <c r="F150" s="19">
        <f t="shared" si="5"/>
        <v>0</v>
      </c>
      <c r="G150" s="2"/>
      <c r="H150" s="2"/>
      <c r="I150" s="2"/>
      <c r="J150" s="19">
        <f t="shared" si="6"/>
        <v>0</v>
      </c>
      <c r="K150" s="2"/>
      <c r="L150" s="2">
        <f t="shared" si="7"/>
        <v>0</v>
      </c>
      <c r="M150" s="2"/>
      <c r="N150" s="19">
        <f t="shared" si="8"/>
        <v>0</v>
      </c>
      <c r="O150" s="11"/>
      <c r="P150" s="2">
        <v>0</v>
      </c>
      <c r="Q150" s="2"/>
      <c r="R150" s="19">
        <f t="shared" si="9"/>
        <v>0</v>
      </c>
      <c r="S150" s="2"/>
      <c r="T150" s="2"/>
      <c r="U150" s="2"/>
      <c r="V150" s="19">
        <f t="shared" si="10"/>
        <v>0</v>
      </c>
      <c r="W150" s="2"/>
      <c r="X150" s="2">
        <f t="shared" si="11"/>
        <v>0</v>
      </c>
      <c r="Y150" s="2"/>
      <c r="Z150" s="19">
        <f t="shared" si="12"/>
        <v>0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10"/>
      <c r="B152" s="28" t="s">
        <v>108</v>
      </c>
      <c r="C152" s="28"/>
      <c r="D152" s="20">
        <f>D12-D95</f>
        <v>40600.760000000068</v>
      </c>
      <c r="E152" s="14"/>
      <c r="F152" s="22">
        <f>IF(D$12=0,0,D152/D$12)</f>
        <v>0.12333680320453416</v>
      </c>
      <c r="G152" s="14"/>
      <c r="H152" s="20">
        <f>H12-H95</f>
        <v>248209</v>
      </c>
      <c r="I152" s="14"/>
      <c r="J152" s="22">
        <f>IF(H$12=0,0,H152/H$12)</f>
        <v>0.36968871015787907</v>
      </c>
      <c r="K152" s="16"/>
      <c r="L152" s="20">
        <f>+D152-H152</f>
        <v>-207608.23999999993</v>
      </c>
      <c r="M152" s="16"/>
      <c r="N152" s="22">
        <f>IF(H152=0,0,L152/H152)</f>
        <v>-0.83642510948434556</v>
      </c>
      <c r="O152" s="29"/>
      <c r="P152" s="20">
        <f>P12-P95</f>
        <v>2339296.3599999957</v>
      </c>
      <c r="Q152" s="14"/>
      <c r="R152" s="22">
        <f>IF(P$12=0,0,P152/P$12)</f>
        <v>0.28840493422614566</v>
      </c>
      <c r="S152" s="14"/>
      <c r="T152" s="20">
        <f>T12-T95</f>
        <v>4350526</v>
      </c>
      <c r="U152" s="14"/>
      <c r="V152" s="22">
        <f>IF(T$12=0,0,T152/T$12)</f>
        <v>0.37320563408892476</v>
      </c>
      <c r="W152" s="16"/>
      <c r="X152" s="20">
        <f>+P152-T152</f>
        <v>-2011229.6400000043</v>
      </c>
      <c r="Y152" s="16"/>
      <c r="Z152" s="22">
        <f>IF(T152=0,0,X152/T152)</f>
        <v>-0.46229574079088465</v>
      </c>
    </row>
    <row r="153" spans="1:26" x14ac:dyDescent="0.25">
      <c r="A153" s="9"/>
      <c r="B153" s="10"/>
      <c r="C153" s="9"/>
      <c r="D153" s="1"/>
      <c r="E153" s="1"/>
      <c r="F153" s="5"/>
      <c r="G153" s="1"/>
      <c r="H153" s="1"/>
      <c r="I153" s="1"/>
      <c r="J153" s="5"/>
      <c r="K153" s="1"/>
      <c r="L153" s="1"/>
      <c r="M153" s="1"/>
      <c r="N153" s="5"/>
      <c r="O153" s="36"/>
      <c r="P153" s="1"/>
      <c r="Q153" s="1"/>
      <c r="R153" s="5"/>
      <c r="S153" s="1"/>
      <c r="T153" s="1"/>
      <c r="U153" s="1"/>
      <c r="V153" s="5"/>
      <c r="W153" s="1"/>
      <c r="X153" s="1"/>
      <c r="Y153" s="1"/>
      <c r="Z153" s="5"/>
    </row>
    <row r="154" spans="1:26" s="23" customFormat="1" x14ac:dyDescent="0.25">
      <c r="A154" s="10"/>
      <c r="B154" s="29" t="s">
        <v>295</v>
      </c>
      <c r="C154" s="10"/>
      <c r="D154" s="21">
        <f>SUM(OSRRefD22x_0)</f>
        <v>248476.36000000002</v>
      </c>
      <c r="E154" s="21"/>
      <c r="F154" s="30">
        <f t="shared" ref="F154:F165" si="13">IF(D$12=0,0,D154/D$12)</f>
        <v>0.75482035100571854</v>
      </c>
      <c r="G154" s="21"/>
      <c r="H154" s="21">
        <f>SUM(OSRRefH22x_0)</f>
        <v>358675.61707940965</v>
      </c>
      <c r="I154" s="21"/>
      <c r="J154" s="30">
        <f t="shared" ref="J154:J165" si="14">IF(H$12=0,0,H154/H$12)</f>
        <v>0.53422046035062509</v>
      </c>
      <c r="K154" s="4"/>
      <c r="L154" s="21">
        <f t="shared" ref="L154:L165" si="15">+D154-H154</f>
        <v>-110199.25707940964</v>
      </c>
      <c r="M154" s="4"/>
      <c r="N154" s="30">
        <f t="shared" ref="N154:N165" si="16">IF(H154=0,0,L154/H154)</f>
        <v>-0.30723933223208721</v>
      </c>
      <c r="O154" s="10"/>
      <c r="P154" s="21">
        <f>SUM(OSRRefP22x_0)</f>
        <v>3268986.620000002</v>
      </c>
      <c r="Q154" s="21"/>
      <c r="R154" s="30">
        <f t="shared" ref="R154:R165" si="17">IF(P$12=0,0,P154/P$12)</f>
        <v>0.40302369859937387</v>
      </c>
      <c r="S154" s="21"/>
      <c r="T154" s="21">
        <f>SUM(OSRRefT22x_0)</f>
        <v>4656385.7027438451</v>
      </c>
      <c r="U154" s="21"/>
      <c r="V154" s="30">
        <f t="shared" ref="V154:V165" si="18">IF(T$12=0,0,T154/T$12)</f>
        <v>0.39944351068241407</v>
      </c>
      <c r="W154" s="4"/>
      <c r="X154" s="21">
        <f t="shared" ref="X154:X165" si="19">+P154-T154</f>
        <v>-1387399.0827438431</v>
      </c>
      <c r="Y154" s="4"/>
      <c r="Z154" s="30">
        <f t="shared" ref="Z154:Z165" si="20">IF(T154=0,0,X154/T154)</f>
        <v>-0.29795621997685834</v>
      </c>
    </row>
    <row r="155" spans="1:26" s="27" customFormat="1" outlineLevel="1" collapsed="1" x14ac:dyDescent="0.25">
      <c r="A155" s="25"/>
      <c r="B155" s="13" t="str">
        <f>CONCATENATE("     ","*Benefits                                         ")</f>
        <v xml:space="preserve">     *Benefits                                         </v>
      </c>
      <c r="C155" s="13"/>
      <c r="D155" s="1">
        <f>SUM(OSRRefD22_0x_0)</f>
        <v>56727.14</v>
      </c>
      <c r="E155" s="1"/>
      <c r="F155" s="5">
        <f t="shared" si="13"/>
        <v>0.17232544667971847</v>
      </c>
      <c r="G155" s="1"/>
      <c r="H155" s="1">
        <f>SUM(OSRRefH22_0x_0)</f>
        <v>47584.890495717322</v>
      </c>
      <c r="I155" s="1"/>
      <c r="J155" s="5">
        <f t="shared" si="14"/>
        <v>7.0874129424660884E-2</v>
      </c>
      <c r="K155" s="1"/>
      <c r="L155" s="1">
        <f t="shared" si="15"/>
        <v>9142.2495042826777</v>
      </c>
      <c r="M155" s="1"/>
      <c r="N155" s="5">
        <f t="shared" si="16"/>
        <v>0.19212505081009879</v>
      </c>
      <c r="O155" s="13"/>
      <c r="P155" s="1">
        <f>SUM(OSRRefP22_0x_0)</f>
        <v>600719.17999999993</v>
      </c>
      <c r="Q155" s="1"/>
      <c r="R155" s="5">
        <f t="shared" si="17"/>
        <v>7.4060892223285657E-2</v>
      </c>
      <c r="S155" s="1"/>
      <c r="T155" s="1">
        <f>SUM(OSRRefT22_0x_0)</f>
        <v>572432.30200584501</v>
      </c>
      <c r="U155" s="1"/>
      <c r="V155" s="5">
        <f t="shared" si="18"/>
        <v>4.9105547293148977E-2</v>
      </c>
      <c r="W155" s="1"/>
      <c r="X155" s="1">
        <f t="shared" si="19"/>
        <v>28286.877994154929</v>
      </c>
      <c r="Y155" s="1"/>
      <c r="Z155" s="5">
        <f t="shared" si="20"/>
        <v>4.9415237216760166E-2</v>
      </c>
    </row>
    <row r="156" spans="1:26" s="24" customFormat="1" hidden="1" outlineLevel="2" x14ac:dyDescent="0.25">
      <c r="A156" s="26"/>
      <c r="B156" s="11" t="str">
        <f>CONCATENATE("          ", "6111", " - ", "F.I.C.A.")</f>
        <v xml:space="preserve">          6111 - F.I.C.A.</v>
      </c>
      <c r="C156" s="11"/>
      <c r="D156" s="6">
        <v>10006.1</v>
      </c>
      <c r="E156" s="2"/>
      <c r="F156" s="7">
        <f t="shared" si="13"/>
        <v>3.0396484857546688E-2</v>
      </c>
      <c r="G156" s="2"/>
      <c r="H156" s="6">
        <v>11016.906629544201</v>
      </c>
      <c r="I156" s="2"/>
      <c r="J156" s="7">
        <f t="shared" si="14"/>
        <v>1.6408857059196008E-2</v>
      </c>
      <c r="K156" s="2"/>
      <c r="L156" s="6">
        <f t="shared" si="15"/>
        <v>-1010.8066295442004</v>
      </c>
      <c r="M156" s="2"/>
      <c r="N156" s="7">
        <f t="shared" si="16"/>
        <v>-9.1750494356873769E-2</v>
      </c>
      <c r="O156" s="11"/>
      <c r="P156" s="6">
        <v>113421.24</v>
      </c>
      <c r="Q156" s="2"/>
      <c r="R156" s="7">
        <f t="shared" si="17"/>
        <v>1.3983369453046958E-2</v>
      </c>
      <c r="S156" s="2"/>
      <c r="T156" s="6">
        <v>105097.78910892</v>
      </c>
      <c r="U156" s="2"/>
      <c r="V156" s="7">
        <f t="shared" si="18"/>
        <v>9.0157114394302153E-3</v>
      </c>
      <c r="W156" s="2"/>
      <c r="X156" s="6">
        <f t="shared" si="19"/>
        <v>8323.4508910800068</v>
      </c>
      <c r="Y156" s="2"/>
      <c r="Z156" s="7">
        <f t="shared" si="20"/>
        <v>7.9197202544896997E-2</v>
      </c>
    </row>
    <row r="157" spans="1:26" s="24" customFormat="1" hidden="1" outlineLevel="2" x14ac:dyDescent="0.25">
      <c r="A157" s="26"/>
      <c r="B157" s="11" t="str">
        <f>CONCATENATE("          ", "6112", " - ", "COMPENSATION INSURANCE")</f>
        <v xml:space="preserve">          6112 - COMPENSATION INSURANCE</v>
      </c>
      <c r="C157" s="11"/>
      <c r="D157" s="6">
        <v>2119.34</v>
      </c>
      <c r="E157" s="2"/>
      <c r="F157" s="7">
        <f t="shared" si="13"/>
        <v>6.4381213677649632E-3</v>
      </c>
      <c r="G157" s="2"/>
      <c r="H157" s="6">
        <v>2816.3237879807698</v>
      </c>
      <c r="I157" s="2"/>
      <c r="J157" s="7">
        <f t="shared" si="14"/>
        <v>4.194703288621939E-3</v>
      </c>
      <c r="K157" s="2"/>
      <c r="L157" s="6">
        <f t="shared" si="15"/>
        <v>-696.98378798076965</v>
      </c>
      <c r="M157" s="2"/>
      <c r="N157" s="7">
        <f t="shared" si="16"/>
        <v>-0.24747999180892788</v>
      </c>
      <c r="O157" s="11"/>
      <c r="P157" s="6">
        <v>28146.639999999999</v>
      </c>
      <c r="Q157" s="2"/>
      <c r="R157" s="7">
        <f t="shared" si="17"/>
        <v>3.4701160557044659E-3</v>
      </c>
      <c r="S157" s="2"/>
      <c r="T157" s="6">
        <v>40725.866084875001</v>
      </c>
      <c r="U157" s="2"/>
      <c r="V157" s="7">
        <f t="shared" si="18"/>
        <v>3.4936287419099232E-3</v>
      </c>
      <c r="W157" s="2"/>
      <c r="X157" s="6">
        <f t="shared" si="19"/>
        <v>-12579.226084875001</v>
      </c>
      <c r="Y157" s="2"/>
      <c r="Z157" s="7">
        <f t="shared" si="20"/>
        <v>-0.30887559416561416</v>
      </c>
    </row>
    <row r="158" spans="1:26" s="24" customFormat="1" hidden="1" outlineLevel="2" x14ac:dyDescent="0.25">
      <c r="A158" s="26"/>
      <c r="B158" s="11" t="str">
        <f>CONCATENATE("          ", "6113", " - ", "GROUP INSURANCE")</f>
        <v xml:space="preserve">          6113 - GROUP INSURANCE</v>
      </c>
      <c r="C158" s="11"/>
      <c r="D158" s="6">
        <v>19337.900000000001</v>
      </c>
      <c r="E158" s="2"/>
      <c r="F158" s="7">
        <f t="shared" si="13"/>
        <v>5.8744584256278883E-2</v>
      </c>
      <c r="G158" s="2"/>
      <c r="H158" s="6">
        <v>18233.8461538462</v>
      </c>
      <c r="I158" s="2"/>
      <c r="J158" s="7">
        <f t="shared" si="14"/>
        <v>2.7157947801379506E-2</v>
      </c>
      <c r="K158" s="2"/>
      <c r="L158" s="6">
        <f t="shared" si="15"/>
        <v>1104.0538461538017</v>
      </c>
      <c r="M158" s="2"/>
      <c r="N158" s="7">
        <f t="shared" si="16"/>
        <v>6.0549696253794236E-2</v>
      </c>
      <c r="O158" s="11"/>
      <c r="P158" s="6">
        <v>213976.12</v>
      </c>
      <c r="Q158" s="2"/>
      <c r="R158" s="7">
        <f t="shared" si="17"/>
        <v>2.6380483409364153E-2</v>
      </c>
      <c r="S158" s="2"/>
      <c r="T158" s="6">
        <v>222540</v>
      </c>
      <c r="U158" s="2"/>
      <c r="V158" s="7">
        <f t="shared" si="18"/>
        <v>1.9090377073978943E-2</v>
      </c>
      <c r="W158" s="2"/>
      <c r="X158" s="6">
        <f t="shared" si="19"/>
        <v>-8563.8800000000047</v>
      </c>
      <c r="Y158" s="2"/>
      <c r="Z158" s="7">
        <f t="shared" si="20"/>
        <v>-3.8482430124921384E-2</v>
      </c>
    </row>
    <row r="159" spans="1:26" s="24" customFormat="1" hidden="1" outlineLevel="2" x14ac:dyDescent="0.25">
      <c r="A159" s="26"/>
      <c r="B159" s="11" t="str">
        <f>CONCATENATE("          ", "6114", " - ", "STATE UNEMPLOYMENT INSURANCE")</f>
        <v xml:space="preserve">          6114 - STATE UNEMPLOYMENT INSURANCE</v>
      </c>
      <c r="C159" s="11"/>
      <c r="D159" s="6">
        <v>365.33</v>
      </c>
      <c r="E159" s="2"/>
      <c r="F159" s="7">
        <f t="shared" si="13"/>
        <v>1.1097978046399227E-3</v>
      </c>
      <c r="G159" s="2"/>
      <c r="H159" s="6">
        <v>395.80766749999998</v>
      </c>
      <c r="I159" s="2"/>
      <c r="J159" s="7">
        <f t="shared" si="14"/>
        <v>5.8952586759011014E-4</v>
      </c>
      <c r="K159" s="2"/>
      <c r="L159" s="6">
        <f t="shared" si="15"/>
        <v>-30.477667499999995</v>
      </c>
      <c r="M159" s="2"/>
      <c r="N159" s="7">
        <f t="shared" si="16"/>
        <v>-7.7001205389736413E-2</v>
      </c>
      <c r="O159" s="11"/>
      <c r="P159" s="6">
        <v>4638.91</v>
      </c>
      <c r="Q159" s="2"/>
      <c r="R159" s="7">
        <f t="shared" si="17"/>
        <v>5.7191750318929732E-4</v>
      </c>
      <c r="S159" s="2"/>
      <c r="T159" s="6">
        <v>5768.8893775500001</v>
      </c>
      <c r="U159" s="2"/>
      <c r="V159" s="7">
        <f t="shared" si="18"/>
        <v>4.9487855448683907E-4</v>
      </c>
      <c r="W159" s="2"/>
      <c r="X159" s="6">
        <f t="shared" si="19"/>
        <v>-1129.9793775500002</v>
      </c>
      <c r="Y159" s="2"/>
      <c r="Z159" s="7">
        <f t="shared" si="20"/>
        <v>-0.19587468290645108</v>
      </c>
    </row>
    <row r="160" spans="1:26" s="24" customFormat="1" hidden="1" outlineLevel="2" x14ac:dyDescent="0.25">
      <c r="A160" s="26"/>
      <c r="B160" s="11" t="str">
        <f>CONCATENATE("          ", "6115", " - ", "P.E.R.S.")</f>
        <v xml:space="preserve">          6115 - P.E.R.S.</v>
      </c>
      <c r="C160" s="11"/>
      <c r="D160" s="6">
        <v>11941.22</v>
      </c>
      <c r="E160" s="2"/>
      <c r="F160" s="7">
        <f t="shared" si="13"/>
        <v>3.6274983551097192E-2</v>
      </c>
      <c r="G160" s="2"/>
      <c r="H160" s="6">
        <v>4936.0490141538503</v>
      </c>
      <c r="I160" s="2"/>
      <c r="J160" s="7">
        <f t="shared" si="14"/>
        <v>7.3518752072592349E-3</v>
      </c>
      <c r="K160" s="2"/>
      <c r="L160" s="6">
        <f t="shared" si="15"/>
        <v>7005.1709858461491</v>
      </c>
      <c r="M160" s="2"/>
      <c r="N160" s="7">
        <f t="shared" si="16"/>
        <v>1.4191858641920299</v>
      </c>
      <c r="O160" s="11"/>
      <c r="P160" s="6">
        <v>88758.7</v>
      </c>
      <c r="Q160" s="2"/>
      <c r="R160" s="7">
        <f t="shared" si="17"/>
        <v>1.0942797788775356E-2</v>
      </c>
      <c r="S160" s="2"/>
      <c r="T160" s="6">
        <v>63863.036441999997</v>
      </c>
      <c r="U160" s="2"/>
      <c r="V160" s="7">
        <f t="shared" si="18"/>
        <v>5.478428357899876E-3</v>
      </c>
      <c r="W160" s="2"/>
      <c r="X160" s="6">
        <f t="shared" si="19"/>
        <v>24895.663558</v>
      </c>
      <c r="Y160" s="2"/>
      <c r="Z160" s="7">
        <f t="shared" si="20"/>
        <v>0.38982899882328775</v>
      </c>
    </row>
    <row r="161" spans="1:26" s="24" customFormat="1" hidden="1" outlineLevel="2" x14ac:dyDescent="0.25">
      <c r="A161" s="26"/>
      <c r="B161" s="11" t="str">
        <f>CONCATENATE("          ", "6116", " - ", "EDUCATIONAL BENEFITS")</f>
        <v xml:space="preserve">          6116 - EDUCATIONAL BENEFITS</v>
      </c>
      <c r="C161" s="11"/>
      <c r="D161" s="6"/>
      <c r="E161" s="2"/>
      <c r="F161" s="7">
        <f t="shared" si="13"/>
        <v>0</v>
      </c>
      <c r="G161" s="2"/>
      <c r="H161" s="6">
        <v>0</v>
      </c>
      <c r="I161" s="2"/>
      <c r="J161" s="7">
        <f t="shared" si="14"/>
        <v>0</v>
      </c>
      <c r="K161" s="2"/>
      <c r="L161" s="6">
        <f t="shared" si="15"/>
        <v>0</v>
      </c>
      <c r="M161" s="2"/>
      <c r="N161" s="7">
        <f t="shared" si="16"/>
        <v>0</v>
      </c>
      <c r="O161" s="11"/>
      <c r="P161" s="6">
        <v>0</v>
      </c>
      <c r="Q161" s="2"/>
      <c r="R161" s="7">
        <f t="shared" si="17"/>
        <v>0</v>
      </c>
      <c r="S161" s="2"/>
      <c r="T161" s="6">
        <v>0</v>
      </c>
      <c r="U161" s="2"/>
      <c r="V161" s="7">
        <f t="shared" si="18"/>
        <v>0</v>
      </c>
      <c r="W161" s="2"/>
      <c r="X161" s="6">
        <f t="shared" si="19"/>
        <v>0</v>
      </c>
      <c r="Y161" s="2"/>
      <c r="Z161" s="7">
        <f t="shared" si="20"/>
        <v>0</v>
      </c>
    </row>
    <row r="162" spans="1:26" s="24" customFormat="1" hidden="1" outlineLevel="2" x14ac:dyDescent="0.25">
      <c r="A162" s="26"/>
      <c r="B162" s="11" t="str">
        <f>CONCATENATE("          ", "6117", " - ", "RETIREMENT STAFF HOURLY")</f>
        <v xml:space="preserve">          6117 - RETIREMENT STAFF HOURLY</v>
      </c>
      <c r="C162" s="11"/>
      <c r="D162" s="6">
        <v>700.53</v>
      </c>
      <c r="E162" s="2"/>
      <c r="F162" s="7">
        <f t="shared" si="13"/>
        <v>2.128066832957614E-3</v>
      </c>
      <c r="G162" s="2"/>
      <c r="H162" s="6"/>
      <c r="I162" s="2"/>
      <c r="J162" s="7">
        <f t="shared" si="14"/>
        <v>0</v>
      </c>
      <c r="K162" s="2"/>
      <c r="L162" s="6">
        <f t="shared" si="15"/>
        <v>700.53</v>
      </c>
      <c r="M162" s="2"/>
      <c r="N162" s="7">
        <f t="shared" si="16"/>
        <v>0</v>
      </c>
      <c r="O162" s="11"/>
      <c r="P162" s="6">
        <v>7011.58</v>
      </c>
      <c r="Q162" s="2"/>
      <c r="R162" s="7">
        <f t="shared" si="17"/>
        <v>8.6443697485228505E-4</v>
      </c>
      <c r="S162" s="2"/>
      <c r="T162" s="6"/>
      <c r="U162" s="2"/>
      <c r="V162" s="7">
        <f t="shared" si="18"/>
        <v>0</v>
      </c>
      <c r="W162" s="2"/>
      <c r="X162" s="6">
        <f t="shared" si="19"/>
        <v>7011.58</v>
      </c>
      <c r="Y162" s="2"/>
      <c r="Z162" s="7">
        <f t="shared" si="20"/>
        <v>0</v>
      </c>
    </row>
    <row r="163" spans="1:26" s="24" customFormat="1" hidden="1" outlineLevel="2" x14ac:dyDescent="0.25">
      <c r="A163" s="26"/>
      <c r="B163" s="11" t="str">
        <f>CONCATENATE("          ", "6118", " - ", "VACATION")</f>
        <v xml:space="preserve">          6118 - VACATION</v>
      </c>
      <c r="C163" s="11"/>
      <c r="D163" s="6">
        <v>5999.91</v>
      </c>
      <c r="E163" s="2"/>
      <c r="F163" s="7">
        <f t="shared" si="13"/>
        <v>1.822649918166348E-2</v>
      </c>
      <c r="G163" s="2"/>
      <c r="H163" s="6">
        <v>4173.5870123076902</v>
      </c>
      <c r="I163" s="2"/>
      <c r="J163" s="7">
        <f t="shared" si="14"/>
        <v>6.2162451776998666E-3</v>
      </c>
      <c r="K163" s="2"/>
      <c r="L163" s="6">
        <f t="shared" si="15"/>
        <v>1826.3229876923097</v>
      </c>
      <c r="M163" s="2"/>
      <c r="N163" s="7">
        <f t="shared" si="16"/>
        <v>0.43759073006183374</v>
      </c>
      <c r="O163" s="11"/>
      <c r="P163" s="6">
        <v>72282.899999999994</v>
      </c>
      <c r="Q163" s="2"/>
      <c r="R163" s="7">
        <f t="shared" si="17"/>
        <v>8.9115451024662385E-3</v>
      </c>
      <c r="S163" s="2"/>
      <c r="T163" s="6">
        <v>54041.516309999999</v>
      </c>
      <c r="U163" s="2"/>
      <c r="V163" s="7">
        <f t="shared" si="18"/>
        <v>4.6358988227171881E-3</v>
      </c>
      <c r="W163" s="2"/>
      <c r="X163" s="6">
        <f t="shared" si="19"/>
        <v>18241.383689999995</v>
      </c>
      <c r="Y163" s="2"/>
      <c r="Z163" s="7">
        <f t="shared" si="20"/>
        <v>0.33754389098487519</v>
      </c>
    </row>
    <row r="164" spans="1:26" s="24" customFormat="1" hidden="1" outlineLevel="2" x14ac:dyDescent="0.25">
      <c r="A164" s="26"/>
      <c r="B164" s="11" t="str">
        <f>CONCATENATE("          ", "6119", " - ", "SICK LEAVE")</f>
        <v xml:space="preserve">          6119 - SICK LEAVE</v>
      </c>
      <c r="C164" s="11"/>
      <c r="D164" s="6">
        <v>4535.18</v>
      </c>
      <c r="E164" s="2"/>
      <c r="F164" s="7">
        <f t="shared" si="13"/>
        <v>1.3776949080685641E-2</v>
      </c>
      <c r="G164" s="2"/>
      <c r="H164" s="6">
        <v>4212.3702303846103</v>
      </c>
      <c r="I164" s="2"/>
      <c r="J164" s="7">
        <f t="shared" si="14"/>
        <v>6.2740098754611416E-3</v>
      </c>
      <c r="K164" s="2"/>
      <c r="L164" s="6">
        <f t="shared" si="15"/>
        <v>322.80976961539</v>
      </c>
      <c r="M164" s="2"/>
      <c r="N164" s="7">
        <f t="shared" si="16"/>
        <v>7.6633760082839605E-2</v>
      </c>
      <c r="O164" s="11"/>
      <c r="P164" s="6">
        <v>52220.02</v>
      </c>
      <c r="Q164" s="2"/>
      <c r="R164" s="7">
        <f t="shared" si="17"/>
        <v>6.4380519248907978E-3</v>
      </c>
      <c r="S164" s="2"/>
      <c r="T164" s="6">
        <v>58795.2046825</v>
      </c>
      <c r="U164" s="2"/>
      <c r="V164" s="7">
        <f t="shared" si="18"/>
        <v>5.0436893481203265E-3</v>
      </c>
      <c r="W164" s="2"/>
      <c r="X164" s="6">
        <f t="shared" si="19"/>
        <v>-6575.184682500003</v>
      </c>
      <c r="Y164" s="2"/>
      <c r="Z164" s="7">
        <f t="shared" si="20"/>
        <v>-0.11183198898628995</v>
      </c>
    </row>
    <row r="165" spans="1:26" s="24" customFormat="1" hidden="1" outlineLevel="2" x14ac:dyDescent="0.25">
      <c r="A165" s="26"/>
      <c r="B165" s="11" t="str">
        <f>CONCATENATE("          ", "6156", " - ", "EMPLOYEE MEALS")</f>
        <v xml:space="preserve">          6156 - EMPLOYEE MEALS</v>
      </c>
      <c r="C165" s="11"/>
      <c r="D165" s="6">
        <v>1721.63</v>
      </c>
      <c r="E165" s="2"/>
      <c r="F165" s="7">
        <f t="shared" si="13"/>
        <v>5.2299597470840892E-3</v>
      </c>
      <c r="G165" s="2"/>
      <c r="H165" s="6">
        <v>1800</v>
      </c>
      <c r="I165" s="2"/>
      <c r="J165" s="7">
        <f t="shared" si="14"/>
        <v>2.6809651474530832E-3</v>
      </c>
      <c r="K165" s="2"/>
      <c r="L165" s="6">
        <f t="shared" si="15"/>
        <v>-78.369999999999891</v>
      </c>
      <c r="M165" s="2"/>
      <c r="N165" s="7">
        <f t="shared" si="16"/>
        <v>-4.3538888888888828E-2</v>
      </c>
      <c r="O165" s="11"/>
      <c r="P165" s="6">
        <v>20263.07</v>
      </c>
      <c r="Q165" s="2"/>
      <c r="R165" s="7">
        <f t="shared" si="17"/>
        <v>2.4981740109961082E-3</v>
      </c>
      <c r="S165" s="2"/>
      <c r="T165" s="6">
        <v>21600</v>
      </c>
      <c r="U165" s="2"/>
      <c r="V165" s="7">
        <f t="shared" si="18"/>
        <v>1.8529349546056672E-3</v>
      </c>
      <c r="W165" s="2"/>
      <c r="X165" s="6">
        <f t="shared" si="19"/>
        <v>-1336.9300000000003</v>
      </c>
      <c r="Y165" s="2"/>
      <c r="Z165" s="7">
        <f t="shared" si="20"/>
        <v>-6.1894907407407419E-2</v>
      </c>
    </row>
    <row r="166" spans="1:26" s="27" customFormat="1" outlineLevel="1" collapsed="1" x14ac:dyDescent="0.25">
      <c r="A166" s="25"/>
      <c r="B166" s="13" t="str">
        <f>CONCATENATE("     ","*Payroll                                          ")</f>
        <v xml:space="preserve">     *Payroll                                          </v>
      </c>
      <c r="C166" s="13"/>
      <c r="D166" s="1">
        <f>SUM(OSRRefD22_1x_0)</f>
        <v>134424.68000000002</v>
      </c>
      <c r="E166" s="1"/>
      <c r="F166" s="5">
        <f t="shared" ref="F166:F176" si="21">IF(D$12=0,0,D166/D$12)</f>
        <v>0.40835467865607578</v>
      </c>
      <c r="G166" s="1"/>
      <c r="H166" s="1">
        <f>SUM(OSRRefH22_1x_0)</f>
        <v>140686.7265836923</v>
      </c>
      <c r="I166" s="1"/>
      <c r="J166" s="5">
        <f t="shared" ref="J166:J176" si="22">IF(H$12=0,0,H166/H$12)</f>
        <v>0.20954233926674457</v>
      </c>
      <c r="K166" s="1"/>
      <c r="L166" s="1">
        <f t="shared" ref="L166:L176" si="23">+D166-H166</f>
        <v>-6262.0465836922813</v>
      </c>
      <c r="M166" s="1"/>
      <c r="N166" s="5">
        <f t="shared" ref="N166:N176" si="24">IF(H166=0,0,L166/H166)</f>
        <v>-4.4510571364862118E-2</v>
      </c>
      <c r="O166" s="13"/>
      <c r="P166" s="1">
        <f>SUM(OSRRefP22_1x_0)</f>
        <v>1595184.57</v>
      </c>
      <c r="Q166" s="1"/>
      <c r="R166" s="5">
        <f t="shared" ref="R166:R176" si="25">IF(P$12=0,0,P166/P$12)</f>
        <v>0.19666559092556074</v>
      </c>
      <c r="S166" s="1"/>
      <c r="T166" s="1">
        <f>SUM(OSRRefT22_1x_0)</f>
        <v>2063437.4007379999</v>
      </c>
      <c r="U166" s="1"/>
      <c r="V166" s="5">
        <f t="shared" ref="V166:V176" si="26">IF(T$12=0,0,T166/T$12)</f>
        <v>0.17700996696611582</v>
      </c>
      <c r="W166" s="1"/>
      <c r="X166" s="1">
        <f t="shared" ref="X166:X176" si="27">+P166-T166</f>
        <v>-468252.83073799987</v>
      </c>
      <c r="Y166" s="1"/>
      <c r="Z166" s="5">
        <f t="shared" ref="Z166:Z176" si="28">IF(T166=0,0,X166/T166)</f>
        <v>-0.22692853709568636</v>
      </c>
    </row>
    <row r="167" spans="1:26" s="24" customFormat="1" hidden="1" outlineLevel="2" x14ac:dyDescent="0.25">
      <c r="A167" s="26"/>
      <c r="B167" s="11" t="str">
        <f>CONCATENATE("          ", "6001", " - ", "ADMINISTRATIVE SALARIES")</f>
        <v xml:space="preserve">          6001 - ADMINISTRATIVE SALARIES</v>
      </c>
      <c r="C167" s="11"/>
      <c r="D167" s="6">
        <v>3583.28</v>
      </c>
      <c r="E167" s="2"/>
      <c r="F167" s="7">
        <f t="shared" si="21"/>
        <v>1.0885271610352675E-2</v>
      </c>
      <c r="G167" s="2"/>
      <c r="H167" s="6">
        <v>7759.6923076923104</v>
      </c>
      <c r="I167" s="2"/>
      <c r="J167" s="7">
        <f t="shared" si="22"/>
        <v>1.1557480351046038E-2</v>
      </c>
      <c r="K167" s="2"/>
      <c r="L167" s="6">
        <f t="shared" si="23"/>
        <v>-4176.4123076923097</v>
      </c>
      <c r="M167" s="2"/>
      <c r="N167" s="7">
        <f t="shared" si="24"/>
        <v>-0.5382188032832389</v>
      </c>
      <c r="O167" s="11"/>
      <c r="P167" s="6">
        <v>50981.81</v>
      </c>
      <c r="Q167" s="2"/>
      <c r="R167" s="7">
        <f t="shared" si="25"/>
        <v>6.2853966736304756E-3</v>
      </c>
      <c r="S167" s="2"/>
      <c r="T167" s="6">
        <v>100876</v>
      </c>
      <c r="U167" s="2"/>
      <c r="V167" s="7">
        <f t="shared" si="26"/>
        <v>8.6535493741111708E-3</v>
      </c>
      <c r="W167" s="2"/>
      <c r="X167" s="6">
        <f t="shared" si="27"/>
        <v>-49894.19</v>
      </c>
      <c r="Y167" s="2"/>
      <c r="Z167" s="7">
        <f t="shared" si="28"/>
        <v>-0.49460912407311952</v>
      </c>
    </row>
    <row r="168" spans="1:26" s="24" customFormat="1" hidden="1" outlineLevel="2" x14ac:dyDescent="0.25">
      <c r="A168" s="26"/>
      <c r="B168" s="11" t="str">
        <f>CONCATENATE("          ", "6002", " - ", "STAFF SALARIES")</f>
        <v xml:space="preserve">          6002 - STAFF SALARIES</v>
      </c>
      <c r="C168" s="11"/>
      <c r="D168" s="6">
        <v>59254.99</v>
      </c>
      <c r="E168" s="2"/>
      <c r="F168" s="7">
        <f t="shared" si="21"/>
        <v>0.18000453785881415</v>
      </c>
      <c r="G168" s="2"/>
      <c r="H168" s="6">
        <v>43867.483055999997</v>
      </c>
      <c r="I168" s="2"/>
      <c r="J168" s="7">
        <f t="shared" si="22"/>
        <v>6.533732954423592E-2</v>
      </c>
      <c r="K168" s="2"/>
      <c r="L168" s="6">
        <f t="shared" si="23"/>
        <v>15387.506944000001</v>
      </c>
      <c r="M168" s="2"/>
      <c r="N168" s="7">
        <f t="shared" si="24"/>
        <v>0.35077250555626227</v>
      </c>
      <c r="O168" s="11"/>
      <c r="P168" s="6">
        <v>751544.25</v>
      </c>
      <c r="Q168" s="2"/>
      <c r="R168" s="7">
        <f t="shared" si="25"/>
        <v>9.2655669326689477E-2</v>
      </c>
      <c r="S168" s="2"/>
      <c r="T168" s="6">
        <v>567079.13242799998</v>
      </c>
      <c r="U168" s="2"/>
      <c r="V168" s="7">
        <f t="shared" si="26"/>
        <v>4.8646330856634133E-2</v>
      </c>
      <c r="W168" s="2"/>
      <c r="X168" s="6">
        <f t="shared" si="27"/>
        <v>184465.11757200002</v>
      </c>
      <c r="Y168" s="2"/>
      <c r="Z168" s="7">
        <f t="shared" si="28"/>
        <v>0.32528990580590778</v>
      </c>
    </row>
    <row r="169" spans="1:26" s="24" customFormat="1" hidden="1" outlineLevel="2" x14ac:dyDescent="0.25">
      <c r="A169" s="26"/>
      <c r="B169" s="11" t="str">
        <f>CONCATENATE("          ", "6003", " - ", "STAFF HOURLY-9 MONTH")</f>
        <v xml:space="preserve">          6003 - STAFF HOURLY-9 MONTH</v>
      </c>
      <c r="C169" s="11"/>
      <c r="D169" s="6"/>
      <c r="E169" s="2"/>
      <c r="F169" s="7">
        <f t="shared" si="21"/>
        <v>0</v>
      </c>
      <c r="G169" s="2"/>
      <c r="H169" s="6">
        <v>0</v>
      </c>
      <c r="I169" s="2"/>
      <c r="J169" s="7">
        <f t="shared" si="22"/>
        <v>0</v>
      </c>
      <c r="K169" s="2"/>
      <c r="L169" s="6">
        <f t="shared" si="23"/>
        <v>0</v>
      </c>
      <c r="M169" s="2"/>
      <c r="N169" s="7">
        <f t="shared" si="24"/>
        <v>0</v>
      </c>
      <c r="O169" s="11"/>
      <c r="P169" s="6"/>
      <c r="Q169" s="2"/>
      <c r="R169" s="7">
        <f t="shared" si="25"/>
        <v>0</v>
      </c>
      <c r="S169" s="2"/>
      <c r="T169" s="6">
        <v>0</v>
      </c>
      <c r="U169" s="2"/>
      <c r="V169" s="7">
        <f t="shared" si="26"/>
        <v>0</v>
      </c>
      <c r="W169" s="2"/>
      <c r="X169" s="6">
        <f t="shared" si="27"/>
        <v>0</v>
      </c>
      <c r="Y169" s="2"/>
      <c r="Z169" s="7">
        <f t="shared" si="28"/>
        <v>0</v>
      </c>
    </row>
    <row r="170" spans="1:26" s="24" customFormat="1" hidden="1" outlineLevel="2" x14ac:dyDescent="0.25">
      <c r="A170" s="26"/>
      <c r="B170" s="11" t="str">
        <f>CONCATENATE("          ", "6004", " - ", "STAFF HOURLY")</f>
        <v xml:space="preserve">          6004 - STAFF HOURLY</v>
      </c>
      <c r="C170" s="11"/>
      <c r="D170" s="6">
        <v>20449.16</v>
      </c>
      <c r="E170" s="2"/>
      <c r="F170" s="7">
        <f t="shared" si="21"/>
        <v>6.2120364806423023E-2</v>
      </c>
      <c r="G170" s="2"/>
      <c r="H170" s="6">
        <v>28087.28008</v>
      </c>
      <c r="I170" s="2"/>
      <c r="J170" s="7">
        <f t="shared" si="22"/>
        <v>4.1833899434018468E-2</v>
      </c>
      <c r="K170" s="2"/>
      <c r="L170" s="6">
        <f t="shared" si="23"/>
        <v>-7638.1200800000006</v>
      </c>
      <c r="M170" s="2"/>
      <c r="N170" s="7">
        <f t="shared" si="24"/>
        <v>-0.27194231902286781</v>
      </c>
      <c r="O170" s="11"/>
      <c r="P170" s="6">
        <v>228528.86</v>
      </c>
      <c r="Q170" s="2"/>
      <c r="R170" s="7">
        <f t="shared" si="25"/>
        <v>2.8174647712047977E-2</v>
      </c>
      <c r="S170" s="2"/>
      <c r="T170" s="6">
        <v>372167.82604000001</v>
      </c>
      <c r="U170" s="2"/>
      <c r="V170" s="7">
        <f t="shared" si="26"/>
        <v>3.192605434486654E-2</v>
      </c>
      <c r="W170" s="2"/>
      <c r="X170" s="6">
        <f t="shared" si="27"/>
        <v>-143638.96604000003</v>
      </c>
      <c r="Y170" s="2"/>
      <c r="Z170" s="7">
        <f t="shared" si="28"/>
        <v>-0.38595213231721415</v>
      </c>
    </row>
    <row r="171" spans="1:26" s="24" customFormat="1" hidden="1" outlineLevel="2" x14ac:dyDescent="0.25">
      <c r="A171" s="26"/>
      <c r="B171" s="11" t="str">
        <f>CONCATENATE("          ", "6005", " - ", "TEMPORARY WAGES-HOURLY")</f>
        <v xml:space="preserve">          6005 - TEMPORARY WAGES-HOURLY</v>
      </c>
      <c r="C171" s="11"/>
      <c r="D171" s="6">
        <v>9126.32</v>
      </c>
      <c r="E171" s="2"/>
      <c r="F171" s="7">
        <f t="shared" si="21"/>
        <v>2.7723893193664414E-2</v>
      </c>
      <c r="G171" s="2"/>
      <c r="H171" s="6">
        <v>3942.12</v>
      </c>
      <c r="I171" s="2"/>
      <c r="J171" s="7">
        <f t="shared" si="22"/>
        <v>5.8714924039320821E-3</v>
      </c>
      <c r="K171" s="2"/>
      <c r="L171" s="6">
        <f t="shared" si="23"/>
        <v>5184.2</v>
      </c>
      <c r="M171" s="2"/>
      <c r="N171" s="7">
        <f t="shared" si="24"/>
        <v>1.3150791959656225</v>
      </c>
      <c r="O171" s="11"/>
      <c r="P171" s="6">
        <v>168966.08</v>
      </c>
      <c r="Q171" s="2"/>
      <c r="R171" s="7">
        <f t="shared" si="25"/>
        <v>2.083132860893681E-2</v>
      </c>
      <c r="S171" s="2"/>
      <c r="T171" s="6">
        <v>55119.76</v>
      </c>
      <c r="U171" s="2"/>
      <c r="V171" s="7">
        <f t="shared" si="26"/>
        <v>4.7283949071053365E-3</v>
      </c>
      <c r="W171" s="2"/>
      <c r="X171" s="6">
        <f t="shared" si="27"/>
        <v>113846.31999999998</v>
      </c>
      <c r="Y171" s="2"/>
      <c r="Z171" s="7">
        <f t="shared" si="28"/>
        <v>2.0654356985589191</v>
      </c>
    </row>
    <row r="172" spans="1:26" s="24" customFormat="1" hidden="1" outlineLevel="2" x14ac:dyDescent="0.25">
      <c r="A172" s="26"/>
      <c r="B172" s="11" t="str">
        <f>CONCATENATE("          ", "6006", " - ", "TEMPORARY PART TIME")</f>
        <v xml:space="preserve">          6006 - TEMPORARY PART TIME</v>
      </c>
      <c r="C172" s="11"/>
      <c r="D172" s="6">
        <v>4232.72</v>
      </c>
      <c r="E172" s="2"/>
      <c r="F172" s="7">
        <f t="shared" si="21"/>
        <v>1.2858137474763897E-2</v>
      </c>
      <c r="G172" s="2"/>
      <c r="H172" s="6">
        <v>0</v>
      </c>
      <c r="I172" s="2"/>
      <c r="J172" s="7">
        <f t="shared" si="22"/>
        <v>0</v>
      </c>
      <c r="K172" s="2"/>
      <c r="L172" s="6">
        <f t="shared" si="23"/>
        <v>4232.72</v>
      </c>
      <c r="M172" s="2"/>
      <c r="N172" s="7">
        <f t="shared" si="24"/>
        <v>0</v>
      </c>
      <c r="O172" s="11"/>
      <c r="P172" s="6">
        <v>23949.45</v>
      </c>
      <c r="Q172" s="2"/>
      <c r="R172" s="7">
        <f t="shared" si="25"/>
        <v>2.9526569057724589E-3</v>
      </c>
      <c r="S172" s="2"/>
      <c r="T172" s="6">
        <v>0</v>
      </c>
      <c r="U172" s="2"/>
      <c r="V172" s="7">
        <f t="shared" si="26"/>
        <v>0</v>
      </c>
      <c r="W172" s="2"/>
      <c r="X172" s="6">
        <f t="shared" si="27"/>
        <v>23949.45</v>
      </c>
      <c r="Y172" s="2"/>
      <c r="Z172" s="7">
        <f t="shared" si="28"/>
        <v>0</v>
      </c>
    </row>
    <row r="173" spans="1:26" s="24" customFormat="1" hidden="1" outlineLevel="2" x14ac:dyDescent="0.25">
      <c r="A173" s="26"/>
      <c r="B173" s="11" t="str">
        <f>CONCATENATE("          ", "6007", " - ", "STUDENT HOURLY")</f>
        <v xml:space="preserve">          6007 - STUDENT HOURLY</v>
      </c>
      <c r="C173" s="11"/>
      <c r="D173" s="6">
        <v>30960.29</v>
      </c>
      <c r="E173" s="2"/>
      <c r="F173" s="7">
        <f t="shared" si="21"/>
        <v>9.4051027490256359E-2</v>
      </c>
      <c r="G173" s="2"/>
      <c r="H173" s="6">
        <v>52693.951139999997</v>
      </c>
      <c r="I173" s="2"/>
      <c r="J173" s="7">
        <f t="shared" si="22"/>
        <v>7.8483692493297577E-2</v>
      </c>
      <c r="K173" s="2"/>
      <c r="L173" s="6">
        <f t="shared" si="23"/>
        <v>-21733.661139999997</v>
      </c>
      <c r="M173" s="2"/>
      <c r="N173" s="7">
        <f t="shared" si="24"/>
        <v>-0.41245077793192786</v>
      </c>
      <c r="O173" s="11"/>
      <c r="P173" s="6">
        <v>351854.79</v>
      </c>
      <c r="Q173" s="2"/>
      <c r="R173" s="7">
        <f t="shared" si="25"/>
        <v>4.3379137121003546E-2</v>
      </c>
      <c r="S173" s="2"/>
      <c r="T173" s="6">
        <v>210862.66863999999</v>
      </c>
      <c r="U173" s="2"/>
      <c r="V173" s="7">
        <f t="shared" si="26"/>
        <v>1.8088648580763343E-2</v>
      </c>
      <c r="W173" s="2"/>
      <c r="X173" s="6">
        <f t="shared" si="27"/>
        <v>140992.12135999999</v>
      </c>
      <c r="Y173" s="2"/>
      <c r="Z173" s="7">
        <f t="shared" si="28"/>
        <v>0.66864429948343274</v>
      </c>
    </row>
    <row r="174" spans="1:26" s="24" customFormat="1" hidden="1" outlineLevel="2" x14ac:dyDescent="0.25">
      <c r="A174" s="26"/>
      <c r="B174" s="11" t="str">
        <f>CONCATENATE("          ", "6008", " - ", "STUDENT HOURLY-FICA EXEMPT")</f>
        <v xml:space="preserve">          6008 - STUDENT HOURLY-FICA EXEMPT</v>
      </c>
      <c r="C174" s="11"/>
      <c r="D174" s="6">
        <v>6817.92</v>
      </c>
      <c r="E174" s="2"/>
      <c r="F174" s="7">
        <f t="shared" si="21"/>
        <v>2.0711446221801173E-2</v>
      </c>
      <c r="G174" s="2"/>
      <c r="H174" s="6">
        <v>4336.2</v>
      </c>
      <c r="I174" s="2"/>
      <c r="J174" s="7">
        <f t="shared" si="22"/>
        <v>6.4584450402144769E-3</v>
      </c>
      <c r="K174" s="2"/>
      <c r="L174" s="6">
        <f t="shared" si="23"/>
        <v>2481.7200000000003</v>
      </c>
      <c r="M174" s="2"/>
      <c r="N174" s="7">
        <f t="shared" si="24"/>
        <v>0.57232599972326004</v>
      </c>
      <c r="O174" s="11"/>
      <c r="P174" s="6">
        <v>19359.330000000002</v>
      </c>
      <c r="Q174" s="2"/>
      <c r="R174" s="7">
        <f t="shared" si="25"/>
        <v>2.3867545774799814E-3</v>
      </c>
      <c r="S174" s="2"/>
      <c r="T174" s="6">
        <v>757332.01362999994</v>
      </c>
      <c r="U174" s="2"/>
      <c r="V174" s="7">
        <f t="shared" si="26"/>
        <v>6.4966988902635303E-2</v>
      </c>
      <c r="W174" s="2"/>
      <c r="X174" s="6">
        <f t="shared" si="27"/>
        <v>-737972.68362999998</v>
      </c>
      <c r="Y174" s="2"/>
      <c r="Z174" s="7">
        <f t="shared" si="28"/>
        <v>-0.97443745985699459</v>
      </c>
    </row>
    <row r="175" spans="1:26" s="24" customFormat="1" hidden="1" outlineLevel="2" x14ac:dyDescent="0.25">
      <c r="A175" s="26"/>
      <c r="B175" s="11" t="str">
        <f>CONCATENATE("          ", "6009", " - ", "TEMPORARY-SEASONAL")</f>
        <v xml:space="preserve">          6009 - TEMPORARY-SEASONAL</v>
      </c>
      <c r="C175" s="11"/>
      <c r="D175" s="6"/>
      <c r="E175" s="2"/>
      <c r="F175" s="7">
        <f t="shared" si="21"/>
        <v>0</v>
      </c>
      <c r="G175" s="2"/>
      <c r="H175" s="6">
        <v>0</v>
      </c>
      <c r="I175" s="2"/>
      <c r="J175" s="7">
        <f t="shared" si="22"/>
        <v>0</v>
      </c>
      <c r="K175" s="2"/>
      <c r="L175" s="6">
        <f t="shared" si="23"/>
        <v>0</v>
      </c>
      <c r="M175" s="2"/>
      <c r="N175" s="7">
        <f t="shared" si="24"/>
        <v>0</v>
      </c>
      <c r="O175" s="11"/>
      <c r="P175" s="6"/>
      <c r="Q175" s="2"/>
      <c r="R175" s="7">
        <f t="shared" si="25"/>
        <v>0</v>
      </c>
      <c r="S175" s="2"/>
      <c r="T175" s="6">
        <v>0</v>
      </c>
      <c r="U175" s="2"/>
      <c r="V175" s="7">
        <f t="shared" si="26"/>
        <v>0</v>
      </c>
      <c r="W175" s="2"/>
      <c r="X175" s="6">
        <f t="shared" si="27"/>
        <v>0</v>
      </c>
      <c r="Y175" s="2"/>
      <c r="Z175" s="7">
        <f t="shared" si="28"/>
        <v>0</v>
      </c>
    </row>
    <row r="176" spans="1:26" s="24" customFormat="1" hidden="1" outlineLevel="2" x14ac:dyDescent="0.25">
      <c r="A176" s="26"/>
      <c r="B176" s="11" t="str">
        <f>CONCATENATE("          ", "6010", " - ", "GRATUITY")</f>
        <v xml:space="preserve">          6010 - GRATUITY</v>
      </c>
      <c r="C176" s="11"/>
      <c r="D176" s="6"/>
      <c r="E176" s="2"/>
      <c r="F176" s="7">
        <f t="shared" si="21"/>
        <v>0</v>
      </c>
      <c r="G176" s="2"/>
      <c r="H176" s="6">
        <v>0</v>
      </c>
      <c r="I176" s="2"/>
      <c r="J176" s="7">
        <f t="shared" si="22"/>
        <v>0</v>
      </c>
      <c r="K176" s="2"/>
      <c r="L176" s="6">
        <f t="shared" si="23"/>
        <v>0</v>
      </c>
      <c r="M176" s="2"/>
      <c r="N176" s="7">
        <f t="shared" si="24"/>
        <v>0</v>
      </c>
      <c r="O176" s="11"/>
      <c r="P176" s="6"/>
      <c r="Q176" s="2"/>
      <c r="R176" s="7">
        <f t="shared" si="25"/>
        <v>0</v>
      </c>
      <c r="S176" s="2"/>
      <c r="T176" s="6">
        <v>0</v>
      </c>
      <c r="U176" s="2"/>
      <c r="V176" s="7">
        <f t="shared" si="26"/>
        <v>0</v>
      </c>
      <c r="W176" s="2"/>
      <c r="X176" s="6">
        <f t="shared" si="27"/>
        <v>0</v>
      </c>
      <c r="Y176" s="2"/>
      <c r="Z176" s="7">
        <f t="shared" si="28"/>
        <v>0</v>
      </c>
    </row>
    <row r="177" spans="1:26" s="27" customFormat="1" outlineLevel="1" collapsed="1" x14ac:dyDescent="0.25">
      <c r="A177" s="25"/>
      <c r="B177" s="13" t="str">
        <f>CONCATENATE("     ","Advertising/Promo                                 ")</f>
        <v xml:space="preserve">     Advertising/Promo                                 </v>
      </c>
      <c r="C177" s="13"/>
      <c r="D177" s="1">
        <f>SUM(OSRRefD22_2x_0)</f>
        <v>1324.8</v>
      </c>
      <c r="E177" s="1"/>
      <c r="F177" s="5">
        <f t="shared" ref="F177:F181" si="29">IF(D$12=0,0,D177/D$12)</f>
        <v>4.0244713863820921E-3</v>
      </c>
      <c r="G177" s="1"/>
      <c r="H177" s="1">
        <f>SUM(OSRRefH22_2x_0)</f>
        <v>1080</v>
      </c>
      <c r="I177" s="1"/>
      <c r="J177" s="5">
        <f t="shared" ref="J177:J181" si="30">IF(H$12=0,0,H177/H$12)</f>
        <v>1.6085790884718498E-3</v>
      </c>
      <c r="K177" s="1"/>
      <c r="L177" s="1">
        <f t="shared" ref="L177:L181" si="31">+D177-H177</f>
        <v>244.79999999999995</v>
      </c>
      <c r="M177" s="1"/>
      <c r="N177" s="5">
        <f t="shared" ref="N177:N181" si="32">IF(H177=0,0,L177/H177)</f>
        <v>0.22666666666666663</v>
      </c>
      <c r="O177" s="13"/>
      <c r="P177" s="1">
        <f>SUM(OSRRefP22_2x_0)</f>
        <v>19560.95</v>
      </c>
      <c r="Q177" s="1"/>
      <c r="R177" s="5">
        <f t="shared" ref="R177:R181" si="33">IF(P$12=0,0,P177/P$12)</f>
        <v>2.4116117113741563E-3</v>
      </c>
      <c r="S177" s="1"/>
      <c r="T177" s="1">
        <f>SUM(OSRRefT22_2x_0)</f>
        <v>17660</v>
      </c>
      <c r="U177" s="1"/>
      <c r="V177" s="5">
        <f t="shared" ref="V177:V181" si="34">IF(T$12=0,0,T177/T$12)</f>
        <v>1.5149458934414853E-3</v>
      </c>
      <c r="W177" s="1"/>
      <c r="X177" s="1">
        <f t="shared" ref="X177:X181" si="35">+P177-T177</f>
        <v>1900.9500000000007</v>
      </c>
      <c r="Y177" s="1"/>
      <c r="Z177" s="5">
        <f t="shared" ref="Z177:Z181" si="36">IF(T177=0,0,X177/T177)</f>
        <v>0.10764156285390718</v>
      </c>
    </row>
    <row r="178" spans="1:26" s="24" customFormat="1" hidden="1" outlineLevel="2" x14ac:dyDescent="0.25">
      <c r="A178" s="26"/>
      <c r="B178" s="11" t="str">
        <f>CONCATENATE("          ", "6362", " - ", "ADVERTISING EXPENSE")</f>
        <v xml:space="preserve">          6362 - ADVERTISING EXPENSE</v>
      </c>
      <c r="C178" s="11"/>
      <c r="D178" s="6">
        <v>1324.8</v>
      </c>
      <c r="E178" s="2"/>
      <c r="F178" s="7">
        <f t="shared" si="29"/>
        <v>4.0244713863820921E-3</v>
      </c>
      <c r="G178" s="2"/>
      <c r="H178" s="6">
        <v>1080</v>
      </c>
      <c r="I178" s="2"/>
      <c r="J178" s="7">
        <f t="shared" si="30"/>
        <v>1.6085790884718498E-3</v>
      </c>
      <c r="K178" s="2"/>
      <c r="L178" s="6">
        <f t="shared" si="31"/>
        <v>244.79999999999995</v>
      </c>
      <c r="M178" s="2"/>
      <c r="N178" s="7">
        <f t="shared" si="32"/>
        <v>0.22666666666666663</v>
      </c>
      <c r="O178" s="11"/>
      <c r="P178" s="6">
        <v>19560.95</v>
      </c>
      <c r="Q178" s="2"/>
      <c r="R178" s="7">
        <f t="shared" si="33"/>
        <v>2.4116117113741563E-3</v>
      </c>
      <c r="S178" s="2"/>
      <c r="T178" s="6">
        <v>17660</v>
      </c>
      <c r="U178" s="2"/>
      <c r="V178" s="7">
        <f t="shared" si="34"/>
        <v>1.5149458934414853E-3</v>
      </c>
      <c r="W178" s="2"/>
      <c r="X178" s="6">
        <f t="shared" si="35"/>
        <v>1900.9500000000007</v>
      </c>
      <c r="Y178" s="2"/>
      <c r="Z178" s="7">
        <f t="shared" si="36"/>
        <v>0.10764156285390718</v>
      </c>
    </row>
    <row r="179" spans="1:26" s="27" customFormat="1" outlineLevel="1" collapsed="1" x14ac:dyDescent="0.25">
      <c r="A179" s="25"/>
      <c r="B179" s="13" t="str">
        <f>CONCATENATE("     ","Bad Debts/Over/Short                              ")</f>
        <v xml:space="preserve">     Bad Debts/Over/Short                              </v>
      </c>
      <c r="C179" s="13"/>
      <c r="D179" s="1">
        <f>SUM(OSRRefD22_3x_0)</f>
        <v>10.39</v>
      </c>
      <c r="E179" s="1"/>
      <c r="F179" s="5">
        <f t="shared" si="29"/>
        <v>3.1562694523331777E-5</v>
      </c>
      <c r="G179" s="1"/>
      <c r="H179" s="1">
        <f>SUM(OSRRefH22_3x_0)</f>
        <v>110</v>
      </c>
      <c r="I179" s="1"/>
      <c r="J179" s="5">
        <f t="shared" si="30"/>
        <v>1.6383675901102175E-4</v>
      </c>
      <c r="K179" s="1"/>
      <c r="L179" s="1">
        <f t="shared" si="31"/>
        <v>-99.61</v>
      </c>
      <c r="M179" s="1"/>
      <c r="N179" s="5">
        <f t="shared" si="32"/>
        <v>-0.90554545454545454</v>
      </c>
      <c r="O179" s="13"/>
      <c r="P179" s="1">
        <f>SUM(OSRRefP22_3x_0)</f>
        <v>5214.6499999999996</v>
      </c>
      <c r="Q179" s="1"/>
      <c r="R179" s="5">
        <f t="shared" si="33"/>
        <v>6.4289878613856899E-4</v>
      </c>
      <c r="S179" s="1"/>
      <c r="T179" s="1">
        <f>SUM(OSRRefT22_3x_0)</f>
        <v>1320</v>
      </c>
      <c r="U179" s="1"/>
      <c r="V179" s="5">
        <f t="shared" si="34"/>
        <v>1.1323491389256855E-4</v>
      </c>
      <c r="W179" s="1"/>
      <c r="X179" s="1">
        <f t="shared" si="35"/>
        <v>3894.6499999999996</v>
      </c>
      <c r="Y179" s="1"/>
      <c r="Z179" s="5">
        <f t="shared" si="36"/>
        <v>2.950492424242424</v>
      </c>
    </row>
    <row r="180" spans="1:26" s="24" customFormat="1" hidden="1" outlineLevel="2" x14ac:dyDescent="0.25">
      <c r="A180" s="26"/>
      <c r="B180" s="11" t="str">
        <f>CONCATENATE("          ", "6272", " - ", "CASH (OVER/SHORT)")</f>
        <v xml:space="preserve">          6272 - CASH (OVER/SHORT)</v>
      </c>
      <c r="C180" s="11"/>
      <c r="D180" s="6">
        <v>10.39</v>
      </c>
      <c r="E180" s="2"/>
      <c r="F180" s="7">
        <f t="shared" si="29"/>
        <v>3.1562694523331777E-5</v>
      </c>
      <c r="G180" s="2"/>
      <c r="H180" s="6">
        <v>60</v>
      </c>
      <c r="I180" s="2"/>
      <c r="J180" s="7">
        <f t="shared" si="30"/>
        <v>8.9365504915102766E-5</v>
      </c>
      <c r="K180" s="2"/>
      <c r="L180" s="6">
        <f t="shared" si="31"/>
        <v>-49.61</v>
      </c>
      <c r="M180" s="2"/>
      <c r="N180" s="7">
        <f t="shared" si="32"/>
        <v>-0.82683333333333331</v>
      </c>
      <c r="O180" s="11"/>
      <c r="P180" s="6">
        <v>-134.77000000000001</v>
      </c>
      <c r="Q180" s="2"/>
      <c r="R180" s="7">
        <f t="shared" si="33"/>
        <v>-1.6615394975289802E-5</v>
      </c>
      <c r="S180" s="2"/>
      <c r="T180" s="6">
        <v>720</v>
      </c>
      <c r="U180" s="2"/>
      <c r="V180" s="7">
        <f t="shared" si="34"/>
        <v>6.1764498486855567E-5</v>
      </c>
      <c r="W180" s="2"/>
      <c r="X180" s="6">
        <f t="shared" si="35"/>
        <v>-854.77</v>
      </c>
      <c r="Y180" s="2"/>
      <c r="Z180" s="7">
        <f t="shared" si="36"/>
        <v>-1.1871805555555555</v>
      </c>
    </row>
    <row r="181" spans="1:26" s="24" customFormat="1" hidden="1" outlineLevel="2" x14ac:dyDescent="0.25">
      <c r="A181" s="26"/>
      <c r="B181" s="11" t="str">
        <f>CONCATENATE("          ", "6342", " - ", "BAD DEBT")</f>
        <v xml:space="preserve">          6342 - BAD DEBT</v>
      </c>
      <c r="C181" s="11"/>
      <c r="D181" s="6"/>
      <c r="E181" s="2"/>
      <c r="F181" s="7">
        <f t="shared" si="29"/>
        <v>0</v>
      </c>
      <c r="G181" s="2"/>
      <c r="H181" s="6">
        <v>50</v>
      </c>
      <c r="I181" s="2"/>
      <c r="J181" s="7">
        <f t="shared" si="30"/>
        <v>7.4471254095918974E-5</v>
      </c>
      <c r="K181" s="2"/>
      <c r="L181" s="6">
        <f t="shared" si="31"/>
        <v>-50</v>
      </c>
      <c r="M181" s="2"/>
      <c r="N181" s="7">
        <f t="shared" si="32"/>
        <v>-1</v>
      </c>
      <c r="O181" s="11"/>
      <c r="P181" s="6">
        <v>5349.42</v>
      </c>
      <c r="Q181" s="2"/>
      <c r="R181" s="7">
        <f t="shared" si="33"/>
        <v>6.5951418111385887E-4</v>
      </c>
      <c r="S181" s="2"/>
      <c r="T181" s="6">
        <v>600</v>
      </c>
      <c r="U181" s="2"/>
      <c r="V181" s="7">
        <f t="shared" si="34"/>
        <v>5.1470415405712975E-5</v>
      </c>
      <c r="W181" s="2"/>
      <c r="X181" s="6">
        <f t="shared" si="35"/>
        <v>4749.42</v>
      </c>
      <c r="Y181" s="2"/>
      <c r="Z181" s="7">
        <f t="shared" si="36"/>
        <v>7.9157000000000002</v>
      </c>
    </row>
    <row r="182" spans="1:26" s="27" customFormat="1" outlineLevel="1" collapsed="1" x14ac:dyDescent="0.25">
      <c r="A182" s="25"/>
      <c r="B182" s="13" t="str">
        <f>CONCATENATE("     ","Bank/card Fees                                    ")</f>
        <v xml:space="preserve">     Bank/card Fees                                    </v>
      </c>
      <c r="C182" s="13"/>
      <c r="D182" s="1">
        <f>SUM(OSRRefD22_4x_0)</f>
        <v>10272.450000000001</v>
      </c>
      <c r="E182" s="1"/>
      <c r="F182" s="5">
        <f t="shared" ref="F182:F186" si="37">IF(D$12=0,0,D182/D$12)</f>
        <v>3.120560167047156E-2</v>
      </c>
      <c r="G182" s="1"/>
      <c r="H182" s="1">
        <f>SUM(OSRRefH22_4x_0)</f>
        <v>956</v>
      </c>
      <c r="I182" s="1"/>
      <c r="J182" s="5">
        <f t="shared" ref="J182:J186" si="38">IF(H$12=0,0,H182/H$12)</f>
        <v>1.4238903783139708E-3</v>
      </c>
      <c r="K182" s="1"/>
      <c r="L182" s="1">
        <f t="shared" ref="L182:L186" si="39">+D182-H182</f>
        <v>9316.4500000000007</v>
      </c>
      <c r="M182" s="1"/>
      <c r="N182" s="5">
        <f t="shared" ref="N182:N186" si="40">IF(H182=0,0,L182/H182)</f>
        <v>9.7452405857740594</v>
      </c>
      <c r="O182" s="13"/>
      <c r="P182" s="1">
        <f>SUM(OSRRefP22_4x_0)</f>
        <v>88875.99</v>
      </c>
      <c r="Q182" s="1"/>
      <c r="R182" s="5">
        <f t="shared" ref="R182:R186" si="41">IF(P$12=0,0,P182/P$12)</f>
        <v>1.095725812621434E-2</v>
      </c>
      <c r="S182" s="1"/>
      <c r="T182" s="1">
        <f>SUM(OSRRefT22_4x_0)</f>
        <v>198503</v>
      </c>
      <c r="U182" s="1"/>
      <c r="V182" s="5">
        <f t="shared" ref="V182:V186" si="42">IF(T$12=0,0,T182/T$12)</f>
        <v>1.7028386448800406E-2</v>
      </c>
      <c r="W182" s="1"/>
      <c r="X182" s="1">
        <f t="shared" ref="X182:X186" si="43">+P182-T182</f>
        <v>-109627.01</v>
      </c>
      <c r="Y182" s="1"/>
      <c r="Z182" s="5">
        <f t="shared" ref="Z182:Z186" si="44">IF(T182=0,0,X182/T182)</f>
        <v>-0.55226878183201256</v>
      </c>
    </row>
    <row r="183" spans="1:26" s="24" customFormat="1" hidden="1" outlineLevel="2" x14ac:dyDescent="0.25">
      <c r="A183" s="26"/>
      <c r="B183" s="11" t="str">
        <f>CONCATENATE("          ", "6381", " - ", "BANK/CREDIT CARD FEES")</f>
        <v xml:space="preserve">          6381 - BANK/CREDIT CARD FEES</v>
      </c>
      <c r="C183" s="11"/>
      <c r="D183" s="6">
        <v>10272.450000000001</v>
      </c>
      <c r="E183" s="2"/>
      <c r="F183" s="7">
        <f t="shared" si="37"/>
        <v>3.120560167047156E-2</v>
      </c>
      <c r="G183" s="2"/>
      <c r="H183" s="6">
        <v>956</v>
      </c>
      <c r="I183" s="2"/>
      <c r="J183" s="7">
        <f t="shared" si="38"/>
        <v>1.4238903783139708E-3</v>
      </c>
      <c r="K183" s="2"/>
      <c r="L183" s="6">
        <f t="shared" si="39"/>
        <v>9316.4500000000007</v>
      </c>
      <c r="M183" s="2"/>
      <c r="N183" s="7">
        <f t="shared" si="40"/>
        <v>9.7452405857740594</v>
      </c>
      <c r="O183" s="11"/>
      <c r="P183" s="6">
        <v>88875.99</v>
      </c>
      <c r="Q183" s="2"/>
      <c r="R183" s="7">
        <f t="shared" si="41"/>
        <v>1.095725812621434E-2</v>
      </c>
      <c r="S183" s="2"/>
      <c r="T183" s="6">
        <v>198503</v>
      </c>
      <c r="U183" s="2"/>
      <c r="V183" s="7">
        <f t="shared" si="42"/>
        <v>1.7028386448800406E-2</v>
      </c>
      <c r="W183" s="2"/>
      <c r="X183" s="6">
        <f t="shared" si="43"/>
        <v>-109627.01</v>
      </c>
      <c r="Y183" s="2"/>
      <c r="Z183" s="7">
        <f t="shared" si="44"/>
        <v>-0.55226878183201256</v>
      </c>
    </row>
    <row r="184" spans="1:26" s="27" customFormat="1" outlineLevel="1" collapsed="1" x14ac:dyDescent="0.25">
      <c r="A184" s="25"/>
      <c r="B184" s="13" t="str">
        <f>CONCATENATE("     ","Depreciation                                      ")</f>
        <v xml:space="preserve">     Depreciation                                      </v>
      </c>
      <c r="C184" s="13"/>
      <c r="D184" s="1">
        <f>SUM(OSRRefD22_5x_0)</f>
        <v>30998.91</v>
      </c>
      <c r="E184" s="1"/>
      <c r="F184" s="5">
        <f t="shared" si="37"/>
        <v>9.4168347149783893E-2</v>
      </c>
      <c r="G184" s="1"/>
      <c r="H184" s="1">
        <f>SUM(OSRRefH22_5x_0)</f>
        <v>30177</v>
      </c>
      <c r="I184" s="1"/>
      <c r="J184" s="5">
        <f t="shared" si="38"/>
        <v>4.4946380697050939E-2</v>
      </c>
      <c r="K184" s="1"/>
      <c r="L184" s="1">
        <f t="shared" si="39"/>
        <v>821.90999999999985</v>
      </c>
      <c r="M184" s="1"/>
      <c r="N184" s="5">
        <f t="shared" si="40"/>
        <v>2.7236305795804747E-2</v>
      </c>
      <c r="O184" s="13"/>
      <c r="P184" s="1">
        <f>SUM(OSRRefP22_5x_0)</f>
        <v>372473.58999999997</v>
      </c>
      <c r="Q184" s="1"/>
      <c r="R184" s="5">
        <f t="shared" si="41"/>
        <v>4.5921168032308023E-2</v>
      </c>
      <c r="S184" s="1"/>
      <c r="T184" s="1">
        <f>SUM(OSRRefT22_5x_0)</f>
        <v>367719</v>
      </c>
      <c r="U184" s="1"/>
      <c r="V184" s="5">
        <f t="shared" si="42"/>
        <v>3.154441613762228E-2</v>
      </c>
      <c r="W184" s="1"/>
      <c r="X184" s="1">
        <f t="shared" si="43"/>
        <v>4754.5899999999674</v>
      </c>
      <c r="Y184" s="1"/>
      <c r="Z184" s="5">
        <f t="shared" si="44"/>
        <v>1.2929954666470777E-2</v>
      </c>
    </row>
    <row r="185" spans="1:26" s="24" customFormat="1" hidden="1" outlineLevel="2" x14ac:dyDescent="0.25">
      <c r="A185" s="26"/>
      <c r="B185" s="11" t="str">
        <f>CONCATENATE("          ", "6321", " - ", "BUILDING DEPRECIATION")</f>
        <v xml:space="preserve">          6321 - BUILDING DEPRECIATION</v>
      </c>
      <c r="C185" s="11"/>
      <c r="D185" s="6">
        <v>16396.25</v>
      </c>
      <c r="E185" s="2"/>
      <c r="F185" s="7">
        <f t="shared" si="37"/>
        <v>4.9808453328024895E-2</v>
      </c>
      <c r="G185" s="2"/>
      <c r="H185" s="6"/>
      <c r="I185" s="2"/>
      <c r="J185" s="7">
        <f t="shared" si="38"/>
        <v>0</v>
      </c>
      <c r="K185" s="2"/>
      <c r="L185" s="6">
        <f t="shared" si="39"/>
        <v>16396.25</v>
      </c>
      <c r="M185" s="2"/>
      <c r="N185" s="7">
        <f t="shared" si="40"/>
        <v>0</v>
      </c>
      <c r="O185" s="11"/>
      <c r="P185" s="6">
        <v>196757.97</v>
      </c>
      <c r="Q185" s="2"/>
      <c r="R185" s="7">
        <f t="shared" si="41"/>
        <v>2.4257708585636428E-2</v>
      </c>
      <c r="S185" s="2"/>
      <c r="T185" s="6"/>
      <c r="U185" s="2"/>
      <c r="V185" s="7">
        <f t="shared" si="42"/>
        <v>0</v>
      </c>
      <c r="W185" s="2"/>
      <c r="X185" s="6">
        <f t="shared" si="43"/>
        <v>196757.97</v>
      </c>
      <c r="Y185" s="2"/>
      <c r="Z185" s="7">
        <f t="shared" si="44"/>
        <v>0</v>
      </c>
    </row>
    <row r="186" spans="1:26" s="24" customFormat="1" hidden="1" outlineLevel="2" x14ac:dyDescent="0.25">
      <c r="A186" s="26"/>
      <c r="B186" s="11" t="str">
        <f>CONCATENATE("          ", "6322", " - ", "EQUIPMENT DEPRECIATION EXPENSE")</f>
        <v xml:space="preserve">          6322 - EQUIPMENT DEPRECIATION EXPENSE</v>
      </c>
      <c r="C186" s="11"/>
      <c r="D186" s="6">
        <v>14602.66</v>
      </c>
      <c r="E186" s="2"/>
      <c r="F186" s="7">
        <f t="shared" si="37"/>
        <v>4.4359893821758999E-2</v>
      </c>
      <c r="G186" s="2"/>
      <c r="H186" s="6">
        <v>30177</v>
      </c>
      <c r="I186" s="2"/>
      <c r="J186" s="7">
        <f t="shared" si="38"/>
        <v>4.4946380697050939E-2</v>
      </c>
      <c r="K186" s="2"/>
      <c r="L186" s="6">
        <f t="shared" si="39"/>
        <v>-15574.34</v>
      </c>
      <c r="M186" s="2"/>
      <c r="N186" s="7">
        <f t="shared" si="40"/>
        <v>-0.51609967856314409</v>
      </c>
      <c r="O186" s="11"/>
      <c r="P186" s="6">
        <v>175715.62</v>
      </c>
      <c r="Q186" s="2"/>
      <c r="R186" s="7">
        <f t="shared" si="41"/>
        <v>2.1663459446671602E-2</v>
      </c>
      <c r="S186" s="2"/>
      <c r="T186" s="6">
        <v>367719</v>
      </c>
      <c r="U186" s="2"/>
      <c r="V186" s="7">
        <f t="shared" si="42"/>
        <v>3.154441613762228E-2</v>
      </c>
      <c r="W186" s="2"/>
      <c r="X186" s="6">
        <f t="shared" si="43"/>
        <v>-192003.38</v>
      </c>
      <c r="Y186" s="2"/>
      <c r="Z186" s="7">
        <f t="shared" si="44"/>
        <v>-0.52214701987115164</v>
      </c>
    </row>
    <row r="187" spans="1:26" s="27" customFormat="1" outlineLevel="1" collapsed="1" x14ac:dyDescent="0.25">
      <c r="A187" s="25"/>
      <c r="B187" s="13" t="str">
        <f>CONCATENATE("     ","Discounts and Markdowns                           ")</f>
        <v xml:space="preserve">     Discounts and Markdowns                           </v>
      </c>
      <c r="C187" s="13"/>
      <c r="D187" s="1">
        <f>SUM(OSRRefD22_6x_0)</f>
        <v>0</v>
      </c>
      <c r="E187" s="1"/>
      <c r="F187" s="5">
        <f t="shared" ref="F187:F189" si="45">IF(D$12=0,0,D187/D$12)</f>
        <v>0</v>
      </c>
      <c r="G187" s="1"/>
      <c r="H187" s="1">
        <f>SUM(OSRRefH22_6x_0)</f>
        <v>32601</v>
      </c>
      <c r="I187" s="1"/>
      <c r="J187" s="5">
        <f t="shared" ref="J187:J189" si="46">IF(H$12=0,0,H187/H$12)</f>
        <v>4.8556747095621092E-2</v>
      </c>
      <c r="K187" s="1"/>
      <c r="L187" s="1">
        <f t="shared" ref="L187:L189" si="47">+D187-H187</f>
        <v>-32601</v>
      </c>
      <c r="M187" s="1"/>
      <c r="N187" s="5">
        <f t="shared" ref="N187:N189" si="48">IF(H187=0,0,L187/H187)</f>
        <v>-1</v>
      </c>
      <c r="O187" s="13"/>
      <c r="P187" s="1">
        <f>SUM(OSRRefP22_6x_0)</f>
        <v>-15.43</v>
      </c>
      <c r="Q187" s="1"/>
      <c r="R187" s="5">
        <f t="shared" ref="R187:R189" si="49">IF(P$12=0,0,P187/P$12)</f>
        <v>-1.902319095263943E-6</v>
      </c>
      <c r="S187" s="1"/>
      <c r="T187" s="1">
        <f>SUM(OSRRefT22_6x_0)</f>
        <v>386785</v>
      </c>
      <c r="U187" s="1"/>
      <c r="V187" s="5">
        <f t="shared" ref="V187:V189" si="50">IF(T$12=0,0,T187/T$12)</f>
        <v>3.3179974371164489E-2</v>
      </c>
      <c r="W187" s="1"/>
      <c r="X187" s="1">
        <f t="shared" ref="X187:X189" si="51">+P187-T187</f>
        <v>-386800.43</v>
      </c>
      <c r="Y187" s="1"/>
      <c r="Z187" s="5">
        <f t="shared" ref="Z187:Z189" si="52">IF(T187=0,0,X187/T187)</f>
        <v>-1.0000398929637913</v>
      </c>
    </row>
    <row r="188" spans="1:26" s="24" customFormat="1" hidden="1" outlineLevel="2" x14ac:dyDescent="0.25">
      <c r="A188" s="26"/>
      <c r="B188" s="11" t="str">
        <f>CONCATENATE("          ", "6382", " - ", "DISCOUNTS/MARK DOWNS")</f>
        <v xml:space="preserve">          6382 - DISCOUNTS/MARK DOWNS</v>
      </c>
      <c r="C188" s="11"/>
      <c r="D188" s="6">
        <v>0</v>
      </c>
      <c r="E188" s="2"/>
      <c r="F188" s="7">
        <f t="shared" si="45"/>
        <v>0</v>
      </c>
      <c r="G188" s="2"/>
      <c r="H188" s="6">
        <v>32601</v>
      </c>
      <c r="I188" s="2"/>
      <c r="J188" s="7">
        <f t="shared" si="46"/>
        <v>4.8556747095621092E-2</v>
      </c>
      <c r="K188" s="2"/>
      <c r="L188" s="6">
        <f t="shared" si="47"/>
        <v>-32601</v>
      </c>
      <c r="M188" s="2"/>
      <c r="N188" s="7">
        <f t="shared" si="48"/>
        <v>-1</v>
      </c>
      <c r="O188" s="11"/>
      <c r="P188" s="6">
        <v>0</v>
      </c>
      <c r="Q188" s="2"/>
      <c r="R188" s="7">
        <f t="shared" si="49"/>
        <v>0</v>
      </c>
      <c r="S188" s="2"/>
      <c r="T188" s="6">
        <v>386785</v>
      </c>
      <c r="U188" s="2"/>
      <c r="V188" s="7">
        <f t="shared" si="50"/>
        <v>3.3179974371164489E-2</v>
      </c>
      <c r="W188" s="2"/>
      <c r="X188" s="6">
        <f t="shared" si="51"/>
        <v>-386785</v>
      </c>
      <c r="Y188" s="2"/>
      <c r="Z188" s="7">
        <f t="shared" si="52"/>
        <v>-1</v>
      </c>
    </row>
    <row r="189" spans="1:26" s="24" customFormat="1" hidden="1" outlineLevel="2" x14ac:dyDescent="0.25">
      <c r="A189" s="26"/>
      <c r="B189" s="11" t="str">
        <f>CONCATENATE("          ", "9175", " - ", "EARNED DISCOUNTS")</f>
        <v xml:space="preserve">          9175 - EARNED DISCOUNTS</v>
      </c>
      <c r="C189" s="11"/>
      <c r="D189" s="6">
        <v>0</v>
      </c>
      <c r="E189" s="2"/>
      <c r="F189" s="7">
        <f t="shared" si="45"/>
        <v>0</v>
      </c>
      <c r="G189" s="2"/>
      <c r="H189" s="6"/>
      <c r="I189" s="2"/>
      <c r="J189" s="7">
        <f t="shared" si="46"/>
        <v>0</v>
      </c>
      <c r="K189" s="2"/>
      <c r="L189" s="6">
        <f t="shared" si="47"/>
        <v>0</v>
      </c>
      <c r="M189" s="2"/>
      <c r="N189" s="7">
        <f t="shared" si="48"/>
        <v>0</v>
      </c>
      <c r="O189" s="11"/>
      <c r="P189" s="6">
        <v>-15.43</v>
      </c>
      <c r="Q189" s="2"/>
      <c r="R189" s="7">
        <f t="shared" si="49"/>
        <v>-1.902319095263943E-6</v>
      </c>
      <c r="S189" s="2"/>
      <c r="T189" s="6"/>
      <c r="U189" s="2"/>
      <c r="V189" s="7">
        <f t="shared" si="50"/>
        <v>0</v>
      </c>
      <c r="W189" s="2"/>
      <c r="X189" s="6">
        <f t="shared" si="51"/>
        <v>-15.43</v>
      </c>
      <c r="Y189" s="2"/>
      <c r="Z189" s="7">
        <f t="shared" si="52"/>
        <v>0</v>
      </c>
    </row>
    <row r="190" spans="1:26" s="27" customFormat="1" outlineLevel="1" collapsed="1" x14ac:dyDescent="0.25">
      <c r="A190" s="25"/>
      <c r="B190" s="13" t="str">
        <f>CONCATENATE("     ","Donations                                         ")</f>
        <v xml:space="preserve">     Donations                                         </v>
      </c>
      <c r="C190" s="13"/>
      <c r="D190" s="1">
        <f>SUM(OSRRefD22_7x_0)</f>
        <v>0</v>
      </c>
      <c r="E190" s="1"/>
      <c r="F190" s="5">
        <f t="shared" ref="F190:F192" si="53">IF(D$12=0,0,D190/D$12)</f>
        <v>0</v>
      </c>
      <c r="G190" s="1"/>
      <c r="H190" s="1">
        <f>SUM(OSRRefH22_7x_0)</f>
        <v>1000</v>
      </c>
      <c r="I190" s="1"/>
      <c r="J190" s="5">
        <f t="shared" ref="J190:J192" si="54">IF(H$12=0,0,H190/H$12)</f>
        <v>1.4894250819183796E-3</v>
      </c>
      <c r="K190" s="1"/>
      <c r="L190" s="1">
        <f t="shared" ref="L190:L192" si="55">+D190-H190</f>
        <v>-1000</v>
      </c>
      <c r="M190" s="1"/>
      <c r="N190" s="5">
        <f t="shared" ref="N190:N192" si="56">IF(H190=0,0,L190/H190)</f>
        <v>-1</v>
      </c>
      <c r="O190" s="13"/>
      <c r="P190" s="1">
        <f>SUM(OSRRefP22_7x_0)</f>
        <v>360.9</v>
      </c>
      <c r="Q190" s="1"/>
      <c r="R190" s="5">
        <f t="shared" ref="R190:R192" si="57">IF(P$12=0,0,P190/P$12)</f>
        <v>4.4494294327981663E-5</v>
      </c>
      <c r="S190" s="1"/>
      <c r="T190" s="1">
        <f>SUM(OSRRefT22_7x_0)</f>
        <v>12000</v>
      </c>
      <c r="U190" s="1"/>
      <c r="V190" s="5">
        <f t="shared" ref="V190:V192" si="58">IF(T$12=0,0,T190/T$12)</f>
        <v>1.0294083081142595E-3</v>
      </c>
      <c r="W190" s="1"/>
      <c r="X190" s="1">
        <f t="shared" ref="X190:X192" si="59">+P190-T190</f>
        <v>-11639.1</v>
      </c>
      <c r="Y190" s="1"/>
      <c r="Z190" s="5">
        <f t="shared" ref="Z190:Z192" si="60">IF(T190=0,0,X190/T190)</f>
        <v>-0.96992500000000004</v>
      </c>
    </row>
    <row r="191" spans="1:26" s="24" customFormat="1" hidden="1" outlineLevel="2" x14ac:dyDescent="0.25">
      <c r="A191" s="26"/>
      <c r="B191" s="11" t="str">
        <f>CONCATENATE("          ", "6395", " - ", "DONATION-OFF CAMPUS")</f>
        <v xml:space="preserve">          6395 - DONATION-OFF CAMPUS</v>
      </c>
      <c r="C191" s="11"/>
      <c r="D191" s="6"/>
      <c r="E191" s="2"/>
      <c r="F191" s="7">
        <f t="shared" si="53"/>
        <v>0</v>
      </c>
      <c r="G191" s="2"/>
      <c r="H191" s="6"/>
      <c r="I191" s="2"/>
      <c r="J191" s="7">
        <f t="shared" si="54"/>
        <v>0</v>
      </c>
      <c r="K191" s="2"/>
      <c r="L191" s="6">
        <f t="shared" si="55"/>
        <v>0</v>
      </c>
      <c r="M191" s="2"/>
      <c r="N191" s="7">
        <f t="shared" si="56"/>
        <v>0</v>
      </c>
      <c r="O191" s="11"/>
      <c r="P191" s="6"/>
      <c r="Q191" s="2"/>
      <c r="R191" s="7">
        <f t="shared" si="57"/>
        <v>0</v>
      </c>
      <c r="S191" s="2"/>
      <c r="T191" s="6">
        <v>0</v>
      </c>
      <c r="U191" s="2"/>
      <c r="V191" s="7">
        <f t="shared" si="58"/>
        <v>0</v>
      </c>
      <c r="W191" s="2"/>
      <c r="X191" s="6">
        <f t="shared" si="59"/>
        <v>0</v>
      </c>
      <c r="Y191" s="2"/>
      <c r="Z191" s="7">
        <f t="shared" si="60"/>
        <v>0</v>
      </c>
    </row>
    <row r="192" spans="1:26" s="24" customFormat="1" hidden="1" outlineLevel="2" x14ac:dyDescent="0.25">
      <c r="A192" s="26"/>
      <c r="B192" s="11" t="str">
        <f>CONCATENATE("          ", "6399", " - ", "DONATION-ON CAMPUS")</f>
        <v xml:space="preserve">          6399 - DONATION-ON CAMPUS</v>
      </c>
      <c r="C192" s="11"/>
      <c r="D192" s="6"/>
      <c r="E192" s="2"/>
      <c r="F192" s="7">
        <f t="shared" si="53"/>
        <v>0</v>
      </c>
      <c r="G192" s="2"/>
      <c r="H192" s="6">
        <v>1000</v>
      </c>
      <c r="I192" s="2"/>
      <c r="J192" s="7">
        <f t="shared" si="54"/>
        <v>1.4894250819183796E-3</v>
      </c>
      <c r="K192" s="2"/>
      <c r="L192" s="6">
        <f t="shared" si="55"/>
        <v>-1000</v>
      </c>
      <c r="M192" s="2"/>
      <c r="N192" s="7">
        <f t="shared" si="56"/>
        <v>-1</v>
      </c>
      <c r="O192" s="11"/>
      <c r="P192" s="6">
        <v>360.9</v>
      </c>
      <c r="Q192" s="2"/>
      <c r="R192" s="7">
        <f t="shared" si="57"/>
        <v>4.4494294327981663E-5</v>
      </c>
      <c r="S192" s="2"/>
      <c r="T192" s="6">
        <v>12000</v>
      </c>
      <c r="U192" s="2"/>
      <c r="V192" s="7">
        <f t="shared" si="58"/>
        <v>1.0294083081142595E-3</v>
      </c>
      <c r="W192" s="2"/>
      <c r="X192" s="6">
        <f t="shared" si="59"/>
        <v>-11639.1</v>
      </c>
      <c r="Y192" s="2"/>
      <c r="Z192" s="7">
        <f t="shared" si="60"/>
        <v>-0.96992500000000004</v>
      </c>
    </row>
    <row r="193" spans="1:26" s="27" customFormat="1" outlineLevel="1" collapsed="1" x14ac:dyDescent="0.25">
      <c r="A193" s="25"/>
      <c r="B193" s="13" t="str">
        <f>CONCATENATE("     ","Employees' Appreciation                           ")</f>
        <v xml:space="preserve">     Employees' Appreciation                           </v>
      </c>
      <c r="C193" s="13"/>
      <c r="D193" s="1">
        <f>SUM(OSRRefD22_8x_0)</f>
        <v>522.86</v>
      </c>
      <c r="E193" s="1"/>
      <c r="F193" s="5">
        <f t="shared" ref="F193:F199" si="61">IF(D$12=0,0,D193/D$12)</f>
        <v>1.5883417188132102E-3</v>
      </c>
      <c r="G193" s="1"/>
      <c r="H193" s="1">
        <f>SUM(OSRRefH22_8x_0)</f>
        <v>420</v>
      </c>
      <c r="I193" s="1"/>
      <c r="J193" s="5">
        <f t="shared" ref="J193:J199" si="62">IF(H$12=0,0,H193/H$12)</f>
        <v>6.2555853440571935E-4</v>
      </c>
      <c r="K193" s="1"/>
      <c r="L193" s="1">
        <f t="shared" ref="L193:L199" si="63">+D193-H193</f>
        <v>102.86000000000001</v>
      </c>
      <c r="M193" s="1"/>
      <c r="N193" s="5">
        <f t="shared" ref="N193:N199" si="64">IF(H193=0,0,L193/H193)</f>
        <v>0.24490476190476193</v>
      </c>
      <c r="O193" s="13"/>
      <c r="P193" s="1">
        <f>SUM(OSRRefP22_8x_0)</f>
        <v>708.89</v>
      </c>
      <c r="Q193" s="1"/>
      <c r="R193" s="5">
        <f t="shared" ref="R193:R199" si="65">IF(P$12=0,0,P193/P$12)</f>
        <v>8.7396952912615461E-5</v>
      </c>
      <c r="S193" s="1"/>
      <c r="T193" s="1">
        <f>SUM(OSRRefT22_8x_0)</f>
        <v>5140</v>
      </c>
      <c r="U193" s="1"/>
      <c r="V193" s="5">
        <f t="shared" ref="V193:V199" si="66">IF(T$12=0,0,T193/T$12)</f>
        <v>4.409298919756078E-4</v>
      </c>
      <c r="W193" s="1"/>
      <c r="X193" s="1">
        <f t="shared" ref="X193:X199" si="67">+P193-T193</f>
        <v>-4431.1099999999997</v>
      </c>
      <c r="Y193" s="1"/>
      <c r="Z193" s="5">
        <f t="shared" ref="Z193:Z199" si="68">IF(T193=0,0,X193/T193)</f>
        <v>-0.86208365758754857</v>
      </c>
    </row>
    <row r="194" spans="1:26" s="24" customFormat="1" hidden="1" outlineLevel="2" x14ac:dyDescent="0.25">
      <c r="A194" s="26"/>
      <c r="B194" s="11" t="str">
        <f>CONCATENATE("          ", "6277", " - ", "EMPLOYEE APPRECIATION")</f>
        <v xml:space="preserve">          6277 - EMPLOYEE APPRECIATION</v>
      </c>
      <c r="C194" s="11"/>
      <c r="D194" s="6">
        <v>522.86</v>
      </c>
      <c r="E194" s="2"/>
      <c r="F194" s="7">
        <f t="shared" si="61"/>
        <v>1.5883417188132102E-3</v>
      </c>
      <c r="G194" s="2"/>
      <c r="H194" s="6">
        <v>420</v>
      </c>
      <c r="I194" s="2"/>
      <c r="J194" s="7">
        <f t="shared" si="62"/>
        <v>6.2555853440571935E-4</v>
      </c>
      <c r="K194" s="2"/>
      <c r="L194" s="6">
        <f t="shared" si="63"/>
        <v>102.86000000000001</v>
      </c>
      <c r="M194" s="2"/>
      <c r="N194" s="7">
        <f t="shared" si="64"/>
        <v>0.24490476190476193</v>
      </c>
      <c r="O194" s="11"/>
      <c r="P194" s="6">
        <v>708.89</v>
      </c>
      <c r="Q194" s="2"/>
      <c r="R194" s="7">
        <f t="shared" si="65"/>
        <v>8.7396952912615461E-5</v>
      </c>
      <c r="S194" s="2"/>
      <c r="T194" s="6">
        <v>5140</v>
      </c>
      <c r="U194" s="2"/>
      <c r="V194" s="7">
        <f t="shared" si="66"/>
        <v>4.409298919756078E-4</v>
      </c>
      <c r="W194" s="2"/>
      <c r="X194" s="6">
        <f t="shared" si="67"/>
        <v>-4431.1099999999997</v>
      </c>
      <c r="Y194" s="2"/>
      <c r="Z194" s="7">
        <f t="shared" si="68"/>
        <v>-0.86208365758754857</v>
      </c>
    </row>
    <row r="195" spans="1:26" s="27" customFormat="1" outlineLevel="1" collapsed="1" x14ac:dyDescent="0.25">
      <c r="A195" s="25"/>
      <c r="B195" s="13" t="str">
        <f>CONCATENATE("     ","Equipment Rental                                  ")</f>
        <v xml:space="preserve">     Equipment Rental                                  </v>
      </c>
      <c r="C195" s="13"/>
      <c r="D195" s="1">
        <f>SUM(OSRRefD22_9x_0)</f>
        <v>2220.81</v>
      </c>
      <c r="E195" s="1"/>
      <c r="F195" s="5">
        <f t="shared" si="61"/>
        <v>6.7463664701020633E-3</v>
      </c>
      <c r="G195" s="1"/>
      <c r="H195" s="1">
        <f>SUM(OSRRefH22_9x_0)</f>
        <v>3006</v>
      </c>
      <c r="I195" s="1"/>
      <c r="J195" s="5">
        <f t="shared" si="62"/>
        <v>4.4772117962466485E-3</v>
      </c>
      <c r="K195" s="1"/>
      <c r="L195" s="1">
        <f t="shared" si="63"/>
        <v>-785.19</v>
      </c>
      <c r="M195" s="1"/>
      <c r="N195" s="5">
        <f t="shared" si="64"/>
        <v>-0.26120758483033935</v>
      </c>
      <c r="O195" s="13"/>
      <c r="P195" s="1">
        <f>SUM(OSRRefP22_9x_0)</f>
        <v>18767.03</v>
      </c>
      <c r="Q195" s="1"/>
      <c r="R195" s="5">
        <f t="shared" si="65"/>
        <v>2.3137316610752608E-3</v>
      </c>
      <c r="S195" s="1"/>
      <c r="T195" s="1">
        <f>SUM(OSRRefT22_9x_0)</f>
        <v>36072</v>
      </c>
      <c r="U195" s="1"/>
      <c r="V195" s="5">
        <f t="shared" si="66"/>
        <v>3.0944013741914639E-3</v>
      </c>
      <c r="W195" s="1"/>
      <c r="X195" s="1">
        <f t="shared" si="67"/>
        <v>-17304.97</v>
      </c>
      <c r="Y195" s="1"/>
      <c r="Z195" s="5">
        <f t="shared" si="68"/>
        <v>-0.47973414282546023</v>
      </c>
    </row>
    <row r="196" spans="1:26" s="24" customFormat="1" hidden="1" outlineLevel="2" x14ac:dyDescent="0.25">
      <c r="A196" s="26"/>
      <c r="B196" s="11" t="str">
        <f>CONCATENATE("          ", "6351", " - ", "EQUIPMENT RENTAL")</f>
        <v xml:space="preserve">          6351 - EQUIPMENT RENTAL</v>
      </c>
      <c r="C196" s="11"/>
      <c r="D196" s="6">
        <v>2220.81</v>
      </c>
      <c r="E196" s="2"/>
      <c r="F196" s="7">
        <f t="shared" si="61"/>
        <v>6.7463664701020633E-3</v>
      </c>
      <c r="G196" s="2"/>
      <c r="H196" s="6">
        <v>3006</v>
      </c>
      <c r="I196" s="2"/>
      <c r="J196" s="7">
        <f t="shared" si="62"/>
        <v>4.4772117962466485E-3</v>
      </c>
      <c r="K196" s="2"/>
      <c r="L196" s="6">
        <f t="shared" si="63"/>
        <v>-785.19</v>
      </c>
      <c r="M196" s="2"/>
      <c r="N196" s="7">
        <f t="shared" si="64"/>
        <v>-0.26120758483033935</v>
      </c>
      <c r="O196" s="11"/>
      <c r="P196" s="6">
        <v>18767.03</v>
      </c>
      <c r="Q196" s="2"/>
      <c r="R196" s="7">
        <f t="shared" si="65"/>
        <v>2.3137316610752608E-3</v>
      </c>
      <c r="S196" s="2"/>
      <c r="T196" s="6">
        <v>36072</v>
      </c>
      <c r="U196" s="2"/>
      <c r="V196" s="7">
        <f t="shared" si="66"/>
        <v>3.0944013741914639E-3</v>
      </c>
      <c r="W196" s="2"/>
      <c r="X196" s="6">
        <f t="shared" si="67"/>
        <v>-17304.97</v>
      </c>
      <c r="Y196" s="2"/>
      <c r="Z196" s="7">
        <f t="shared" si="68"/>
        <v>-0.47973414282546023</v>
      </c>
    </row>
    <row r="197" spans="1:26" s="27" customFormat="1" outlineLevel="1" collapsed="1" x14ac:dyDescent="0.25">
      <c r="A197" s="25"/>
      <c r="B197" s="13" t="str">
        <f>CONCATENATE("     ","Freight out/Postage                               ")</f>
        <v xml:space="preserve">     Freight out/Postage                               </v>
      </c>
      <c r="C197" s="13"/>
      <c r="D197" s="1">
        <f>SUM(OSRRefD22_10x_0)</f>
        <v>-7501.3200000000006</v>
      </c>
      <c r="E197" s="1"/>
      <c r="F197" s="5">
        <f t="shared" si="61"/>
        <v>-2.2787475619033604E-2</v>
      </c>
      <c r="G197" s="1"/>
      <c r="H197" s="1">
        <f>SUM(OSRRefH22_10x_0)</f>
        <v>283</v>
      </c>
      <c r="I197" s="1"/>
      <c r="J197" s="5">
        <f t="shared" si="62"/>
        <v>4.2150729818290139E-4</v>
      </c>
      <c r="K197" s="1"/>
      <c r="L197" s="1">
        <f t="shared" si="63"/>
        <v>-7784.3200000000006</v>
      </c>
      <c r="M197" s="1"/>
      <c r="N197" s="5">
        <f t="shared" si="64"/>
        <v>-27.506431095406363</v>
      </c>
      <c r="O197" s="13"/>
      <c r="P197" s="1">
        <f>SUM(OSRRefP22_10x_0)</f>
        <v>-72689.53</v>
      </c>
      <c r="Q197" s="1"/>
      <c r="R197" s="5">
        <f t="shared" si="65"/>
        <v>-8.961677313335142E-3</v>
      </c>
      <c r="S197" s="1"/>
      <c r="T197" s="1">
        <f>SUM(OSRRefT22_10x_0)</f>
        <v>35563</v>
      </c>
      <c r="U197" s="1"/>
      <c r="V197" s="5">
        <f t="shared" si="66"/>
        <v>3.0507373051222842E-3</v>
      </c>
      <c r="W197" s="1"/>
      <c r="X197" s="1">
        <f t="shared" si="67"/>
        <v>-108252.53</v>
      </c>
      <c r="Y197" s="1"/>
      <c r="Z197" s="5">
        <f t="shared" si="68"/>
        <v>-3.0439650760621992</v>
      </c>
    </row>
    <row r="198" spans="1:26" s="24" customFormat="1" hidden="1" outlineLevel="2" x14ac:dyDescent="0.25">
      <c r="A198" s="26"/>
      <c r="B198" s="11" t="str">
        <f>CONCATENATE("          ", "6305", " - ", "FREIGHT OUT")</f>
        <v xml:space="preserve">          6305 - FREIGHT OUT</v>
      </c>
      <c r="C198" s="11"/>
      <c r="D198" s="6">
        <v>7012.69</v>
      </c>
      <c r="E198" s="2"/>
      <c r="F198" s="7">
        <f t="shared" si="61"/>
        <v>2.1303117637807845E-2</v>
      </c>
      <c r="G198" s="2"/>
      <c r="H198" s="6">
        <v>2263</v>
      </c>
      <c r="I198" s="2"/>
      <c r="J198" s="7">
        <f t="shared" si="62"/>
        <v>3.3705689603812927E-3</v>
      </c>
      <c r="K198" s="2"/>
      <c r="L198" s="6">
        <f t="shared" si="63"/>
        <v>4749.6899999999996</v>
      </c>
      <c r="M198" s="2"/>
      <c r="N198" s="7">
        <f t="shared" si="64"/>
        <v>2.0988466637207246</v>
      </c>
      <c r="O198" s="11"/>
      <c r="P198" s="6">
        <v>234082.29</v>
      </c>
      <c r="Q198" s="2"/>
      <c r="R198" s="7">
        <f t="shared" si="65"/>
        <v>2.8859313683092157E-2</v>
      </c>
      <c r="S198" s="2"/>
      <c r="T198" s="6">
        <v>66865</v>
      </c>
      <c r="U198" s="2"/>
      <c r="V198" s="7">
        <f t="shared" si="66"/>
        <v>5.7359488768383305E-3</v>
      </c>
      <c r="W198" s="2"/>
      <c r="X198" s="6">
        <f t="shared" si="67"/>
        <v>167217.29</v>
      </c>
      <c r="Y198" s="2"/>
      <c r="Z198" s="7">
        <f t="shared" si="68"/>
        <v>2.5008194122485605</v>
      </c>
    </row>
    <row r="199" spans="1:26" s="24" customFormat="1" hidden="1" outlineLevel="2" x14ac:dyDescent="0.25">
      <c r="A199" s="26"/>
      <c r="B199" s="11" t="str">
        <f>CONCATENATE("          ", "6307", " - ", "POSTAGE")</f>
        <v xml:space="preserve">          6307 - POSTAGE</v>
      </c>
      <c r="C199" s="11"/>
      <c r="D199" s="6">
        <v>-14514.01</v>
      </c>
      <c r="E199" s="2"/>
      <c r="F199" s="7">
        <f t="shared" si="61"/>
        <v>-4.4090593256841448E-2</v>
      </c>
      <c r="G199" s="2"/>
      <c r="H199" s="6">
        <v>-1980</v>
      </c>
      <c r="I199" s="2"/>
      <c r="J199" s="7">
        <f t="shared" si="62"/>
        <v>-2.9490616621983914E-3</v>
      </c>
      <c r="K199" s="2"/>
      <c r="L199" s="6">
        <f t="shared" si="63"/>
        <v>-12534.01</v>
      </c>
      <c r="M199" s="2"/>
      <c r="N199" s="7">
        <f t="shared" si="64"/>
        <v>6.3303080808080807</v>
      </c>
      <c r="O199" s="11"/>
      <c r="P199" s="6">
        <v>-306771.82</v>
      </c>
      <c r="Q199" s="2"/>
      <c r="R199" s="7">
        <f t="shared" si="65"/>
        <v>-3.7820990996427301E-2</v>
      </c>
      <c r="S199" s="2"/>
      <c r="T199" s="6">
        <v>-31302</v>
      </c>
      <c r="U199" s="2"/>
      <c r="V199" s="7">
        <f t="shared" si="66"/>
        <v>-2.6852115717160459E-3</v>
      </c>
      <c r="W199" s="2"/>
      <c r="X199" s="6">
        <f t="shared" si="67"/>
        <v>-275469.82</v>
      </c>
      <c r="Y199" s="2"/>
      <c r="Z199" s="7">
        <f t="shared" si="68"/>
        <v>8.8003903903903904</v>
      </c>
    </row>
    <row r="200" spans="1:26" s="27" customFormat="1" outlineLevel="1" collapsed="1" x14ac:dyDescent="0.25">
      <c r="A200" s="25"/>
      <c r="B200" s="13" t="str">
        <f>CONCATENATE("     ","General                                           ")</f>
        <v xml:space="preserve">     General                                           </v>
      </c>
      <c r="C200" s="13"/>
      <c r="D200" s="1">
        <f>SUM(OSRRefD22_11x_0)</f>
        <v>-3391.74</v>
      </c>
      <c r="E200" s="1"/>
      <c r="F200" s="5">
        <f t="shared" ref="F200:F203" si="69">IF(D$12=0,0,D200/D$12)</f>
        <v>-1.0303412273586651E-2</v>
      </c>
      <c r="G200" s="1"/>
      <c r="H200" s="1">
        <f>SUM(OSRRefH22_11x_0)</f>
        <v>1530</v>
      </c>
      <c r="I200" s="1"/>
      <c r="J200" s="5">
        <f t="shared" ref="J200:J203" si="70">IF(H$12=0,0,H200/H$12)</f>
        <v>2.2788203753351206E-3</v>
      </c>
      <c r="K200" s="1"/>
      <c r="L200" s="1">
        <f t="shared" ref="L200:L203" si="71">+D200-H200</f>
        <v>-4921.74</v>
      </c>
      <c r="M200" s="1"/>
      <c r="N200" s="5">
        <f t="shared" ref="N200:N203" si="72">IF(H200=0,0,L200/H200)</f>
        <v>-3.2168235294117644</v>
      </c>
      <c r="O200" s="13"/>
      <c r="P200" s="1">
        <f>SUM(OSRRefP22_11x_0)</f>
        <v>-533.26</v>
      </c>
      <c r="Q200" s="1"/>
      <c r="R200" s="5">
        <f t="shared" ref="R200:R203" si="73">IF(P$12=0,0,P200/P$12)</f>
        <v>-6.574404930268635E-5</v>
      </c>
      <c r="S200" s="1"/>
      <c r="T200" s="1">
        <f>SUM(OSRRefT22_11x_0)</f>
        <v>13610</v>
      </c>
      <c r="U200" s="1"/>
      <c r="V200" s="5">
        <f t="shared" ref="V200:V203" si="74">IF(T$12=0,0,T200/T$12)</f>
        <v>1.1675205894529227E-3</v>
      </c>
      <c r="W200" s="1"/>
      <c r="X200" s="1">
        <f t="shared" ref="X200:X203" si="75">+P200-T200</f>
        <v>-14143.26</v>
      </c>
      <c r="Y200" s="1"/>
      <c r="Z200" s="5">
        <f t="shared" ref="Z200:Z203" si="76">IF(T200=0,0,X200/T200)</f>
        <v>-1.039181484202792</v>
      </c>
    </row>
    <row r="201" spans="1:26" s="24" customFormat="1" hidden="1" outlineLevel="2" x14ac:dyDescent="0.25">
      <c r="A201" s="26"/>
      <c r="B201" s="11" t="str">
        <f>CONCATENATE("          ", "6269", " - ", "ENTERTAINMENT")</f>
        <v xml:space="preserve">          6269 - ENTERTAINMENT</v>
      </c>
      <c r="C201" s="11"/>
      <c r="D201" s="6"/>
      <c r="E201" s="2"/>
      <c r="F201" s="7">
        <f t="shared" si="69"/>
        <v>0</v>
      </c>
      <c r="G201" s="2"/>
      <c r="H201" s="6">
        <v>0</v>
      </c>
      <c r="I201" s="2"/>
      <c r="J201" s="7">
        <f t="shared" si="70"/>
        <v>0</v>
      </c>
      <c r="K201" s="2"/>
      <c r="L201" s="6">
        <f t="shared" si="71"/>
        <v>0</v>
      </c>
      <c r="M201" s="2"/>
      <c r="N201" s="7">
        <f t="shared" si="72"/>
        <v>0</v>
      </c>
      <c r="O201" s="11"/>
      <c r="P201" s="6"/>
      <c r="Q201" s="2"/>
      <c r="R201" s="7">
        <f t="shared" si="73"/>
        <v>0</v>
      </c>
      <c r="S201" s="2"/>
      <c r="T201" s="6">
        <v>2750</v>
      </c>
      <c r="U201" s="2"/>
      <c r="V201" s="7">
        <f t="shared" si="74"/>
        <v>2.359060706095178E-4</v>
      </c>
      <c r="W201" s="2"/>
      <c r="X201" s="6">
        <f t="shared" si="75"/>
        <v>-2750</v>
      </c>
      <c r="Y201" s="2"/>
      <c r="Z201" s="7">
        <f t="shared" si="76"/>
        <v>-1</v>
      </c>
    </row>
    <row r="202" spans="1:26" s="24" customFormat="1" hidden="1" outlineLevel="2" x14ac:dyDescent="0.25">
      <c r="A202" s="26"/>
      <c r="B202" s="11" t="str">
        <f>CONCATENATE("          ", "6276", " - ", "PROPERTY TAX")</f>
        <v xml:space="preserve">          6276 - PROPERTY TAX</v>
      </c>
      <c r="C202" s="11"/>
      <c r="D202" s="6"/>
      <c r="E202" s="2"/>
      <c r="F202" s="7">
        <f t="shared" si="69"/>
        <v>0</v>
      </c>
      <c r="G202" s="2"/>
      <c r="H202" s="6"/>
      <c r="I202" s="2"/>
      <c r="J202" s="7">
        <f t="shared" si="70"/>
        <v>0</v>
      </c>
      <c r="K202" s="2"/>
      <c r="L202" s="6">
        <f t="shared" si="71"/>
        <v>0</v>
      </c>
      <c r="M202" s="2"/>
      <c r="N202" s="7">
        <f t="shared" si="72"/>
        <v>0</v>
      </c>
      <c r="O202" s="11"/>
      <c r="P202" s="6"/>
      <c r="Q202" s="2"/>
      <c r="R202" s="7">
        <f t="shared" si="73"/>
        <v>0</v>
      </c>
      <c r="S202" s="2"/>
      <c r="T202" s="6">
        <v>150</v>
      </c>
      <c r="U202" s="2"/>
      <c r="V202" s="7">
        <f t="shared" si="74"/>
        <v>1.2867603851428244E-5</v>
      </c>
      <c r="W202" s="2"/>
      <c r="X202" s="6">
        <f t="shared" si="75"/>
        <v>-150</v>
      </c>
      <c r="Y202" s="2"/>
      <c r="Z202" s="7">
        <f t="shared" si="76"/>
        <v>-1</v>
      </c>
    </row>
    <row r="203" spans="1:26" s="24" customFormat="1" hidden="1" outlineLevel="2" x14ac:dyDescent="0.25">
      <c r="A203" s="26"/>
      <c r="B203" s="11" t="str">
        <f>CONCATENATE("          ", "6279", " - ", "GENERAL EXPENSE")</f>
        <v xml:space="preserve">          6279 - GENERAL EXPENSE</v>
      </c>
      <c r="C203" s="11"/>
      <c r="D203" s="6">
        <v>-3391.74</v>
      </c>
      <c r="E203" s="2"/>
      <c r="F203" s="7">
        <f t="shared" si="69"/>
        <v>-1.0303412273586651E-2</v>
      </c>
      <c r="G203" s="2"/>
      <c r="H203" s="6">
        <v>1530</v>
      </c>
      <c r="I203" s="2"/>
      <c r="J203" s="7">
        <f t="shared" si="70"/>
        <v>2.2788203753351206E-3</v>
      </c>
      <c r="K203" s="2"/>
      <c r="L203" s="6">
        <f t="shared" si="71"/>
        <v>-4921.74</v>
      </c>
      <c r="M203" s="2"/>
      <c r="N203" s="7">
        <f t="shared" si="72"/>
        <v>-3.2168235294117644</v>
      </c>
      <c r="O203" s="11"/>
      <c r="P203" s="6">
        <v>-533.26</v>
      </c>
      <c r="Q203" s="2"/>
      <c r="R203" s="7">
        <f t="shared" si="73"/>
        <v>-6.574404930268635E-5</v>
      </c>
      <c r="S203" s="2"/>
      <c r="T203" s="6">
        <v>10710</v>
      </c>
      <c r="U203" s="2"/>
      <c r="V203" s="7">
        <f t="shared" si="74"/>
        <v>9.1874691499197662E-4</v>
      </c>
      <c r="W203" s="2"/>
      <c r="X203" s="6">
        <f t="shared" si="75"/>
        <v>-11243.26</v>
      </c>
      <c r="Y203" s="2"/>
      <c r="Z203" s="7">
        <f t="shared" si="76"/>
        <v>-1.0497908496732027</v>
      </c>
    </row>
    <row r="204" spans="1:26" s="27" customFormat="1" outlineLevel="1" collapsed="1" x14ac:dyDescent="0.25">
      <c r="A204" s="25"/>
      <c r="B204" s="13" t="str">
        <f>CONCATENATE("     ","Insurance                                         ")</f>
        <v xml:space="preserve">     Insurance                                         </v>
      </c>
      <c r="C204" s="13"/>
      <c r="D204" s="1">
        <f>SUM(OSRRefD22_12x_0)</f>
        <v>8663.02</v>
      </c>
      <c r="E204" s="1"/>
      <c r="F204" s="5">
        <f t="shared" ref="F204:F208" si="77">IF(D$12=0,0,D204/D$12)</f>
        <v>2.6316482570694289E-2</v>
      </c>
      <c r="G204" s="1"/>
      <c r="H204" s="1">
        <f>SUM(OSRRefH22_12x_0)</f>
        <v>4446</v>
      </c>
      <c r="I204" s="1"/>
      <c r="J204" s="5">
        <f t="shared" ref="J204:J208" si="78">IF(H$12=0,0,H204/H$12)</f>
        <v>6.6219839142091152E-3</v>
      </c>
      <c r="K204" s="1"/>
      <c r="L204" s="1">
        <f t="shared" ref="L204:L208" si="79">+D204-H204</f>
        <v>4217.0200000000004</v>
      </c>
      <c r="M204" s="1"/>
      <c r="N204" s="5">
        <f t="shared" ref="N204:N208" si="80">IF(H204=0,0,L204/H204)</f>
        <v>0.94849752586594704</v>
      </c>
      <c r="O204" s="13"/>
      <c r="P204" s="1">
        <f>SUM(OSRRefP22_12x_0)</f>
        <v>53155.16</v>
      </c>
      <c r="Q204" s="1"/>
      <c r="R204" s="5">
        <f t="shared" ref="R204:R208" si="81">IF(P$12=0,0,P204/P$12)</f>
        <v>6.5533425716014348E-3</v>
      </c>
      <c r="S204" s="1"/>
      <c r="T204" s="1">
        <f>SUM(OSRRefT22_12x_0)</f>
        <v>53352</v>
      </c>
      <c r="U204" s="1"/>
      <c r="V204" s="5">
        <f t="shared" ref="V204:V208" si="82">IF(T$12=0,0,T204/T$12)</f>
        <v>4.5767493378759978E-3</v>
      </c>
      <c r="W204" s="1"/>
      <c r="X204" s="1">
        <f t="shared" ref="X204:X208" si="83">+P204-T204</f>
        <v>-196.83999999999651</v>
      </c>
      <c r="Y204" s="1"/>
      <c r="Z204" s="5">
        <f t="shared" ref="Z204:Z208" si="84">IF(T204=0,0,X204/T204)</f>
        <v>-3.6894586894586239E-3</v>
      </c>
    </row>
    <row r="205" spans="1:26" s="24" customFormat="1" hidden="1" outlineLevel="2" x14ac:dyDescent="0.25">
      <c r="A205" s="26"/>
      <c r="B205" s="11" t="str">
        <f>CONCATENATE("          ", "6314", " - ", "LIABILITY INSURANCE")</f>
        <v xml:space="preserve">          6314 - LIABILITY INSURANCE</v>
      </c>
      <c r="C205" s="11"/>
      <c r="D205" s="6">
        <v>8663.02</v>
      </c>
      <c r="E205" s="2"/>
      <c r="F205" s="7">
        <f t="shared" si="77"/>
        <v>2.6316482570694289E-2</v>
      </c>
      <c r="G205" s="2"/>
      <c r="H205" s="6">
        <v>4446</v>
      </c>
      <c r="I205" s="2"/>
      <c r="J205" s="7">
        <f t="shared" si="78"/>
        <v>6.6219839142091152E-3</v>
      </c>
      <c r="K205" s="2"/>
      <c r="L205" s="6">
        <f t="shared" si="79"/>
        <v>4217.0200000000004</v>
      </c>
      <c r="M205" s="2"/>
      <c r="N205" s="7">
        <f t="shared" si="80"/>
        <v>0.94849752586594704</v>
      </c>
      <c r="O205" s="11"/>
      <c r="P205" s="6">
        <v>53155.16</v>
      </c>
      <c r="Q205" s="2"/>
      <c r="R205" s="7">
        <f t="shared" si="81"/>
        <v>6.5533425716014348E-3</v>
      </c>
      <c r="S205" s="2"/>
      <c r="T205" s="6">
        <v>53352</v>
      </c>
      <c r="U205" s="2"/>
      <c r="V205" s="7">
        <f t="shared" si="82"/>
        <v>4.5767493378759978E-3</v>
      </c>
      <c r="W205" s="2"/>
      <c r="X205" s="6">
        <f t="shared" si="83"/>
        <v>-196.83999999999651</v>
      </c>
      <c r="Y205" s="2"/>
      <c r="Z205" s="7">
        <f t="shared" si="84"/>
        <v>-3.6894586894586239E-3</v>
      </c>
    </row>
    <row r="206" spans="1:26" s="27" customFormat="1" outlineLevel="1" collapsed="1" x14ac:dyDescent="0.25">
      <c r="A206" s="25"/>
      <c r="B206" s="13" t="str">
        <f>CONCATENATE("     ","Inventory Adjustment                              ")</f>
        <v xml:space="preserve">     Inventory Adjustment                              </v>
      </c>
      <c r="C206" s="13"/>
      <c r="D206" s="1">
        <f>SUM(OSRRefD22_13x_0)</f>
        <v>-41850</v>
      </c>
      <c r="E206" s="1"/>
      <c r="F206" s="5">
        <f t="shared" si="77"/>
        <v>-0.12713173876818429</v>
      </c>
      <c r="G206" s="1"/>
      <c r="H206" s="1">
        <f>SUM(OSRRefH22_13x_0)</f>
        <v>47350</v>
      </c>
      <c r="I206" s="1"/>
      <c r="J206" s="5">
        <f t="shared" si="78"/>
        <v>7.0524277628835272E-2</v>
      </c>
      <c r="K206" s="1"/>
      <c r="L206" s="1">
        <f t="shared" si="79"/>
        <v>-89200</v>
      </c>
      <c r="M206" s="1"/>
      <c r="N206" s="5">
        <f t="shared" si="80"/>
        <v>-1.883843717001056</v>
      </c>
      <c r="O206" s="13"/>
      <c r="P206" s="1">
        <f>SUM(OSRRefP22_13x_0)</f>
        <v>0</v>
      </c>
      <c r="Q206" s="1"/>
      <c r="R206" s="5">
        <f t="shared" si="81"/>
        <v>0</v>
      </c>
      <c r="S206" s="1"/>
      <c r="T206" s="1">
        <f>SUM(OSRRefT22_13x_0)</f>
        <v>100200</v>
      </c>
      <c r="U206" s="1"/>
      <c r="V206" s="5">
        <f t="shared" si="82"/>
        <v>8.5955593727540663E-3</v>
      </c>
      <c r="W206" s="1"/>
      <c r="X206" s="1">
        <f t="shared" si="83"/>
        <v>-100200</v>
      </c>
      <c r="Y206" s="1"/>
      <c r="Z206" s="5">
        <f t="shared" si="84"/>
        <v>-1</v>
      </c>
    </row>
    <row r="207" spans="1:26" s="24" customFormat="1" hidden="1" outlineLevel="2" x14ac:dyDescent="0.25">
      <c r="A207" s="26"/>
      <c r="B207" s="11" t="str">
        <f>CONCATENATE("          ", "6408", " - ", "INVENTORY ADJUSTMENT")</f>
        <v xml:space="preserve">          6408 - INVENTORY ADJUSTMENT</v>
      </c>
      <c r="C207" s="11"/>
      <c r="D207" s="6">
        <v>-41850</v>
      </c>
      <c r="E207" s="2"/>
      <c r="F207" s="7">
        <f t="shared" si="77"/>
        <v>-0.12713173876818429</v>
      </c>
      <c r="G207" s="2"/>
      <c r="H207" s="6">
        <v>47350</v>
      </c>
      <c r="I207" s="2"/>
      <c r="J207" s="7">
        <f t="shared" si="78"/>
        <v>7.0524277628835272E-2</v>
      </c>
      <c r="K207" s="2"/>
      <c r="L207" s="6">
        <f t="shared" si="79"/>
        <v>-89200</v>
      </c>
      <c r="M207" s="2"/>
      <c r="N207" s="7">
        <f t="shared" si="80"/>
        <v>-1.883843717001056</v>
      </c>
      <c r="O207" s="11"/>
      <c r="P207" s="6">
        <v>0</v>
      </c>
      <c r="Q207" s="2"/>
      <c r="R207" s="7">
        <f t="shared" si="81"/>
        <v>0</v>
      </c>
      <c r="S207" s="2"/>
      <c r="T207" s="6">
        <v>100200</v>
      </c>
      <c r="U207" s="2"/>
      <c r="V207" s="7">
        <f t="shared" si="82"/>
        <v>8.5955593727540663E-3</v>
      </c>
      <c r="W207" s="2"/>
      <c r="X207" s="6">
        <f t="shared" si="83"/>
        <v>-100200</v>
      </c>
      <c r="Y207" s="2"/>
      <c r="Z207" s="7">
        <f t="shared" si="84"/>
        <v>-1</v>
      </c>
    </row>
    <row r="208" spans="1:26" s="24" customFormat="1" hidden="1" outlineLevel="2" x14ac:dyDescent="0.25">
      <c r="A208" s="26"/>
      <c r="B208" s="11" t="str">
        <f>CONCATENATE("          ", "7741", " - ", "INV. SHRINKAGE-LOGO GIFTS")</f>
        <v xml:space="preserve">          7741 - INV. SHRINKAGE-LOGO GIFTS</v>
      </c>
      <c r="C208" s="11"/>
      <c r="D208" s="6"/>
      <c r="E208" s="2"/>
      <c r="F208" s="7">
        <f t="shared" si="77"/>
        <v>0</v>
      </c>
      <c r="G208" s="2"/>
      <c r="H208" s="6"/>
      <c r="I208" s="2"/>
      <c r="J208" s="7">
        <f t="shared" si="78"/>
        <v>0</v>
      </c>
      <c r="K208" s="2"/>
      <c r="L208" s="6">
        <f t="shared" si="79"/>
        <v>0</v>
      </c>
      <c r="M208" s="2"/>
      <c r="N208" s="7">
        <f t="shared" si="80"/>
        <v>0</v>
      </c>
      <c r="O208" s="11"/>
      <c r="P208" s="6">
        <v>0</v>
      </c>
      <c r="Q208" s="2"/>
      <c r="R208" s="7">
        <f t="shared" si="81"/>
        <v>0</v>
      </c>
      <c r="S208" s="2"/>
      <c r="T208" s="6"/>
      <c r="U208" s="2"/>
      <c r="V208" s="7">
        <f t="shared" si="82"/>
        <v>0</v>
      </c>
      <c r="W208" s="2"/>
      <c r="X208" s="6">
        <f t="shared" si="83"/>
        <v>0</v>
      </c>
      <c r="Y208" s="2"/>
      <c r="Z208" s="7">
        <f t="shared" si="84"/>
        <v>0</v>
      </c>
    </row>
    <row r="209" spans="1:26" s="27" customFormat="1" outlineLevel="1" collapsed="1" x14ac:dyDescent="0.25">
      <c r="A209" s="25"/>
      <c r="B209" s="13" t="str">
        <f>CONCATENATE("     ","Professional Services                             ")</f>
        <v xml:space="preserve">     Professional Services                             </v>
      </c>
      <c r="C209" s="13"/>
      <c r="D209" s="1">
        <f>SUM(OSRRefD22_14x_0)</f>
        <v>1966.87</v>
      </c>
      <c r="E209" s="1"/>
      <c r="F209" s="5">
        <f t="shared" ref="F209:F217" si="85">IF(D$12=0,0,D209/D$12)</f>
        <v>5.9749486984702182E-3</v>
      </c>
      <c r="G209" s="1"/>
      <c r="H209" s="1">
        <f>SUM(OSRRefH22_14x_0)</f>
        <v>0</v>
      </c>
      <c r="I209" s="1"/>
      <c r="J209" s="5">
        <f t="shared" ref="J209:J217" si="86">IF(H$12=0,0,H209/H$12)</f>
        <v>0</v>
      </c>
      <c r="K209" s="1"/>
      <c r="L209" s="1">
        <f t="shared" ref="L209:L217" si="87">+D209-H209</f>
        <v>1966.87</v>
      </c>
      <c r="M209" s="1"/>
      <c r="N209" s="5">
        <f t="shared" ref="N209:N217" si="88">IF(H209=0,0,L209/H209)</f>
        <v>0</v>
      </c>
      <c r="O209" s="13"/>
      <c r="P209" s="1">
        <f>SUM(OSRRefP22_14x_0)</f>
        <v>1966.87</v>
      </c>
      <c r="Q209" s="1"/>
      <c r="R209" s="5">
        <f t="shared" ref="R209:R217" si="89">IF(P$12=0,0,P209/P$12)</f>
        <v>2.4248958904094566E-4</v>
      </c>
      <c r="S209" s="1"/>
      <c r="T209" s="1">
        <f>SUM(OSRRefT22_14x_0)</f>
        <v>7300</v>
      </c>
      <c r="U209" s="1"/>
      <c r="V209" s="5">
        <f t="shared" ref="V209:V217" si="90">IF(T$12=0,0,T209/T$12)</f>
        <v>6.2622338743617458E-4</v>
      </c>
      <c r="W209" s="1"/>
      <c r="X209" s="1">
        <f t="shared" ref="X209:X217" si="91">+P209-T209</f>
        <v>-5333.13</v>
      </c>
      <c r="Y209" s="1"/>
      <c r="Z209" s="5">
        <f t="shared" ref="Z209:Z217" si="92">IF(T209=0,0,X209/T209)</f>
        <v>-0.73056575342465757</v>
      </c>
    </row>
    <row r="210" spans="1:26" s="24" customFormat="1" hidden="1" outlineLevel="2" x14ac:dyDescent="0.25">
      <c r="A210" s="26"/>
      <c r="B210" s="11" t="str">
        <f>CONCATENATE("          ", "6336", " - ", "PROFESSIONAL SERVICES")</f>
        <v xml:space="preserve">          6336 - PROFESSIONAL SERVICES</v>
      </c>
      <c r="C210" s="11"/>
      <c r="D210" s="6">
        <v>1966.87</v>
      </c>
      <c r="E210" s="2"/>
      <c r="F210" s="7">
        <f t="shared" si="85"/>
        <v>5.9749486984702182E-3</v>
      </c>
      <c r="G210" s="2"/>
      <c r="H210" s="6">
        <v>0</v>
      </c>
      <c r="I210" s="2"/>
      <c r="J210" s="7">
        <f t="shared" si="86"/>
        <v>0</v>
      </c>
      <c r="K210" s="2"/>
      <c r="L210" s="6">
        <f t="shared" si="87"/>
        <v>1966.87</v>
      </c>
      <c r="M210" s="2"/>
      <c r="N210" s="7">
        <f t="shared" si="88"/>
        <v>0</v>
      </c>
      <c r="O210" s="11"/>
      <c r="P210" s="6">
        <v>1966.87</v>
      </c>
      <c r="Q210" s="2"/>
      <c r="R210" s="7">
        <f t="shared" si="89"/>
        <v>2.4248958904094566E-4</v>
      </c>
      <c r="S210" s="2"/>
      <c r="T210" s="6">
        <v>7300</v>
      </c>
      <c r="U210" s="2"/>
      <c r="V210" s="7">
        <f t="shared" si="90"/>
        <v>6.2622338743617458E-4</v>
      </c>
      <c r="W210" s="2"/>
      <c r="X210" s="6">
        <f t="shared" si="91"/>
        <v>-5333.13</v>
      </c>
      <c r="Y210" s="2"/>
      <c r="Z210" s="7">
        <f t="shared" si="92"/>
        <v>-0.73056575342465757</v>
      </c>
    </row>
    <row r="211" spans="1:26" s="27" customFormat="1" outlineLevel="1" collapsed="1" x14ac:dyDescent="0.25">
      <c r="A211" s="25"/>
      <c r="B211" s="13" t="str">
        <f>CONCATENATE("     ","Rent                                              ")</f>
        <v xml:space="preserve">     Rent                                              </v>
      </c>
      <c r="C211" s="13"/>
      <c r="D211" s="1">
        <f>SUM(OSRRefD22_15x_0)</f>
        <v>6100</v>
      </c>
      <c r="E211" s="1"/>
      <c r="F211" s="5">
        <f t="shared" si="85"/>
        <v>1.8530552126306433E-2</v>
      </c>
      <c r="G211" s="1"/>
      <c r="H211" s="1">
        <f>SUM(OSRRefH22_15x_0)</f>
        <v>6100</v>
      </c>
      <c r="I211" s="1"/>
      <c r="J211" s="5">
        <f t="shared" si="86"/>
        <v>9.0854929997021151E-3</v>
      </c>
      <c r="K211" s="1"/>
      <c r="L211" s="1">
        <f t="shared" si="87"/>
        <v>0</v>
      </c>
      <c r="M211" s="1"/>
      <c r="N211" s="5">
        <f t="shared" si="88"/>
        <v>0</v>
      </c>
      <c r="O211" s="13"/>
      <c r="P211" s="1">
        <f>SUM(OSRRefP22_15x_0)</f>
        <v>73200</v>
      </c>
      <c r="Q211" s="1"/>
      <c r="R211" s="5">
        <f t="shared" si="89"/>
        <v>9.0246116508956985E-3</v>
      </c>
      <c r="S211" s="1"/>
      <c r="T211" s="1">
        <f>SUM(OSRRefT22_15x_0)</f>
        <v>73201</v>
      </c>
      <c r="U211" s="1"/>
      <c r="V211" s="5">
        <f t="shared" si="90"/>
        <v>6.2794764635226595E-3</v>
      </c>
      <c r="W211" s="1"/>
      <c r="X211" s="1">
        <f t="shared" si="91"/>
        <v>-1</v>
      </c>
      <c r="Y211" s="1"/>
      <c r="Z211" s="5">
        <f t="shared" si="92"/>
        <v>-1.3661015559896723E-5</v>
      </c>
    </row>
    <row r="212" spans="1:26" s="24" customFormat="1" hidden="1" outlineLevel="2" x14ac:dyDescent="0.25">
      <c r="A212" s="26"/>
      <c r="B212" s="11" t="str">
        <f>CONCATENATE("          ", "6273", " - ", "RENT")</f>
        <v xml:space="preserve">          6273 - RENT</v>
      </c>
      <c r="C212" s="11"/>
      <c r="D212" s="6">
        <v>6100</v>
      </c>
      <c r="E212" s="2"/>
      <c r="F212" s="7">
        <f t="shared" si="85"/>
        <v>1.8530552126306433E-2</v>
      </c>
      <c r="G212" s="2"/>
      <c r="H212" s="6">
        <v>6100</v>
      </c>
      <c r="I212" s="2"/>
      <c r="J212" s="7">
        <f t="shared" si="86"/>
        <v>9.0854929997021151E-3</v>
      </c>
      <c r="K212" s="2"/>
      <c r="L212" s="6">
        <f t="shared" si="87"/>
        <v>0</v>
      </c>
      <c r="M212" s="2"/>
      <c r="N212" s="7">
        <f t="shared" si="88"/>
        <v>0</v>
      </c>
      <c r="O212" s="11"/>
      <c r="P212" s="6">
        <v>73200</v>
      </c>
      <c r="Q212" s="2"/>
      <c r="R212" s="7">
        <f t="shared" si="89"/>
        <v>9.0246116508956985E-3</v>
      </c>
      <c r="S212" s="2"/>
      <c r="T212" s="6">
        <v>73201</v>
      </c>
      <c r="U212" s="2"/>
      <c r="V212" s="7">
        <f t="shared" si="90"/>
        <v>6.2794764635226595E-3</v>
      </c>
      <c r="W212" s="2"/>
      <c r="X212" s="6">
        <f t="shared" si="91"/>
        <v>-1</v>
      </c>
      <c r="Y212" s="2"/>
      <c r="Z212" s="7">
        <f t="shared" si="92"/>
        <v>-1.3661015559896723E-5</v>
      </c>
    </row>
    <row r="213" spans="1:26" s="27" customFormat="1" outlineLevel="1" collapsed="1" x14ac:dyDescent="0.25">
      <c r="A213" s="25"/>
      <c r="B213" s="13" t="str">
        <f>CONCATENATE("     ","Repair and Maintenance                            ")</f>
        <v xml:space="preserve">     Repair and Maintenance                            </v>
      </c>
      <c r="C213" s="13"/>
      <c r="D213" s="1">
        <f>SUM(OSRRefD22_16x_0)</f>
        <v>17581.3</v>
      </c>
      <c r="E213" s="1"/>
      <c r="F213" s="5">
        <f t="shared" si="85"/>
        <v>5.340839280298873E-2</v>
      </c>
      <c r="G213" s="1"/>
      <c r="H213" s="1">
        <f>SUM(OSRRefH22_16x_0)</f>
        <v>11960</v>
      </c>
      <c r="I213" s="1"/>
      <c r="J213" s="5">
        <f t="shared" si="86"/>
        <v>1.7813523979743819E-2</v>
      </c>
      <c r="K213" s="1"/>
      <c r="L213" s="1">
        <f t="shared" si="87"/>
        <v>5621.2999999999993</v>
      </c>
      <c r="M213" s="1"/>
      <c r="N213" s="5">
        <f t="shared" si="88"/>
        <v>0.47000836120401329</v>
      </c>
      <c r="O213" s="13"/>
      <c r="P213" s="1">
        <f>SUM(OSRRefP22_16x_0)</f>
        <v>161286.21000000002</v>
      </c>
      <c r="Q213" s="1"/>
      <c r="R213" s="5">
        <f t="shared" si="89"/>
        <v>1.9884500135175009E-2</v>
      </c>
      <c r="S213" s="1"/>
      <c r="T213" s="1">
        <f>SUM(OSRRefT22_16x_0)</f>
        <v>235825</v>
      </c>
      <c r="U213" s="1"/>
      <c r="V213" s="5">
        <f t="shared" si="90"/>
        <v>2.0230017855087105E-2</v>
      </c>
      <c r="W213" s="1"/>
      <c r="X213" s="1">
        <f t="shared" si="91"/>
        <v>-74538.789999999979</v>
      </c>
      <c r="Y213" s="1"/>
      <c r="Z213" s="5">
        <f t="shared" si="92"/>
        <v>-0.31607670942436117</v>
      </c>
    </row>
    <row r="214" spans="1:26" s="24" customFormat="1" hidden="1" outlineLevel="2" x14ac:dyDescent="0.25">
      <c r="A214" s="26"/>
      <c r="B214" s="11" t="str">
        <f>CONCATENATE("          ", "6371", " - ", "COMPUTER SOFTWARE MAINTENANCE")</f>
        <v xml:space="preserve">          6371 - COMPUTER SOFTWARE MAINTENANCE</v>
      </c>
      <c r="C214" s="11"/>
      <c r="D214" s="6"/>
      <c r="E214" s="2"/>
      <c r="F214" s="7">
        <f t="shared" si="85"/>
        <v>0</v>
      </c>
      <c r="G214" s="2"/>
      <c r="H214" s="6"/>
      <c r="I214" s="2"/>
      <c r="J214" s="7">
        <f t="shared" si="86"/>
        <v>0</v>
      </c>
      <c r="K214" s="2"/>
      <c r="L214" s="6">
        <f t="shared" si="87"/>
        <v>0</v>
      </c>
      <c r="M214" s="2"/>
      <c r="N214" s="7">
        <f t="shared" si="88"/>
        <v>0</v>
      </c>
      <c r="O214" s="11"/>
      <c r="P214" s="6">
        <v>61317.72</v>
      </c>
      <c r="Q214" s="2"/>
      <c r="R214" s="7">
        <f t="shared" si="89"/>
        <v>7.5596804688300582E-3</v>
      </c>
      <c r="S214" s="2"/>
      <c r="T214" s="6">
        <v>57000</v>
      </c>
      <c r="U214" s="2"/>
      <c r="V214" s="7">
        <f t="shared" si="90"/>
        <v>4.8896894635427329E-3</v>
      </c>
      <c r="W214" s="2"/>
      <c r="X214" s="6">
        <f t="shared" si="91"/>
        <v>4317.7200000000012</v>
      </c>
      <c r="Y214" s="2"/>
      <c r="Z214" s="7">
        <f t="shared" si="92"/>
        <v>7.5749473684210547E-2</v>
      </c>
    </row>
    <row r="215" spans="1:26" s="24" customFormat="1" hidden="1" outlineLevel="2" x14ac:dyDescent="0.25">
      <c r="A215" s="26"/>
      <c r="B215" s="11" t="str">
        <f>CONCATENATE("          ", "6372", " - ", "COMPUTER HARDWARE MAINTENANCE")</f>
        <v xml:space="preserve">          6372 - COMPUTER HARDWARE MAINTENANCE</v>
      </c>
      <c r="C215" s="11"/>
      <c r="D215" s="6"/>
      <c r="E215" s="2"/>
      <c r="F215" s="7">
        <f t="shared" si="85"/>
        <v>0</v>
      </c>
      <c r="G215" s="2"/>
      <c r="H215" s="6"/>
      <c r="I215" s="2"/>
      <c r="J215" s="7">
        <f t="shared" si="86"/>
        <v>0</v>
      </c>
      <c r="K215" s="2"/>
      <c r="L215" s="6">
        <f t="shared" si="87"/>
        <v>0</v>
      </c>
      <c r="M215" s="2"/>
      <c r="N215" s="7">
        <f t="shared" si="88"/>
        <v>0</v>
      </c>
      <c r="O215" s="11"/>
      <c r="P215" s="6">
        <v>-1.1499999999999999</v>
      </c>
      <c r="Q215" s="2"/>
      <c r="R215" s="7">
        <f t="shared" si="89"/>
        <v>-1.4178010107281493E-7</v>
      </c>
      <c r="S215" s="2"/>
      <c r="T215" s="6"/>
      <c r="U215" s="2"/>
      <c r="V215" s="7">
        <f t="shared" si="90"/>
        <v>0</v>
      </c>
      <c r="W215" s="2"/>
      <c r="X215" s="6">
        <f t="shared" si="91"/>
        <v>-1.1499999999999999</v>
      </c>
      <c r="Y215" s="2"/>
      <c r="Z215" s="7">
        <f t="shared" si="92"/>
        <v>0</v>
      </c>
    </row>
    <row r="216" spans="1:26" s="24" customFormat="1" hidden="1" outlineLevel="2" x14ac:dyDescent="0.25">
      <c r="A216" s="26"/>
      <c r="B216" s="11" t="str">
        <f>CONCATENATE("          ", "6373", " - ", "MAINTENANCE CONTRACTS")</f>
        <v xml:space="preserve">          6373 - MAINTENANCE CONTRACTS</v>
      </c>
      <c r="C216" s="11"/>
      <c r="D216" s="6">
        <v>2085.3200000000002</v>
      </c>
      <c r="E216" s="2"/>
      <c r="F216" s="7">
        <f t="shared" si="85"/>
        <v>6.3347755672179236E-3</v>
      </c>
      <c r="G216" s="2"/>
      <c r="H216" s="6">
        <v>3540</v>
      </c>
      <c r="I216" s="2"/>
      <c r="J216" s="7">
        <f t="shared" si="86"/>
        <v>5.2725647899910634E-3</v>
      </c>
      <c r="K216" s="2"/>
      <c r="L216" s="6">
        <f t="shared" si="87"/>
        <v>-1454.6799999999998</v>
      </c>
      <c r="M216" s="2"/>
      <c r="N216" s="7">
        <f t="shared" si="88"/>
        <v>-0.41092655367231634</v>
      </c>
      <c r="O216" s="11"/>
      <c r="P216" s="6">
        <v>51391.34</v>
      </c>
      <c r="Q216" s="2"/>
      <c r="R216" s="7">
        <f t="shared" si="89"/>
        <v>6.3358864169281714E-3</v>
      </c>
      <c r="S216" s="2"/>
      <c r="T216" s="6">
        <v>77480</v>
      </c>
      <c r="U216" s="2"/>
      <c r="V216" s="7">
        <f t="shared" si="90"/>
        <v>6.6465463093910689E-3</v>
      </c>
      <c r="W216" s="2"/>
      <c r="X216" s="6">
        <f t="shared" si="91"/>
        <v>-26088.660000000003</v>
      </c>
      <c r="Y216" s="2"/>
      <c r="Z216" s="7">
        <f t="shared" si="92"/>
        <v>-0.33671476510067117</v>
      </c>
    </row>
    <row r="217" spans="1:26" s="24" customFormat="1" hidden="1" outlineLevel="2" x14ac:dyDescent="0.25">
      <c r="A217" s="26"/>
      <c r="B217" s="11" t="str">
        <f>CONCATENATE("          ", "6375", " - ", "OUTSIDE REPAIRS &amp; MAINTENANCE")</f>
        <v xml:space="preserve">          6375 - OUTSIDE REPAIRS &amp; MAINTENANCE</v>
      </c>
      <c r="C217" s="11"/>
      <c r="D217" s="6">
        <v>15495.98</v>
      </c>
      <c r="E217" s="2"/>
      <c r="F217" s="7">
        <f t="shared" si="85"/>
        <v>4.7073617235770811E-2</v>
      </c>
      <c r="G217" s="2"/>
      <c r="H217" s="6">
        <v>8420</v>
      </c>
      <c r="I217" s="2"/>
      <c r="J217" s="7">
        <f t="shared" si="86"/>
        <v>1.2540959189752756E-2</v>
      </c>
      <c r="K217" s="2"/>
      <c r="L217" s="6">
        <f t="shared" si="87"/>
        <v>7075.98</v>
      </c>
      <c r="M217" s="2"/>
      <c r="N217" s="7">
        <f t="shared" si="88"/>
        <v>0.84037767220902604</v>
      </c>
      <c r="O217" s="11"/>
      <c r="P217" s="6">
        <v>48578.3</v>
      </c>
      <c r="Q217" s="2"/>
      <c r="R217" s="7">
        <f t="shared" si="89"/>
        <v>5.9890750295178491E-3</v>
      </c>
      <c r="S217" s="2"/>
      <c r="T217" s="6">
        <v>101345</v>
      </c>
      <c r="U217" s="2"/>
      <c r="V217" s="7">
        <f t="shared" si="90"/>
        <v>8.6937820821533021E-3</v>
      </c>
      <c r="W217" s="2"/>
      <c r="X217" s="6">
        <f t="shared" si="91"/>
        <v>-52766.7</v>
      </c>
      <c r="Y217" s="2"/>
      <c r="Z217" s="7">
        <f t="shared" si="92"/>
        <v>-0.52066406828161227</v>
      </c>
    </row>
    <row r="218" spans="1:26" s="27" customFormat="1" outlineLevel="1" collapsed="1" x14ac:dyDescent="0.25">
      <c r="A218" s="25"/>
      <c r="B218" s="13" t="str">
        <f>CONCATENATE("     ","Royalty &amp; Commissions                             ")</f>
        <v xml:space="preserve">     Royalty &amp; Commissions                             </v>
      </c>
      <c r="C218" s="13"/>
      <c r="D218" s="1">
        <f>SUM(OSRRefD22_17x_0)</f>
        <v>2549.25</v>
      </c>
      <c r="E218" s="1"/>
      <c r="F218" s="5">
        <f t="shared" ref="F218:F222" si="93">IF(D$12=0,0,D218/D$12)</f>
        <v>7.7441000013092906E-3</v>
      </c>
      <c r="G218" s="1"/>
      <c r="H218" s="1">
        <f>SUM(OSRRefH22_17x_0)</f>
        <v>7171</v>
      </c>
      <c r="I218" s="1"/>
      <c r="J218" s="5">
        <f t="shared" ref="J218:J222" si="94">IF(H$12=0,0,H218/H$12)</f>
        <v>1.0680667262436699E-2</v>
      </c>
      <c r="K218" s="1"/>
      <c r="L218" s="1">
        <f t="shared" ref="L218:L222" si="95">+D218-H218</f>
        <v>-4621.75</v>
      </c>
      <c r="M218" s="1"/>
      <c r="N218" s="5">
        <f t="shared" ref="N218:N222" si="96">IF(H218=0,0,L218/H218)</f>
        <v>-0.64450564774787333</v>
      </c>
      <c r="O218" s="13"/>
      <c r="P218" s="1">
        <f>SUM(OSRRefP22_17x_0)</f>
        <v>51336.18</v>
      </c>
      <c r="Q218" s="1"/>
      <c r="R218" s="5">
        <f t="shared" ref="R218:R222" si="97">IF(P$12=0,0,P218/P$12)</f>
        <v>6.3290859035584528E-3</v>
      </c>
      <c r="S218" s="1"/>
      <c r="T218" s="1">
        <f>SUM(OSRRefT22_17x_0)</f>
        <v>111402</v>
      </c>
      <c r="U218" s="1"/>
      <c r="V218" s="5">
        <f t="shared" ref="V218:V222" si="98">IF(T$12=0,0,T218/T$12)</f>
        <v>9.5565120283787278E-3</v>
      </c>
      <c r="W218" s="1"/>
      <c r="X218" s="1">
        <f t="shared" ref="X218:X222" si="99">+P218-T218</f>
        <v>-60065.82</v>
      </c>
      <c r="Y218" s="1"/>
      <c r="Z218" s="5">
        <f t="shared" ref="Z218:Z222" si="100">IF(T218=0,0,X218/T218)</f>
        <v>-0.53918080465341733</v>
      </c>
    </row>
    <row r="219" spans="1:26" s="24" customFormat="1" hidden="1" outlineLevel="2" x14ac:dyDescent="0.25">
      <c r="A219" s="26"/>
      <c r="B219" s="11" t="str">
        <f>CONCATENATE("          ", "6252", " - ", "ROYALTY DUE CSTV")</f>
        <v xml:space="preserve">          6252 - ROYALTY DUE CSTV</v>
      </c>
      <c r="C219" s="11"/>
      <c r="D219" s="6"/>
      <c r="E219" s="2"/>
      <c r="F219" s="7">
        <f t="shared" si="93"/>
        <v>0</v>
      </c>
      <c r="G219" s="2"/>
      <c r="H219" s="6">
        <v>1085</v>
      </c>
      <c r="I219" s="2"/>
      <c r="J219" s="7">
        <f t="shared" si="94"/>
        <v>1.6160262138814419E-3</v>
      </c>
      <c r="K219" s="2"/>
      <c r="L219" s="6">
        <f t="shared" si="95"/>
        <v>-1085</v>
      </c>
      <c r="M219" s="2"/>
      <c r="N219" s="7">
        <f t="shared" si="96"/>
        <v>-1</v>
      </c>
      <c r="O219" s="11"/>
      <c r="P219" s="6"/>
      <c r="Q219" s="2"/>
      <c r="R219" s="7">
        <f t="shared" si="97"/>
        <v>0</v>
      </c>
      <c r="S219" s="2"/>
      <c r="T219" s="6">
        <v>13020</v>
      </c>
      <c r="U219" s="2"/>
      <c r="V219" s="7">
        <f t="shared" si="98"/>
        <v>1.1169080143039716E-3</v>
      </c>
      <c r="W219" s="2"/>
      <c r="X219" s="6">
        <f t="shared" si="99"/>
        <v>-13020</v>
      </c>
      <c r="Y219" s="2"/>
      <c r="Z219" s="7">
        <f t="shared" si="100"/>
        <v>-1</v>
      </c>
    </row>
    <row r="220" spans="1:26" s="24" customFormat="1" hidden="1" outlineLevel="2" x14ac:dyDescent="0.25">
      <c r="A220" s="26"/>
      <c r="B220" s="11" t="str">
        <f>CONCATENATE("          ", "6253", " - ", "ROYALTY DUE ATHLETICS-LRG")</f>
        <v xml:space="preserve">          6253 - ROYALTY DUE ATHLETICS-LRG</v>
      </c>
      <c r="C220" s="11"/>
      <c r="D220" s="6"/>
      <c r="E220" s="2"/>
      <c r="F220" s="7">
        <f t="shared" si="93"/>
        <v>0</v>
      </c>
      <c r="G220" s="2"/>
      <c r="H220" s="6">
        <v>4037</v>
      </c>
      <c r="I220" s="2"/>
      <c r="J220" s="7">
        <f t="shared" si="94"/>
        <v>6.0128090557044983E-3</v>
      </c>
      <c r="K220" s="2"/>
      <c r="L220" s="6">
        <f t="shared" si="95"/>
        <v>-4037</v>
      </c>
      <c r="M220" s="2"/>
      <c r="N220" s="7">
        <f t="shared" si="96"/>
        <v>-1</v>
      </c>
      <c r="O220" s="11"/>
      <c r="P220" s="6">
        <v>35159.06</v>
      </c>
      <c r="Q220" s="2"/>
      <c r="R220" s="7">
        <f t="shared" si="97"/>
        <v>4.3346565916740562E-3</v>
      </c>
      <c r="S220" s="2"/>
      <c r="T220" s="6">
        <v>48444</v>
      </c>
      <c r="U220" s="2"/>
      <c r="V220" s="7">
        <f t="shared" si="98"/>
        <v>4.1557213398572658E-3</v>
      </c>
      <c r="W220" s="2"/>
      <c r="X220" s="6">
        <f t="shared" si="99"/>
        <v>-13284.940000000002</v>
      </c>
      <c r="Y220" s="2"/>
      <c r="Z220" s="7">
        <f t="shared" si="100"/>
        <v>-0.27423292874246558</v>
      </c>
    </row>
    <row r="221" spans="1:26" s="24" customFormat="1" hidden="1" outlineLevel="2" x14ac:dyDescent="0.25">
      <c r="A221" s="26"/>
      <c r="B221" s="11" t="str">
        <f>CONCATENATE("          ", "6254", " - ", "ROYALTY &amp; COMMISSIONS")</f>
        <v xml:space="preserve">          6254 - ROYALTY &amp; COMMISSIONS</v>
      </c>
      <c r="C221" s="11"/>
      <c r="D221" s="6"/>
      <c r="E221" s="2"/>
      <c r="F221" s="7">
        <f t="shared" si="93"/>
        <v>0</v>
      </c>
      <c r="G221" s="2"/>
      <c r="H221" s="6">
        <v>1149</v>
      </c>
      <c r="I221" s="2"/>
      <c r="J221" s="7">
        <f t="shared" si="94"/>
        <v>1.711349419124218E-3</v>
      </c>
      <c r="K221" s="2"/>
      <c r="L221" s="6">
        <f t="shared" si="95"/>
        <v>-1149</v>
      </c>
      <c r="M221" s="2"/>
      <c r="N221" s="7">
        <f t="shared" si="96"/>
        <v>-1</v>
      </c>
      <c r="O221" s="11"/>
      <c r="P221" s="6"/>
      <c r="Q221" s="2"/>
      <c r="R221" s="7">
        <f t="shared" si="97"/>
        <v>0</v>
      </c>
      <c r="S221" s="2"/>
      <c r="T221" s="6">
        <v>13788</v>
      </c>
      <c r="U221" s="2"/>
      <c r="V221" s="7">
        <f t="shared" si="98"/>
        <v>1.1827901460232841E-3</v>
      </c>
      <c r="W221" s="2"/>
      <c r="X221" s="6">
        <f t="shared" si="99"/>
        <v>-13788</v>
      </c>
      <c r="Y221" s="2"/>
      <c r="Z221" s="7">
        <f t="shared" si="100"/>
        <v>-1</v>
      </c>
    </row>
    <row r="222" spans="1:26" s="24" customFormat="1" hidden="1" outlineLevel="2" x14ac:dyDescent="0.25">
      <c r="A222" s="26"/>
      <c r="B222" s="11" t="str">
        <f>CONCATENATE("          ", "6259", " - ", "ROYALTY &amp; COMMISSIONS")</f>
        <v xml:space="preserve">          6259 - ROYALTY &amp; COMMISSIONS</v>
      </c>
      <c r="C222" s="11"/>
      <c r="D222" s="6">
        <v>2549.25</v>
      </c>
      <c r="E222" s="2"/>
      <c r="F222" s="7">
        <f t="shared" si="93"/>
        <v>7.7441000013092906E-3</v>
      </c>
      <c r="G222" s="2"/>
      <c r="H222" s="6">
        <v>900</v>
      </c>
      <c r="I222" s="2"/>
      <c r="J222" s="7">
        <f t="shared" si="94"/>
        <v>1.3404825737265416E-3</v>
      </c>
      <c r="K222" s="2"/>
      <c r="L222" s="6">
        <f t="shared" si="95"/>
        <v>1649.25</v>
      </c>
      <c r="M222" s="2"/>
      <c r="N222" s="7">
        <f t="shared" si="96"/>
        <v>1.8325</v>
      </c>
      <c r="O222" s="11"/>
      <c r="P222" s="6">
        <v>16177.12</v>
      </c>
      <c r="Q222" s="2"/>
      <c r="R222" s="7">
        <f t="shared" si="97"/>
        <v>1.9944293118843966E-3</v>
      </c>
      <c r="S222" s="2"/>
      <c r="T222" s="6">
        <v>36150</v>
      </c>
      <c r="U222" s="2"/>
      <c r="V222" s="7">
        <f t="shared" si="98"/>
        <v>3.1010925281942069E-3</v>
      </c>
      <c r="W222" s="2"/>
      <c r="X222" s="6">
        <f t="shared" si="99"/>
        <v>-19972.879999999997</v>
      </c>
      <c r="Y222" s="2"/>
      <c r="Z222" s="7">
        <f t="shared" si="100"/>
        <v>-0.55250013831258638</v>
      </c>
    </row>
    <row r="223" spans="1:26" s="27" customFormat="1" outlineLevel="1" collapsed="1" x14ac:dyDescent="0.25">
      <c r="A223" s="25"/>
      <c r="B223" s="13" t="str">
        <f>CONCATENATE("     ","Services                                          ")</f>
        <v xml:space="preserve">     Services                                          </v>
      </c>
      <c r="C223" s="13"/>
      <c r="D223" s="1">
        <f>SUM(OSRRefD22_18x_0)</f>
        <v>4588.32</v>
      </c>
      <c r="E223" s="1"/>
      <c r="F223" s="5">
        <f t="shared" ref="F223:F227" si="101">IF(D$12=0,0,D223/D$12)</f>
        <v>1.3938377529864644E-2</v>
      </c>
      <c r="G223" s="1"/>
      <c r="H223" s="1">
        <f>SUM(OSRRefH22_18x_0)</f>
        <v>4784</v>
      </c>
      <c r="I223" s="1"/>
      <c r="J223" s="5">
        <f t="shared" ref="J223:J227" si="102">IF(H$12=0,0,H223/H$12)</f>
        <v>7.1254095918975276E-3</v>
      </c>
      <c r="K223" s="1"/>
      <c r="L223" s="1">
        <f t="shared" ref="L223:L227" si="103">+D223-H223</f>
        <v>-195.68000000000029</v>
      </c>
      <c r="M223" s="1"/>
      <c r="N223" s="5">
        <f t="shared" ref="N223:N227" si="104">IF(H223=0,0,L223/H223)</f>
        <v>-4.0903010033444875E-2</v>
      </c>
      <c r="O223" s="13"/>
      <c r="P223" s="1">
        <f>SUM(OSRRefP22_18x_0)</f>
        <v>49029.62</v>
      </c>
      <c r="Q223" s="1"/>
      <c r="R223" s="5">
        <f t="shared" ref="R223:R227" si="105">IF(P$12=0,0,P223/P$12)</f>
        <v>6.0447169384014862E-3</v>
      </c>
      <c r="S223" s="1"/>
      <c r="T223" s="1">
        <f>SUM(OSRRefT22_18x_0)</f>
        <v>57119</v>
      </c>
      <c r="U223" s="1"/>
      <c r="V223" s="5">
        <f t="shared" ref="V223:V227" si="106">IF(T$12=0,0,T223/T$12)</f>
        <v>4.8998977625981993E-3</v>
      </c>
      <c r="W223" s="1"/>
      <c r="X223" s="1">
        <f t="shared" ref="X223:X227" si="107">+P223-T223</f>
        <v>-8089.3799999999974</v>
      </c>
      <c r="Y223" s="1"/>
      <c r="Z223" s="5">
        <f t="shared" ref="Z223:Z227" si="108">IF(T223=0,0,X223/T223)</f>
        <v>-0.1416232777184474</v>
      </c>
    </row>
    <row r="224" spans="1:26" s="24" customFormat="1" hidden="1" outlineLevel="2" x14ac:dyDescent="0.25">
      <c r="A224" s="26"/>
      <c r="B224" s="11" t="str">
        <f>CONCATENATE("          ", "6282", " - ", "JANITORIAL/EXTERMINATOR EXPENS")</f>
        <v xml:space="preserve">          6282 - JANITORIAL/EXTERMINATOR EXPENS</v>
      </c>
      <c r="C224" s="11"/>
      <c r="D224" s="6">
        <v>582</v>
      </c>
      <c r="E224" s="2"/>
      <c r="F224" s="7">
        <f t="shared" si="101"/>
        <v>1.7679969405754662E-3</v>
      </c>
      <c r="G224" s="2"/>
      <c r="H224" s="6">
        <v>4000</v>
      </c>
      <c r="I224" s="2"/>
      <c r="J224" s="7">
        <f t="shared" si="102"/>
        <v>5.9577003276735183E-3</v>
      </c>
      <c r="K224" s="2"/>
      <c r="L224" s="6">
        <f t="shared" si="103"/>
        <v>-3418</v>
      </c>
      <c r="M224" s="2"/>
      <c r="N224" s="7">
        <f t="shared" si="104"/>
        <v>-0.85450000000000004</v>
      </c>
      <c r="O224" s="11"/>
      <c r="P224" s="6">
        <v>8279.1200000000008</v>
      </c>
      <c r="Q224" s="2"/>
      <c r="R224" s="7">
        <f t="shared" si="105"/>
        <v>1.020708235125186E-3</v>
      </c>
      <c r="S224" s="2"/>
      <c r="T224" s="6">
        <v>48000</v>
      </c>
      <c r="U224" s="2"/>
      <c r="V224" s="7">
        <f t="shared" si="106"/>
        <v>4.1176332324570379E-3</v>
      </c>
      <c r="W224" s="2"/>
      <c r="X224" s="6">
        <f t="shared" si="107"/>
        <v>-39720.879999999997</v>
      </c>
      <c r="Y224" s="2"/>
      <c r="Z224" s="7">
        <f t="shared" si="108"/>
        <v>-0.82751833333333324</v>
      </c>
    </row>
    <row r="225" spans="1:26" s="24" customFormat="1" hidden="1" outlineLevel="2" x14ac:dyDescent="0.25">
      <c r="A225" s="26"/>
      <c r="B225" s="11" t="str">
        <f>CONCATENATE("          ", "6283", " - ", "PLANT SERVICE")</f>
        <v xml:space="preserve">          6283 - PLANT SERVICE</v>
      </c>
      <c r="C225" s="11"/>
      <c r="D225" s="6"/>
      <c r="E225" s="2"/>
      <c r="F225" s="7">
        <f t="shared" si="101"/>
        <v>0</v>
      </c>
      <c r="G225" s="2"/>
      <c r="H225" s="6">
        <v>0</v>
      </c>
      <c r="I225" s="2"/>
      <c r="J225" s="7">
        <f t="shared" si="102"/>
        <v>0</v>
      </c>
      <c r="K225" s="2"/>
      <c r="L225" s="6">
        <f t="shared" si="103"/>
        <v>0</v>
      </c>
      <c r="M225" s="2"/>
      <c r="N225" s="7">
        <f t="shared" si="104"/>
        <v>0</v>
      </c>
      <c r="O225" s="11"/>
      <c r="P225" s="6">
        <v>171.31</v>
      </c>
      <c r="Q225" s="2"/>
      <c r="R225" s="7">
        <f t="shared" si="105"/>
        <v>2.112030357807298E-5</v>
      </c>
      <c r="S225" s="2"/>
      <c r="T225" s="6">
        <v>0</v>
      </c>
      <c r="U225" s="2"/>
      <c r="V225" s="7">
        <f t="shared" si="106"/>
        <v>0</v>
      </c>
      <c r="W225" s="2"/>
      <c r="X225" s="6">
        <f t="shared" si="107"/>
        <v>171.31</v>
      </c>
      <c r="Y225" s="2"/>
      <c r="Z225" s="7">
        <f t="shared" si="108"/>
        <v>0</v>
      </c>
    </row>
    <row r="226" spans="1:26" s="24" customFormat="1" hidden="1" outlineLevel="2" x14ac:dyDescent="0.25">
      <c r="A226" s="26"/>
      <c r="B226" s="11" t="str">
        <f>CONCATENATE("          ", "6284", " - ", "TRASH REMOVAL EXPENSE")</f>
        <v xml:space="preserve">          6284 - TRASH REMOVAL EXPENSE</v>
      </c>
      <c r="C226" s="11"/>
      <c r="D226" s="6">
        <v>142.57</v>
      </c>
      <c r="E226" s="2"/>
      <c r="F226" s="7">
        <f t="shared" si="101"/>
        <v>4.3309849453237835E-4</v>
      </c>
      <c r="G226" s="2"/>
      <c r="H226" s="6">
        <v>110</v>
      </c>
      <c r="I226" s="2"/>
      <c r="J226" s="7">
        <f t="shared" si="102"/>
        <v>1.6383675901102175E-4</v>
      </c>
      <c r="K226" s="2"/>
      <c r="L226" s="6">
        <f t="shared" si="103"/>
        <v>32.569999999999993</v>
      </c>
      <c r="M226" s="2"/>
      <c r="N226" s="7">
        <f t="shared" si="104"/>
        <v>0.29609090909090902</v>
      </c>
      <c r="O226" s="11"/>
      <c r="P226" s="6">
        <v>1725.86</v>
      </c>
      <c r="Q226" s="2"/>
      <c r="R226" s="7">
        <f t="shared" si="105"/>
        <v>2.1277617846741597E-4</v>
      </c>
      <c r="S226" s="2"/>
      <c r="T226" s="6">
        <v>880</v>
      </c>
      <c r="U226" s="2"/>
      <c r="V226" s="7">
        <f t="shared" si="106"/>
        <v>7.5489942595045699E-5</v>
      </c>
      <c r="W226" s="2"/>
      <c r="X226" s="6">
        <f t="shared" si="107"/>
        <v>845.8599999999999</v>
      </c>
      <c r="Y226" s="2"/>
      <c r="Z226" s="7">
        <f t="shared" si="108"/>
        <v>0.96120454545454537</v>
      </c>
    </row>
    <row r="227" spans="1:26" s="24" customFormat="1" hidden="1" outlineLevel="2" x14ac:dyDescent="0.25">
      <c r="A227" s="26"/>
      <c r="B227" s="11" t="str">
        <f>CONCATENATE("          ", "6285", " - ", "JANITORIAL SERVICES")</f>
        <v xml:space="preserve">          6285 - JANITORIAL SERVICES</v>
      </c>
      <c r="C227" s="11"/>
      <c r="D227" s="6">
        <v>3863.75</v>
      </c>
      <c r="E227" s="2"/>
      <c r="F227" s="7">
        <f t="shared" si="101"/>
        <v>1.17372820947568E-2</v>
      </c>
      <c r="G227" s="2"/>
      <c r="H227" s="6">
        <v>674</v>
      </c>
      <c r="I227" s="2"/>
      <c r="J227" s="7">
        <f t="shared" si="102"/>
        <v>1.0038725052129878E-3</v>
      </c>
      <c r="K227" s="2"/>
      <c r="L227" s="6">
        <f t="shared" si="103"/>
        <v>3189.75</v>
      </c>
      <c r="M227" s="2"/>
      <c r="N227" s="7">
        <f t="shared" si="104"/>
        <v>4.7325667655786354</v>
      </c>
      <c r="O227" s="11"/>
      <c r="P227" s="6">
        <v>38853.33</v>
      </c>
      <c r="Q227" s="2"/>
      <c r="R227" s="7">
        <f t="shared" si="105"/>
        <v>4.7901122212308115E-3</v>
      </c>
      <c r="S227" s="2"/>
      <c r="T227" s="6">
        <v>8239</v>
      </c>
      <c r="U227" s="2"/>
      <c r="V227" s="7">
        <f t="shared" si="106"/>
        <v>7.0677458754611535E-4</v>
      </c>
      <c r="W227" s="2"/>
      <c r="X227" s="6">
        <f t="shared" si="107"/>
        <v>30614.33</v>
      </c>
      <c r="Y227" s="2"/>
      <c r="Z227" s="7">
        <f t="shared" si="108"/>
        <v>3.7157822551280497</v>
      </c>
    </row>
    <row r="228" spans="1:26" s="27" customFormat="1" outlineLevel="1" collapsed="1" x14ac:dyDescent="0.25">
      <c r="A228" s="25"/>
      <c r="B228" s="13" t="str">
        <f>CONCATENATE("     ","Subscriptions &amp; Dues                              ")</f>
        <v xml:space="preserve">     Subscriptions &amp; Dues                              </v>
      </c>
      <c r="C228" s="13"/>
      <c r="D228" s="1">
        <f>SUM(OSRRefD22_19x_0)</f>
        <v>694</v>
      </c>
      <c r="E228" s="1"/>
      <c r="F228" s="5">
        <f t="shared" ref="F228:F230" si="109">IF(D$12=0,0,D228/D$12)</f>
        <v>2.1082300287961746E-3</v>
      </c>
      <c r="G228" s="1"/>
      <c r="H228" s="1">
        <f>SUM(OSRRefH22_19x_0)</f>
        <v>1300</v>
      </c>
      <c r="I228" s="1"/>
      <c r="J228" s="5">
        <f t="shared" ref="J228:J230" si="110">IF(H$12=0,0,H228/H$12)</f>
        <v>1.9362526064938934E-3</v>
      </c>
      <c r="K228" s="1"/>
      <c r="L228" s="1">
        <f t="shared" ref="L228:L230" si="111">+D228-H228</f>
        <v>-606</v>
      </c>
      <c r="M228" s="1"/>
      <c r="N228" s="5">
        <f t="shared" ref="N228:N230" si="112">IF(H228=0,0,L228/H228)</f>
        <v>-0.46615384615384614</v>
      </c>
      <c r="O228" s="13"/>
      <c r="P228" s="1">
        <f>SUM(OSRRefP22_19x_0)</f>
        <v>8125.3499999999995</v>
      </c>
      <c r="Q228" s="1"/>
      <c r="R228" s="5">
        <f t="shared" ref="R228:R230" si="113">IF(P$12=0,0,P228/P$12)</f>
        <v>1.0017503863060842E-3</v>
      </c>
      <c r="S228" s="1"/>
      <c r="T228" s="1">
        <f>SUM(OSRRefT22_19x_0)</f>
        <v>16595</v>
      </c>
      <c r="U228" s="1"/>
      <c r="V228" s="5">
        <f t="shared" ref="V228:V230" si="114">IF(T$12=0,0,T228/T$12)</f>
        <v>1.4235859060963447E-3</v>
      </c>
      <c r="W228" s="1"/>
      <c r="X228" s="1">
        <f t="shared" ref="X228:X230" si="115">+P228-T228</f>
        <v>-8469.6500000000015</v>
      </c>
      <c r="Y228" s="1"/>
      <c r="Z228" s="5">
        <f t="shared" ref="Z228:Z230" si="116">IF(T228=0,0,X228/T228)</f>
        <v>-0.51037360650798447</v>
      </c>
    </row>
    <row r="229" spans="1:26" s="24" customFormat="1" hidden="1" outlineLevel="2" x14ac:dyDescent="0.25">
      <c r="A229" s="26"/>
      <c r="B229" s="11" t="str">
        <f>CONCATENATE("          ", "6258", " - ", "MEMBERSHIP DUES")</f>
        <v xml:space="preserve">          6258 - MEMBERSHIP DUES</v>
      </c>
      <c r="C229" s="11"/>
      <c r="D229" s="6">
        <v>609</v>
      </c>
      <c r="E229" s="2"/>
      <c r="F229" s="7">
        <f t="shared" si="109"/>
        <v>1.8500174172001011E-3</v>
      </c>
      <c r="G229" s="2"/>
      <c r="H229" s="6">
        <v>1300</v>
      </c>
      <c r="I229" s="2"/>
      <c r="J229" s="7">
        <f t="shared" si="110"/>
        <v>1.9362526064938934E-3</v>
      </c>
      <c r="K229" s="2"/>
      <c r="L229" s="6">
        <f t="shared" si="111"/>
        <v>-691</v>
      </c>
      <c r="M229" s="2"/>
      <c r="N229" s="7">
        <f t="shared" si="112"/>
        <v>-0.53153846153846152</v>
      </c>
      <c r="O229" s="11"/>
      <c r="P229" s="6">
        <v>3655.45</v>
      </c>
      <c r="Q229" s="2"/>
      <c r="R229" s="7">
        <f t="shared" si="113"/>
        <v>4.5066962649271421E-4</v>
      </c>
      <c r="S229" s="2"/>
      <c r="T229" s="6">
        <v>14795</v>
      </c>
      <c r="U229" s="2"/>
      <c r="V229" s="7">
        <f t="shared" si="114"/>
        <v>1.2691746598792058E-3</v>
      </c>
      <c r="W229" s="2"/>
      <c r="X229" s="6">
        <f t="shared" si="115"/>
        <v>-11139.55</v>
      </c>
      <c r="Y229" s="2"/>
      <c r="Z229" s="7">
        <f t="shared" si="116"/>
        <v>-0.75292666441365319</v>
      </c>
    </row>
    <row r="230" spans="1:26" s="24" customFormat="1" hidden="1" outlineLevel="2" x14ac:dyDescent="0.25">
      <c r="A230" s="26"/>
      <c r="B230" s="11" t="str">
        <f>CONCATENATE("          ", "6275", " - ", "SUBSCRIPTIONS")</f>
        <v xml:space="preserve">          6275 - SUBSCRIPTIONS</v>
      </c>
      <c r="C230" s="11"/>
      <c r="D230" s="6">
        <v>85</v>
      </c>
      <c r="E230" s="2"/>
      <c r="F230" s="7">
        <f t="shared" si="109"/>
        <v>2.5821261159607322E-4</v>
      </c>
      <c r="G230" s="2"/>
      <c r="H230" s="6">
        <v>0</v>
      </c>
      <c r="I230" s="2"/>
      <c r="J230" s="7">
        <f t="shared" si="110"/>
        <v>0</v>
      </c>
      <c r="K230" s="2"/>
      <c r="L230" s="6">
        <f t="shared" si="111"/>
        <v>85</v>
      </c>
      <c r="M230" s="2"/>
      <c r="N230" s="7">
        <f t="shared" si="112"/>
        <v>0</v>
      </c>
      <c r="O230" s="11"/>
      <c r="P230" s="6">
        <v>4469.8999999999996</v>
      </c>
      <c r="Q230" s="2"/>
      <c r="R230" s="7">
        <f t="shared" si="113"/>
        <v>5.5108075981337001E-4</v>
      </c>
      <c r="S230" s="2"/>
      <c r="T230" s="6">
        <v>1800</v>
      </c>
      <c r="U230" s="2"/>
      <c r="V230" s="7">
        <f t="shared" si="114"/>
        <v>1.5441124621713893E-4</v>
      </c>
      <c r="W230" s="2"/>
      <c r="X230" s="6">
        <f t="shared" si="115"/>
        <v>2669.8999999999996</v>
      </c>
      <c r="Y230" s="2"/>
      <c r="Z230" s="7">
        <f t="shared" si="116"/>
        <v>1.4832777777777775</v>
      </c>
    </row>
    <row r="231" spans="1:26" s="27" customFormat="1" outlineLevel="1" collapsed="1" x14ac:dyDescent="0.25">
      <c r="A231" s="25"/>
      <c r="B231" s="13" t="str">
        <f>CONCATENATE("     ","Supplies                                          ")</f>
        <v xml:space="preserve">     Supplies                                          </v>
      </c>
      <c r="C231" s="13"/>
      <c r="D231" s="1">
        <f>SUM(OSRRefD22_20x_0)</f>
        <v>14076.04</v>
      </c>
      <c r="E231" s="1"/>
      <c r="F231" s="5">
        <f t="shared" ref="F231:F240" si="117">IF(D$12=0,0,D231/D$12)</f>
        <v>4.2760129992126951E-2</v>
      </c>
      <c r="G231" s="1"/>
      <c r="H231" s="1">
        <f>SUM(OSRRefH22_20x_0)</f>
        <v>7430</v>
      </c>
      <c r="I231" s="1"/>
      <c r="J231" s="5">
        <f t="shared" ref="J231:J240" si="118">IF(H$12=0,0,H231/H$12)</f>
        <v>1.106642835865356E-2</v>
      </c>
      <c r="K231" s="1"/>
      <c r="L231" s="1">
        <f t="shared" ref="L231:L240" si="119">+D231-H231</f>
        <v>6646.0400000000009</v>
      </c>
      <c r="M231" s="1"/>
      <c r="N231" s="5">
        <f t="shared" ref="N231:N240" si="120">IF(H231=0,0,L231/H231)</f>
        <v>0.89448721399730835</v>
      </c>
      <c r="O231" s="13"/>
      <c r="P231" s="1">
        <f>SUM(OSRRefP22_20x_0)</f>
        <v>140007.10999999999</v>
      </c>
      <c r="Q231" s="1"/>
      <c r="R231" s="5">
        <f t="shared" ref="R231:R240" si="121">IF(P$12=0,0,P231/P$12)</f>
        <v>1.726106278844584E-2</v>
      </c>
      <c r="S231" s="1"/>
      <c r="T231" s="1">
        <f>SUM(OSRRefT22_20x_0)</f>
        <v>166790</v>
      </c>
      <c r="U231" s="1"/>
      <c r="V231" s="5">
        <f t="shared" ref="V231:V240" si="122">IF(T$12=0,0,T231/T$12)</f>
        <v>1.4307917642531445E-2</v>
      </c>
      <c r="W231" s="1"/>
      <c r="X231" s="1">
        <f t="shared" ref="X231:X240" si="123">+P231-T231</f>
        <v>-26782.890000000014</v>
      </c>
      <c r="Y231" s="1"/>
      <c r="Z231" s="5">
        <f t="shared" ref="Z231:Z240" si="124">IF(T231=0,0,X231/T231)</f>
        <v>-0.16057851190119321</v>
      </c>
    </row>
    <row r="232" spans="1:26" s="24" customFormat="1" hidden="1" outlineLevel="2" x14ac:dyDescent="0.25">
      <c r="A232" s="26"/>
      <c r="B232" s="11" t="str">
        <f>CONCATENATE("          ", "6234", " - ", "EXPENDABLE SUPPLIES &amp; EQUIPMEN")</f>
        <v xml:space="preserve">          6234 - EXPENDABLE SUPPLIES &amp; EQUIPMEN</v>
      </c>
      <c r="C232" s="11"/>
      <c r="D232" s="6"/>
      <c r="E232" s="2"/>
      <c r="F232" s="7">
        <f t="shared" si="117"/>
        <v>0</v>
      </c>
      <c r="G232" s="2"/>
      <c r="H232" s="6">
        <v>150</v>
      </c>
      <c r="I232" s="2"/>
      <c r="J232" s="7">
        <f t="shared" si="118"/>
        <v>2.2341376228775692E-4</v>
      </c>
      <c r="K232" s="2"/>
      <c r="L232" s="6">
        <f t="shared" si="119"/>
        <v>-150</v>
      </c>
      <c r="M232" s="2"/>
      <c r="N232" s="7">
        <f t="shared" si="120"/>
        <v>-1</v>
      </c>
      <c r="O232" s="11"/>
      <c r="P232" s="6">
        <v>1733.65</v>
      </c>
      <c r="Q232" s="2"/>
      <c r="R232" s="7">
        <f t="shared" si="121"/>
        <v>2.137365845433788E-4</v>
      </c>
      <c r="S232" s="2"/>
      <c r="T232" s="6">
        <v>1800</v>
      </c>
      <c r="U232" s="2"/>
      <c r="V232" s="7">
        <f t="shared" si="122"/>
        <v>1.5441124621713893E-4</v>
      </c>
      <c r="W232" s="2"/>
      <c r="X232" s="6">
        <f t="shared" si="123"/>
        <v>-66.349999999999909</v>
      </c>
      <c r="Y232" s="2"/>
      <c r="Z232" s="7">
        <f t="shared" si="124"/>
        <v>-3.686111111111106E-2</v>
      </c>
    </row>
    <row r="233" spans="1:26" s="24" customFormat="1" hidden="1" outlineLevel="2" x14ac:dyDescent="0.25">
      <c r="A233" s="26"/>
      <c r="B233" s="11" t="str">
        <f>CONCATENATE("          ", "6235", " - ", "COVID-19 EXPENSES")</f>
        <v xml:space="preserve">          6235 - COVID-19 EXPENSES</v>
      </c>
      <c r="C233" s="11"/>
      <c r="D233" s="6">
        <v>957.91</v>
      </c>
      <c r="E233" s="2"/>
      <c r="F233" s="7">
        <f t="shared" si="117"/>
        <v>2.9099346208705237E-3</v>
      </c>
      <c r="G233" s="2"/>
      <c r="H233" s="6">
        <v>500</v>
      </c>
      <c r="I233" s="2"/>
      <c r="J233" s="7">
        <f t="shared" si="118"/>
        <v>7.4471254095918979E-4</v>
      </c>
      <c r="K233" s="2"/>
      <c r="L233" s="6">
        <f t="shared" si="119"/>
        <v>457.90999999999997</v>
      </c>
      <c r="M233" s="2"/>
      <c r="N233" s="7">
        <f t="shared" si="120"/>
        <v>0.91581999999999997</v>
      </c>
      <c r="O233" s="11"/>
      <c r="P233" s="6">
        <v>45624.09</v>
      </c>
      <c r="Q233" s="2"/>
      <c r="R233" s="7">
        <f t="shared" si="121"/>
        <v>5.6248592100480044E-3</v>
      </c>
      <c r="S233" s="2"/>
      <c r="T233" s="6">
        <v>65600</v>
      </c>
      <c r="U233" s="2"/>
      <c r="V233" s="7">
        <f t="shared" si="122"/>
        <v>5.627432084357952E-3</v>
      </c>
      <c r="W233" s="2"/>
      <c r="X233" s="6">
        <f t="shared" si="123"/>
        <v>-19975.910000000003</v>
      </c>
      <c r="Y233" s="2"/>
      <c r="Z233" s="7">
        <f t="shared" si="124"/>
        <v>-0.30451082317073175</v>
      </c>
    </row>
    <row r="234" spans="1:26" s="24" customFormat="1" hidden="1" outlineLevel="2" x14ac:dyDescent="0.25">
      <c r="A234" s="26"/>
      <c r="B234" s="11" t="str">
        <f>CONCATENATE("          ", "6237", " - ", "JANITORIAL SUPPLIES")</f>
        <v xml:space="preserve">          6237 - JANITORIAL SUPPLIES</v>
      </c>
      <c r="C234" s="11"/>
      <c r="D234" s="6">
        <v>321.05</v>
      </c>
      <c r="E234" s="2"/>
      <c r="F234" s="7">
        <f t="shared" si="117"/>
        <v>9.7528422297552138E-4</v>
      </c>
      <c r="G234" s="2"/>
      <c r="H234" s="6">
        <v>270</v>
      </c>
      <c r="I234" s="2"/>
      <c r="J234" s="7">
        <f t="shared" si="118"/>
        <v>4.0214477211796245E-4</v>
      </c>
      <c r="K234" s="2"/>
      <c r="L234" s="6">
        <f t="shared" si="119"/>
        <v>51.050000000000011</v>
      </c>
      <c r="M234" s="2"/>
      <c r="N234" s="7">
        <f t="shared" si="120"/>
        <v>0.18907407407407412</v>
      </c>
      <c r="O234" s="11"/>
      <c r="P234" s="6">
        <v>4201.33</v>
      </c>
      <c r="Q234" s="2"/>
      <c r="R234" s="7">
        <f t="shared" si="121"/>
        <v>5.1796955829586924E-4</v>
      </c>
      <c r="S234" s="2"/>
      <c r="T234" s="6">
        <v>3220</v>
      </c>
      <c r="U234" s="2"/>
      <c r="V234" s="7">
        <f t="shared" si="122"/>
        <v>2.7622456267732633E-4</v>
      </c>
      <c r="W234" s="2"/>
      <c r="X234" s="6">
        <f t="shared" si="123"/>
        <v>981.32999999999993</v>
      </c>
      <c r="Y234" s="2"/>
      <c r="Z234" s="7">
        <f t="shared" si="124"/>
        <v>0.30476086956521736</v>
      </c>
    </row>
    <row r="235" spans="1:26" s="24" customFormat="1" hidden="1" outlineLevel="2" x14ac:dyDescent="0.25">
      <c r="A235" s="26"/>
      <c r="B235" s="11" t="str">
        <f>CONCATENATE("          ", "6241", " - ", "OFFICE EXPENSE")</f>
        <v xml:space="preserve">          6241 - OFFICE EXPENSE</v>
      </c>
      <c r="C235" s="11"/>
      <c r="D235" s="6">
        <v>1105.0899999999999</v>
      </c>
      <c r="E235" s="2"/>
      <c r="F235" s="7">
        <f t="shared" si="117"/>
        <v>3.3570373523377005E-3</v>
      </c>
      <c r="G235" s="2"/>
      <c r="H235" s="6">
        <v>435</v>
      </c>
      <c r="I235" s="2"/>
      <c r="J235" s="7">
        <f t="shared" si="118"/>
        <v>6.4789991063449507E-4</v>
      </c>
      <c r="K235" s="2"/>
      <c r="L235" s="6">
        <f t="shared" si="119"/>
        <v>670.08999999999992</v>
      </c>
      <c r="M235" s="2"/>
      <c r="N235" s="7">
        <f t="shared" si="120"/>
        <v>1.5404367816091953</v>
      </c>
      <c r="O235" s="11"/>
      <c r="P235" s="6">
        <v>13741.22</v>
      </c>
      <c r="Q235" s="2"/>
      <c r="R235" s="7">
        <f t="shared" si="121"/>
        <v>1.6941144004032922E-3</v>
      </c>
      <c r="S235" s="2"/>
      <c r="T235" s="6">
        <v>7520</v>
      </c>
      <c r="U235" s="2"/>
      <c r="V235" s="7">
        <f t="shared" si="122"/>
        <v>6.4509587308493599E-4</v>
      </c>
      <c r="W235" s="2"/>
      <c r="X235" s="6">
        <f t="shared" si="123"/>
        <v>6221.2199999999993</v>
      </c>
      <c r="Y235" s="2"/>
      <c r="Z235" s="7">
        <f t="shared" si="124"/>
        <v>0.82728989361702121</v>
      </c>
    </row>
    <row r="236" spans="1:26" s="24" customFormat="1" hidden="1" outlineLevel="2" x14ac:dyDescent="0.25">
      <c r="A236" s="26"/>
      <c r="B236" s="11" t="str">
        <f>CONCATENATE("          ", "6243", " - ", "PAPER SUPPLIES")</f>
        <v xml:space="preserve">          6243 - PAPER SUPPLIES</v>
      </c>
      <c r="C236" s="11"/>
      <c r="D236" s="6">
        <v>548.02</v>
      </c>
      <c r="E236" s="2"/>
      <c r="F236" s="7">
        <f t="shared" si="117"/>
        <v>1.6647726518456477E-3</v>
      </c>
      <c r="G236" s="2"/>
      <c r="H236" s="6">
        <v>1350</v>
      </c>
      <c r="I236" s="2"/>
      <c r="J236" s="7">
        <f t="shared" si="118"/>
        <v>2.0107238605898124E-3</v>
      </c>
      <c r="K236" s="2"/>
      <c r="L236" s="6">
        <f t="shared" si="119"/>
        <v>-801.98</v>
      </c>
      <c r="M236" s="2"/>
      <c r="N236" s="7">
        <f t="shared" si="120"/>
        <v>-0.59405925925925929</v>
      </c>
      <c r="O236" s="11"/>
      <c r="P236" s="6">
        <v>7230.6</v>
      </c>
      <c r="Q236" s="2"/>
      <c r="R236" s="7">
        <f t="shared" si="121"/>
        <v>8.9143930331921377E-4</v>
      </c>
      <c r="S236" s="2"/>
      <c r="T236" s="6">
        <v>28300</v>
      </c>
      <c r="U236" s="2"/>
      <c r="V236" s="7">
        <f t="shared" si="122"/>
        <v>2.4276879266361285E-3</v>
      </c>
      <c r="W236" s="2"/>
      <c r="X236" s="6">
        <f t="shared" si="123"/>
        <v>-21069.4</v>
      </c>
      <c r="Y236" s="2"/>
      <c r="Z236" s="7">
        <f t="shared" si="124"/>
        <v>-0.74450176678445235</v>
      </c>
    </row>
    <row r="237" spans="1:26" s="24" customFormat="1" hidden="1" outlineLevel="2" x14ac:dyDescent="0.25">
      <c r="A237" s="26"/>
      <c r="B237" s="11" t="str">
        <f>CONCATENATE("          ", "6244", " - ", "SAFETY SUPPLY EXPENSE")</f>
        <v xml:space="preserve">          6244 - SAFETY SUPPLY EXPENSE</v>
      </c>
      <c r="C237" s="11"/>
      <c r="D237" s="6"/>
      <c r="E237" s="2"/>
      <c r="F237" s="7">
        <f t="shared" si="117"/>
        <v>0</v>
      </c>
      <c r="G237" s="2"/>
      <c r="H237" s="6">
        <v>0</v>
      </c>
      <c r="I237" s="2"/>
      <c r="J237" s="7">
        <f t="shared" si="118"/>
        <v>0</v>
      </c>
      <c r="K237" s="2"/>
      <c r="L237" s="6">
        <f t="shared" si="119"/>
        <v>0</v>
      </c>
      <c r="M237" s="2"/>
      <c r="N237" s="7">
        <f t="shared" si="120"/>
        <v>0</v>
      </c>
      <c r="O237" s="11"/>
      <c r="P237" s="6"/>
      <c r="Q237" s="2"/>
      <c r="R237" s="7">
        <f t="shared" si="121"/>
        <v>0</v>
      </c>
      <c r="S237" s="2"/>
      <c r="T237" s="6">
        <v>100</v>
      </c>
      <c r="U237" s="2"/>
      <c r="V237" s="7">
        <f t="shared" si="122"/>
        <v>8.5784025676188291E-6</v>
      </c>
      <c r="W237" s="2"/>
      <c r="X237" s="6">
        <f t="shared" si="123"/>
        <v>-100</v>
      </c>
      <c r="Y237" s="2"/>
      <c r="Z237" s="7">
        <f t="shared" si="124"/>
        <v>-1</v>
      </c>
    </row>
    <row r="238" spans="1:26" s="24" customFormat="1" hidden="1" outlineLevel="2" x14ac:dyDescent="0.25">
      <c r="A238" s="26"/>
      <c r="B238" s="11" t="str">
        <f>CONCATENATE("          ", "6245", " - ", "PRINTING")</f>
        <v xml:space="preserve">          6245 - PRINTING</v>
      </c>
      <c r="C238" s="11"/>
      <c r="D238" s="6">
        <v>2921.89</v>
      </c>
      <c r="E238" s="2"/>
      <c r="F238" s="7">
        <f t="shared" si="117"/>
        <v>8.8761040905464758E-3</v>
      </c>
      <c r="G238" s="2"/>
      <c r="H238" s="6">
        <v>350</v>
      </c>
      <c r="I238" s="2"/>
      <c r="J238" s="7">
        <f t="shared" si="118"/>
        <v>5.2129877867143279E-4</v>
      </c>
      <c r="K238" s="2"/>
      <c r="L238" s="6">
        <f t="shared" si="119"/>
        <v>2571.89</v>
      </c>
      <c r="M238" s="2"/>
      <c r="N238" s="7">
        <f t="shared" si="120"/>
        <v>7.3482571428571424</v>
      </c>
      <c r="O238" s="11"/>
      <c r="P238" s="6">
        <v>12006.27</v>
      </c>
      <c r="Q238" s="2"/>
      <c r="R238" s="7">
        <f t="shared" si="121"/>
        <v>1.480217542702179E-3</v>
      </c>
      <c r="S238" s="2"/>
      <c r="T238" s="6">
        <v>5700</v>
      </c>
      <c r="U238" s="2"/>
      <c r="V238" s="7">
        <f t="shared" si="122"/>
        <v>4.8896894635427326E-4</v>
      </c>
      <c r="W238" s="2"/>
      <c r="X238" s="6">
        <f t="shared" si="123"/>
        <v>6306.27</v>
      </c>
      <c r="Y238" s="2"/>
      <c r="Z238" s="7">
        <f t="shared" si="124"/>
        <v>1.1063631578947368</v>
      </c>
    </row>
    <row r="239" spans="1:26" s="24" customFormat="1" hidden="1" outlineLevel="2" x14ac:dyDescent="0.25">
      <c r="A239" s="26"/>
      <c r="B239" s="11" t="str">
        <f>CONCATENATE("          ", "6247", " - ", "STORE SUPPLIES")</f>
        <v xml:space="preserve">          6247 - STORE SUPPLIES</v>
      </c>
      <c r="C239" s="11"/>
      <c r="D239" s="6">
        <v>8222.08</v>
      </c>
      <c r="E239" s="2"/>
      <c r="F239" s="7">
        <f t="shared" si="117"/>
        <v>2.4976997053551081E-2</v>
      </c>
      <c r="G239" s="2"/>
      <c r="H239" s="6">
        <v>2875</v>
      </c>
      <c r="I239" s="2"/>
      <c r="J239" s="7">
        <f t="shared" si="118"/>
        <v>4.2820971105153411E-3</v>
      </c>
      <c r="K239" s="2"/>
      <c r="L239" s="6">
        <f t="shared" si="119"/>
        <v>5347.08</v>
      </c>
      <c r="M239" s="2"/>
      <c r="N239" s="7">
        <f t="shared" si="120"/>
        <v>1.8598539130434781</v>
      </c>
      <c r="O239" s="11"/>
      <c r="P239" s="6">
        <v>55469.95</v>
      </c>
      <c r="Q239" s="2"/>
      <c r="R239" s="7">
        <f t="shared" si="121"/>
        <v>6.8387261891339054E-3</v>
      </c>
      <c r="S239" s="2"/>
      <c r="T239" s="6">
        <v>36350</v>
      </c>
      <c r="U239" s="2"/>
      <c r="V239" s="7">
        <f t="shared" si="122"/>
        <v>3.1182493333294444E-3</v>
      </c>
      <c r="W239" s="2"/>
      <c r="X239" s="6">
        <f t="shared" si="123"/>
        <v>19119.949999999997</v>
      </c>
      <c r="Y239" s="2"/>
      <c r="Z239" s="7">
        <f t="shared" si="124"/>
        <v>0.52599587345254462</v>
      </c>
    </row>
    <row r="240" spans="1:26" s="24" customFormat="1" hidden="1" outlineLevel="2" x14ac:dyDescent="0.25">
      <c r="A240" s="26"/>
      <c r="B240" s="11" t="str">
        <f>CONCATENATE("          ", "6248", " - ", "UNIFORMS")</f>
        <v xml:space="preserve">          6248 - UNIFORMS</v>
      </c>
      <c r="C240" s="11"/>
      <c r="D240" s="6"/>
      <c r="E240" s="2"/>
      <c r="F240" s="7">
        <f t="shared" si="117"/>
        <v>0</v>
      </c>
      <c r="G240" s="2"/>
      <c r="H240" s="6">
        <v>1500</v>
      </c>
      <c r="I240" s="2"/>
      <c r="J240" s="7">
        <f t="shared" si="118"/>
        <v>2.2341376228775692E-3</v>
      </c>
      <c r="K240" s="2"/>
      <c r="L240" s="6">
        <f t="shared" si="119"/>
        <v>-1500</v>
      </c>
      <c r="M240" s="2"/>
      <c r="N240" s="7">
        <f t="shared" si="120"/>
        <v>-1</v>
      </c>
      <c r="O240" s="11"/>
      <c r="P240" s="6"/>
      <c r="Q240" s="2"/>
      <c r="R240" s="7">
        <f t="shared" si="121"/>
        <v>0</v>
      </c>
      <c r="S240" s="2"/>
      <c r="T240" s="6">
        <v>18200</v>
      </c>
      <c r="U240" s="2"/>
      <c r="V240" s="7">
        <f t="shared" si="122"/>
        <v>1.561269267306627E-3</v>
      </c>
      <c r="W240" s="2"/>
      <c r="X240" s="6">
        <f t="shared" si="123"/>
        <v>-18200</v>
      </c>
      <c r="Y240" s="2"/>
      <c r="Z240" s="7">
        <f t="shared" si="124"/>
        <v>-1</v>
      </c>
    </row>
    <row r="241" spans="1:26" s="27" customFormat="1" outlineLevel="1" collapsed="1" x14ac:dyDescent="0.25">
      <c r="A241" s="25"/>
      <c r="B241" s="13" t="str">
        <f>CONCATENATE("     ","Telephone/Data Lines                              ")</f>
        <v xml:space="preserve">     Telephone/Data Lines                              </v>
      </c>
      <c r="C241" s="13"/>
      <c r="D241" s="1">
        <f>SUM(OSRRefD22_21x_0)</f>
        <v>2918.02</v>
      </c>
      <c r="E241" s="1"/>
      <c r="F241" s="5">
        <f t="shared" ref="F241:F243" si="125">IF(D$12=0,0,D241/D$12)</f>
        <v>8.8643478222302785E-3</v>
      </c>
      <c r="G241" s="1"/>
      <c r="H241" s="1">
        <f>SUM(OSRRefH22_21x_0)</f>
        <v>2545</v>
      </c>
      <c r="I241" s="1"/>
      <c r="J241" s="5">
        <f t="shared" ref="J241:J243" si="126">IF(H$12=0,0,H241/H$12)</f>
        <v>3.7905868334822757E-3</v>
      </c>
      <c r="K241" s="1"/>
      <c r="L241" s="1">
        <f t="shared" ref="L241:L243" si="127">+D241-H241</f>
        <v>373.02</v>
      </c>
      <c r="M241" s="1"/>
      <c r="N241" s="5">
        <f t="shared" ref="N241:N243" si="128">IF(H241=0,0,L241/H241)</f>
        <v>0.1465697445972495</v>
      </c>
      <c r="O241" s="13"/>
      <c r="P241" s="1">
        <f>SUM(OSRRefP22_21x_0)</f>
        <v>29861.55</v>
      </c>
      <c r="Q241" s="1"/>
      <c r="R241" s="5">
        <f t="shared" ref="R241:R243" si="129">IF(P$12=0,0,P241/P$12)</f>
        <v>3.6815422410355798E-3</v>
      </c>
      <c r="S241" s="1"/>
      <c r="T241" s="1">
        <f>SUM(OSRRefT22_21x_0)</f>
        <v>32850</v>
      </c>
      <c r="U241" s="1"/>
      <c r="V241" s="5">
        <f t="shared" ref="V241:V243" si="130">IF(T$12=0,0,T241/T$12)</f>
        <v>2.8180052434627853E-3</v>
      </c>
      <c r="W241" s="1"/>
      <c r="X241" s="1">
        <f t="shared" ref="X241:X243" si="131">+P241-T241</f>
        <v>-2988.4500000000007</v>
      </c>
      <c r="Y241" s="1"/>
      <c r="Z241" s="5">
        <f t="shared" ref="Z241:Z243" si="132">IF(T241=0,0,X241/T241)</f>
        <v>-9.0972602739726044E-2</v>
      </c>
    </row>
    <row r="242" spans="1:26" s="24" customFormat="1" hidden="1" outlineLevel="2" x14ac:dyDescent="0.25">
      <c r="A242" s="26"/>
      <c r="B242" s="11" t="str">
        <f>CONCATENATE("          ", "6303", " - ", "DATA PHONE LINES")</f>
        <v xml:space="preserve">          6303 - DATA PHONE LINES</v>
      </c>
      <c r="C242" s="11"/>
      <c r="D242" s="6"/>
      <c r="E242" s="2"/>
      <c r="F242" s="7">
        <f t="shared" si="125"/>
        <v>0</v>
      </c>
      <c r="G242" s="2"/>
      <c r="H242" s="6">
        <v>630</v>
      </c>
      <c r="I242" s="2"/>
      <c r="J242" s="7">
        <f t="shared" si="126"/>
        <v>9.3833780160857913E-4</v>
      </c>
      <c r="K242" s="2"/>
      <c r="L242" s="6">
        <f t="shared" si="127"/>
        <v>-630</v>
      </c>
      <c r="M242" s="2"/>
      <c r="N242" s="7">
        <f t="shared" si="128"/>
        <v>-1</v>
      </c>
      <c r="O242" s="11"/>
      <c r="P242" s="6">
        <v>3540</v>
      </c>
      <c r="Q242" s="2"/>
      <c r="R242" s="7">
        <f t="shared" si="129"/>
        <v>4.3643613721544772E-4</v>
      </c>
      <c r="S242" s="2"/>
      <c r="T242" s="6">
        <v>7560</v>
      </c>
      <c r="U242" s="2"/>
      <c r="V242" s="7">
        <f t="shared" si="130"/>
        <v>6.4852723411198347E-4</v>
      </c>
      <c r="W242" s="2"/>
      <c r="X242" s="6">
        <f t="shared" si="131"/>
        <v>-4020</v>
      </c>
      <c r="Y242" s="2"/>
      <c r="Z242" s="7">
        <f t="shared" si="132"/>
        <v>-0.53174603174603174</v>
      </c>
    </row>
    <row r="243" spans="1:26" s="24" customFormat="1" hidden="1" outlineLevel="2" x14ac:dyDescent="0.25">
      <c r="A243" s="26"/>
      <c r="B243" s="11" t="str">
        <f>CONCATENATE("          ", "6309", " - ", "TELEPHONE")</f>
        <v xml:space="preserve">          6309 - TELEPHONE</v>
      </c>
      <c r="C243" s="11"/>
      <c r="D243" s="6">
        <v>2918.02</v>
      </c>
      <c r="E243" s="2"/>
      <c r="F243" s="7">
        <f t="shared" si="125"/>
        <v>8.8643478222302785E-3</v>
      </c>
      <c r="G243" s="2"/>
      <c r="H243" s="6">
        <v>1915</v>
      </c>
      <c r="I243" s="2"/>
      <c r="J243" s="7">
        <f t="shared" si="126"/>
        <v>2.8522490318736967E-3</v>
      </c>
      <c r="K243" s="2"/>
      <c r="L243" s="6">
        <f t="shared" si="127"/>
        <v>1003.02</v>
      </c>
      <c r="M243" s="2"/>
      <c r="N243" s="7">
        <f t="shared" si="128"/>
        <v>0.52377023498694519</v>
      </c>
      <c r="O243" s="11"/>
      <c r="P243" s="6">
        <v>26321.55</v>
      </c>
      <c r="Q243" s="2"/>
      <c r="R243" s="7">
        <f t="shared" si="129"/>
        <v>3.2451061038201324E-3</v>
      </c>
      <c r="S243" s="2"/>
      <c r="T243" s="6">
        <v>25290</v>
      </c>
      <c r="U243" s="2"/>
      <c r="V243" s="7">
        <f t="shared" si="130"/>
        <v>2.1694780093508021E-3</v>
      </c>
      <c r="W243" s="2"/>
      <c r="X243" s="6">
        <f t="shared" si="131"/>
        <v>1031.5499999999993</v>
      </c>
      <c r="Y243" s="2"/>
      <c r="Z243" s="7">
        <f t="shared" si="132"/>
        <v>4.0788849347568178E-2</v>
      </c>
    </row>
    <row r="244" spans="1:26" s="27" customFormat="1" outlineLevel="1" collapsed="1" x14ac:dyDescent="0.25">
      <c r="A244" s="25"/>
      <c r="B244" s="13" t="str">
        <f>CONCATENATE("     ","Training                                          ")</f>
        <v xml:space="preserve">     Training                                          </v>
      </c>
      <c r="C244" s="13"/>
      <c r="D244" s="1">
        <f>SUM(OSRRefD22_22x_0)</f>
        <v>0</v>
      </c>
      <c r="E244" s="1"/>
      <c r="F244" s="5">
        <f t="shared" ref="F244:F249" si="133">IF(D$12=0,0,D244/D$12)</f>
        <v>0</v>
      </c>
      <c r="G244" s="1"/>
      <c r="H244" s="1">
        <f>SUM(OSRRefH22_22x_0)</f>
        <v>0</v>
      </c>
      <c r="I244" s="1"/>
      <c r="J244" s="5">
        <f t="shared" ref="J244:J249" si="134">IF(H$12=0,0,H244/H$12)</f>
        <v>0</v>
      </c>
      <c r="K244" s="1"/>
      <c r="L244" s="1">
        <f t="shared" ref="L244:L249" si="135">+D244-H244</f>
        <v>0</v>
      </c>
      <c r="M244" s="1"/>
      <c r="N244" s="5">
        <f t="shared" ref="N244:N249" si="136">IF(H244=0,0,L244/H244)</f>
        <v>0</v>
      </c>
      <c r="O244" s="13"/>
      <c r="P244" s="1">
        <f>SUM(OSRRefP22_22x_0)</f>
        <v>995.63</v>
      </c>
      <c r="Q244" s="1"/>
      <c r="R244" s="5">
        <f t="shared" ref="R244:R249" si="137">IF(P$12=0,0,P244/P$12)</f>
        <v>1.2274828002706675E-4</v>
      </c>
      <c r="S244" s="1"/>
      <c r="T244" s="1">
        <f>SUM(OSRRefT22_22x_0)</f>
        <v>14470</v>
      </c>
      <c r="U244" s="1"/>
      <c r="V244" s="5">
        <f t="shared" ref="V244:V249" si="138">IF(T$12=0,0,T244/T$12)</f>
        <v>1.2412948515344445E-3</v>
      </c>
      <c r="W244" s="1"/>
      <c r="X244" s="1">
        <f t="shared" ref="X244:X249" si="139">+P244-T244</f>
        <v>-13474.37</v>
      </c>
      <c r="Y244" s="1"/>
      <c r="Z244" s="5">
        <f t="shared" ref="Z244:Z249" si="140">IF(T244=0,0,X244/T244)</f>
        <v>-0.93119350380096755</v>
      </c>
    </row>
    <row r="245" spans="1:26" s="24" customFormat="1" hidden="1" outlineLevel="2" x14ac:dyDescent="0.25">
      <c r="A245" s="26"/>
      <c r="B245" s="11" t="str">
        <f>CONCATENATE("          ", "6376", " - ", "TRAINING")</f>
        <v xml:space="preserve">          6376 - TRAINING</v>
      </c>
      <c r="C245" s="11"/>
      <c r="D245" s="6"/>
      <c r="E245" s="2"/>
      <c r="F245" s="7">
        <f t="shared" si="133"/>
        <v>0</v>
      </c>
      <c r="G245" s="2"/>
      <c r="H245" s="6">
        <v>0</v>
      </c>
      <c r="I245" s="2"/>
      <c r="J245" s="7">
        <f t="shared" si="134"/>
        <v>0</v>
      </c>
      <c r="K245" s="2"/>
      <c r="L245" s="6">
        <f t="shared" si="135"/>
        <v>0</v>
      </c>
      <c r="M245" s="2"/>
      <c r="N245" s="7">
        <f t="shared" si="136"/>
        <v>0</v>
      </c>
      <c r="O245" s="11"/>
      <c r="P245" s="6">
        <v>995.63</v>
      </c>
      <c r="Q245" s="2"/>
      <c r="R245" s="7">
        <f t="shared" si="137"/>
        <v>1.2274828002706675E-4</v>
      </c>
      <c r="S245" s="2"/>
      <c r="T245" s="6">
        <v>14470</v>
      </c>
      <c r="U245" s="2"/>
      <c r="V245" s="7">
        <f t="shared" si="138"/>
        <v>1.2412948515344445E-3</v>
      </c>
      <c r="W245" s="2"/>
      <c r="X245" s="6">
        <f t="shared" si="139"/>
        <v>-13474.37</v>
      </c>
      <c r="Y245" s="2"/>
      <c r="Z245" s="7">
        <f t="shared" si="140"/>
        <v>-0.93119350380096755</v>
      </c>
    </row>
    <row r="246" spans="1:26" s="27" customFormat="1" outlineLevel="1" collapsed="1" x14ac:dyDescent="0.25">
      <c r="A246" s="25"/>
      <c r="B246" s="13" t="str">
        <f>CONCATENATE("     ","Travel                                            ")</f>
        <v xml:space="preserve">     Travel                                            </v>
      </c>
      <c r="C246" s="13"/>
      <c r="D246" s="1">
        <f>SUM(OSRRefD22_23x_0)</f>
        <v>67.62</v>
      </c>
      <c r="E246" s="1"/>
      <c r="F246" s="5">
        <f t="shared" si="133"/>
        <v>2.0541572701325263E-4</v>
      </c>
      <c r="G246" s="1"/>
      <c r="H246" s="1">
        <f>SUM(OSRRefH22_23x_0)</f>
        <v>50</v>
      </c>
      <c r="I246" s="1"/>
      <c r="J246" s="5">
        <f t="shared" si="134"/>
        <v>7.4471254095918974E-5</v>
      </c>
      <c r="K246" s="1"/>
      <c r="L246" s="1">
        <f t="shared" si="135"/>
        <v>17.620000000000005</v>
      </c>
      <c r="M246" s="1"/>
      <c r="N246" s="5">
        <f t="shared" si="136"/>
        <v>0.3524000000000001</v>
      </c>
      <c r="O246" s="13"/>
      <c r="P246" s="1">
        <f>SUM(OSRRefP22_23x_0)</f>
        <v>1040.0200000000002</v>
      </c>
      <c r="Q246" s="1"/>
      <c r="R246" s="5">
        <f t="shared" si="137"/>
        <v>1.2822099192847741E-4</v>
      </c>
      <c r="S246" s="1"/>
      <c r="T246" s="1">
        <f>SUM(OSRRefT22_23x_0)</f>
        <v>800</v>
      </c>
      <c r="U246" s="1"/>
      <c r="V246" s="5">
        <f t="shared" si="138"/>
        <v>6.8627220540950633E-5</v>
      </c>
      <c r="W246" s="1"/>
      <c r="X246" s="1">
        <f t="shared" si="139"/>
        <v>240.02000000000021</v>
      </c>
      <c r="Y246" s="1"/>
      <c r="Z246" s="5">
        <f t="shared" si="140"/>
        <v>0.30002500000000026</v>
      </c>
    </row>
    <row r="247" spans="1:26" s="24" customFormat="1" hidden="1" outlineLevel="2" x14ac:dyDescent="0.25">
      <c r="A247" s="26"/>
      <c r="B247" s="11" t="str">
        <f>CONCATENATE("          ", "6292", " - ", "TRAVEL/CONFERENCE")</f>
        <v xml:space="preserve">          6292 - TRAVEL/CONFERENCE</v>
      </c>
      <c r="C247" s="11"/>
      <c r="D247" s="6"/>
      <c r="E247" s="2"/>
      <c r="F247" s="7">
        <f t="shared" si="133"/>
        <v>0</v>
      </c>
      <c r="G247" s="2"/>
      <c r="H247" s="6"/>
      <c r="I247" s="2"/>
      <c r="J247" s="7">
        <f t="shared" si="134"/>
        <v>0</v>
      </c>
      <c r="K247" s="2"/>
      <c r="L247" s="6">
        <f t="shared" si="135"/>
        <v>0</v>
      </c>
      <c r="M247" s="2"/>
      <c r="N247" s="7">
        <f t="shared" si="136"/>
        <v>0</v>
      </c>
      <c r="O247" s="11"/>
      <c r="P247" s="6">
        <v>299.16000000000003</v>
      </c>
      <c r="Q247" s="2"/>
      <c r="R247" s="7">
        <f t="shared" si="137"/>
        <v>3.6882552206037668E-5</v>
      </c>
      <c r="S247" s="2"/>
      <c r="T247" s="6">
        <v>0</v>
      </c>
      <c r="U247" s="2"/>
      <c r="V247" s="7">
        <f t="shared" si="138"/>
        <v>0</v>
      </c>
      <c r="W247" s="2"/>
      <c r="X247" s="6">
        <f t="shared" si="139"/>
        <v>299.16000000000003</v>
      </c>
      <c r="Y247" s="2"/>
      <c r="Z247" s="7">
        <f t="shared" si="140"/>
        <v>0</v>
      </c>
    </row>
    <row r="248" spans="1:26" s="24" customFormat="1" hidden="1" outlineLevel="2" x14ac:dyDescent="0.25">
      <c r="A248" s="26"/>
      <c r="B248" s="11" t="str">
        <f>CONCATENATE("          ", "6294", " - ", "TRAVEL OPERATIONAL")</f>
        <v xml:space="preserve">          6294 - TRAVEL OPERATIONAL</v>
      </c>
      <c r="C248" s="11"/>
      <c r="D248" s="6">
        <v>67.62</v>
      </c>
      <c r="E248" s="2"/>
      <c r="F248" s="7">
        <f t="shared" si="133"/>
        <v>2.0541572701325263E-4</v>
      </c>
      <c r="G248" s="2"/>
      <c r="H248" s="6">
        <v>25</v>
      </c>
      <c r="I248" s="2"/>
      <c r="J248" s="7">
        <f t="shared" si="134"/>
        <v>3.7235627047959487E-5</v>
      </c>
      <c r="K248" s="2"/>
      <c r="L248" s="6">
        <f t="shared" si="135"/>
        <v>42.620000000000005</v>
      </c>
      <c r="M248" s="2"/>
      <c r="N248" s="7">
        <f t="shared" si="136"/>
        <v>1.7048000000000001</v>
      </c>
      <c r="O248" s="11"/>
      <c r="P248" s="6">
        <v>680.97</v>
      </c>
      <c r="Q248" s="2"/>
      <c r="R248" s="7">
        <f t="shared" si="137"/>
        <v>8.3954778632656346E-5</v>
      </c>
      <c r="S248" s="2"/>
      <c r="T248" s="6">
        <v>300</v>
      </c>
      <c r="U248" s="2"/>
      <c r="V248" s="7">
        <f t="shared" si="138"/>
        <v>2.5735207702856487E-5</v>
      </c>
      <c r="W248" s="2"/>
      <c r="X248" s="6">
        <f t="shared" si="139"/>
        <v>380.97</v>
      </c>
      <c r="Y248" s="2"/>
      <c r="Z248" s="7">
        <f t="shared" si="140"/>
        <v>1.2699</v>
      </c>
    </row>
    <row r="249" spans="1:26" s="24" customFormat="1" hidden="1" outlineLevel="2" x14ac:dyDescent="0.25">
      <c r="A249" s="26"/>
      <c r="B249" s="11" t="str">
        <f>CONCATENATE("          ", "6298", " - ", "VEHICLE MILEAGE")</f>
        <v xml:space="preserve">          6298 - VEHICLE MILEAGE</v>
      </c>
      <c r="C249" s="11"/>
      <c r="D249" s="6"/>
      <c r="E249" s="2"/>
      <c r="F249" s="7">
        <f t="shared" si="133"/>
        <v>0</v>
      </c>
      <c r="G249" s="2"/>
      <c r="H249" s="6">
        <v>25</v>
      </c>
      <c r="I249" s="2"/>
      <c r="J249" s="7">
        <f t="shared" si="134"/>
        <v>3.7235627047959487E-5</v>
      </c>
      <c r="K249" s="2"/>
      <c r="L249" s="6">
        <f t="shared" si="135"/>
        <v>-25</v>
      </c>
      <c r="M249" s="2"/>
      <c r="N249" s="7">
        <f t="shared" si="136"/>
        <v>-1</v>
      </c>
      <c r="O249" s="11"/>
      <c r="P249" s="6">
        <v>59.89</v>
      </c>
      <c r="Q249" s="2"/>
      <c r="R249" s="7">
        <f t="shared" si="137"/>
        <v>7.38366108978338E-6</v>
      </c>
      <c r="S249" s="2"/>
      <c r="T249" s="6">
        <v>500</v>
      </c>
      <c r="U249" s="2"/>
      <c r="V249" s="7">
        <f t="shared" si="138"/>
        <v>4.2892012838094149E-5</v>
      </c>
      <c r="W249" s="2"/>
      <c r="X249" s="6">
        <f t="shared" si="139"/>
        <v>-440.11</v>
      </c>
      <c r="Y249" s="2"/>
      <c r="Z249" s="7">
        <f t="shared" si="140"/>
        <v>-0.88022</v>
      </c>
    </row>
    <row r="250" spans="1:26" s="27" customFormat="1" outlineLevel="1" collapsed="1" x14ac:dyDescent="0.25">
      <c r="A250" s="25"/>
      <c r="B250" s="13" t="str">
        <f>CONCATENATE("     ","Utilities                                         ")</f>
        <v xml:space="preserve">     Utilities                                         </v>
      </c>
      <c r="C250" s="13"/>
      <c r="D250" s="1">
        <f>SUM(OSRRefD22_24x_0)</f>
        <v>5512.94</v>
      </c>
      <c r="E250" s="1"/>
      <c r="F250" s="5">
        <f t="shared" ref="F250:F251" si="141">IF(D$12=0,0,D250/D$12)</f>
        <v>1.6747183940852423E-2</v>
      </c>
      <c r="G250" s="1"/>
      <c r="H250" s="1">
        <f>SUM(OSRRefH22_24x_0)</f>
        <v>6105</v>
      </c>
      <c r="I250" s="1"/>
      <c r="J250" s="5">
        <f t="shared" ref="J250:J251" si="142">IF(H$12=0,0,H250/H$12)</f>
        <v>9.0929401251117065E-3</v>
      </c>
      <c r="K250" s="1"/>
      <c r="L250" s="1">
        <f t="shared" ref="L250:L251" si="143">+D250-H250</f>
        <v>-592.0600000000004</v>
      </c>
      <c r="M250" s="1"/>
      <c r="N250" s="5">
        <f t="shared" ref="N250:N251" si="144">IF(H250=0,0,L250/H250)</f>
        <v>-9.6979524979525042E-2</v>
      </c>
      <c r="O250" s="13"/>
      <c r="P250" s="1">
        <f>SUM(OSRRefP22_24x_0)</f>
        <v>70355.39</v>
      </c>
      <c r="Q250" s="1"/>
      <c r="R250" s="5">
        <f t="shared" ref="R250:R251" si="145">IF(P$12=0,0,P250/P$12)</f>
        <v>8.6739080914933157E-3</v>
      </c>
      <c r="S250" s="1"/>
      <c r="T250" s="1">
        <f>SUM(OSRRefT22_24x_0)</f>
        <v>76240</v>
      </c>
      <c r="U250" s="1"/>
      <c r="V250" s="5">
        <f t="shared" ref="V250:V251" si="146">IF(T$12=0,0,T250/T$12)</f>
        <v>6.5401741175525954E-3</v>
      </c>
      <c r="W250" s="1"/>
      <c r="X250" s="1">
        <f t="shared" ref="X250:X251" si="147">+P250-T250</f>
        <v>-5884.6100000000006</v>
      </c>
      <c r="Y250" s="1"/>
      <c r="Z250" s="5">
        <f t="shared" ref="Z250:Z251" si="148">IF(T250=0,0,X250/T250)</f>
        <v>-7.7185335781741873E-2</v>
      </c>
    </row>
    <row r="251" spans="1:26" s="24" customFormat="1" hidden="1" outlineLevel="2" x14ac:dyDescent="0.25">
      <c r="A251" s="26"/>
      <c r="B251" s="11" t="str">
        <f>CONCATENATE("          ", "6274", " - ", "UTILITIES")</f>
        <v xml:space="preserve">          6274 - UTILITIES</v>
      </c>
      <c r="C251" s="11"/>
      <c r="D251" s="6">
        <v>5512.94</v>
      </c>
      <c r="E251" s="2"/>
      <c r="F251" s="7">
        <f t="shared" si="141"/>
        <v>1.6747183940852423E-2</v>
      </c>
      <c r="G251" s="2"/>
      <c r="H251" s="6">
        <v>6105</v>
      </c>
      <c r="I251" s="2"/>
      <c r="J251" s="7">
        <f t="shared" si="142"/>
        <v>9.0929401251117065E-3</v>
      </c>
      <c r="K251" s="2"/>
      <c r="L251" s="6">
        <f t="shared" si="143"/>
        <v>-592.0600000000004</v>
      </c>
      <c r="M251" s="2"/>
      <c r="N251" s="7">
        <f t="shared" si="144"/>
        <v>-9.6979524979525042E-2</v>
      </c>
      <c r="O251" s="11"/>
      <c r="P251" s="6">
        <v>70355.39</v>
      </c>
      <c r="Q251" s="2"/>
      <c r="R251" s="7">
        <f t="shared" si="145"/>
        <v>8.6739080914933157E-3</v>
      </c>
      <c r="S251" s="2"/>
      <c r="T251" s="6">
        <v>76240</v>
      </c>
      <c r="U251" s="2"/>
      <c r="V251" s="7">
        <f t="shared" si="146"/>
        <v>6.5401741175525954E-3</v>
      </c>
      <c r="W251" s="2"/>
      <c r="X251" s="6">
        <f t="shared" si="147"/>
        <v>-5884.6100000000006</v>
      </c>
      <c r="Y251" s="2"/>
      <c r="Z251" s="7">
        <f t="shared" si="148"/>
        <v>-7.7185335781741873E-2</v>
      </c>
    </row>
    <row r="252" spans="1:26" s="61" customFormat="1" x14ac:dyDescent="0.25">
      <c r="A252" s="36"/>
      <c r="B252" s="36"/>
      <c r="C252" s="36"/>
      <c r="D252" s="1"/>
      <c r="E252" s="1"/>
      <c r="F252" s="5"/>
      <c r="G252" s="1"/>
      <c r="H252" s="1"/>
      <c r="I252" s="1"/>
      <c r="J252" s="5"/>
      <c r="K252" s="1"/>
      <c r="L252" s="1"/>
      <c r="M252" s="1"/>
      <c r="N252" s="5"/>
      <c r="O252" s="36"/>
      <c r="P252" s="1"/>
      <c r="Q252" s="1"/>
      <c r="R252" s="5"/>
      <c r="S252" s="1"/>
      <c r="T252" s="1"/>
      <c r="U252" s="1"/>
      <c r="V252" s="5"/>
      <c r="W252" s="1"/>
      <c r="X252" s="1"/>
      <c r="Y252" s="1"/>
      <c r="Z252" s="5"/>
    </row>
    <row r="253" spans="1:26" s="23" customFormat="1" collapsed="1" x14ac:dyDescent="0.25">
      <c r="A253" s="10"/>
      <c r="B253" s="29" t="s">
        <v>293</v>
      </c>
      <c r="C253" s="10"/>
      <c r="D253" s="4">
        <f>SUM(OSRRefD25x_0)</f>
        <v>401494.1</v>
      </c>
      <c r="E253" s="4"/>
      <c r="F253" s="12">
        <f t="shared" ref="F253:F259" si="149">IF(D$12=0,0,D253/D$12)</f>
        <v>1.219656942369588</v>
      </c>
      <c r="G253" s="4"/>
      <c r="H253" s="4">
        <f>SUM(OSRRefH25x_0)</f>
        <v>252769</v>
      </c>
      <c r="I253" s="4"/>
      <c r="J253" s="12">
        <f t="shared" ref="J253:J259" si="150">IF(H$12=0,0,H253/H$12)</f>
        <v>0.37648048853142685</v>
      </c>
      <c r="K253" s="4"/>
      <c r="L253" s="4">
        <f t="shared" ref="L253:L259" si="151">+D253-H253</f>
        <v>148725.09999999998</v>
      </c>
      <c r="M253" s="4"/>
      <c r="N253" s="12">
        <f t="shared" ref="N253:N259" si="152">IF(H253=0,0,L253/H253)</f>
        <v>0.58838346474448988</v>
      </c>
      <c r="O253" s="10"/>
      <c r="P253" s="4">
        <f>SUM(OSRRefP25x_0)</f>
        <v>1458618.71</v>
      </c>
      <c r="Q253" s="4"/>
      <c r="R253" s="12">
        <f t="shared" ref="R253:R259" si="153">IF(P$12=0,0,P253/P$12)</f>
        <v>0.17982878967869473</v>
      </c>
      <c r="S253" s="4"/>
      <c r="T253" s="4">
        <f>SUM(OSRRefT25x_0)</f>
        <v>1180740</v>
      </c>
      <c r="U253" s="4"/>
      <c r="V253" s="12">
        <f t="shared" ref="V253:V259" si="154">IF(T$12=0,0,T253/T$12)</f>
        <v>0.10128863047690256</v>
      </c>
      <c r="W253" s="4"/>
      <c r="X253" s="4">
        <f t="shared" ref="X253:X259" si="155">+P253-T253</f>
        <v>277878.70999999996</v>
      </c>
      <c r="Y253" s="4"/>
      <c r="Z253" s="12">
        <f t="shared" ref="Z253:Z259" si="156">IF(T253=0,0,X253/T253)</f>
        <v>0.23534284431797006</v>
      </c>
    </row>
    <row r="254" spans="1:26" s="24" customFormat="1" hidden="1" outlineLevel="1" x14ac:dyDescent="0.25">
      <c r="A254" s="44"/>
      <c r="B254" s="11" t="str">
        <f>CONCATENATE("          ", "4098", " - ", "TAXABLE SALES-GRAD RENTALS")</f>
        <v xml:space="preserve">          4098 - TAXABLE SALES-GRAD RENTALS</v>
      </c>
      <c r="C254" s="11"/>
      <c r="D254" s="2">
        <f>--1017.7</f>
        <v>1017.7</v>
      </c>
      <c r="E254" s="2"/>
      <c r="F254" s="19">
        <f t="shared" si="149"/>
        <v>3.0915644096626321E-3</v>
      </c>
      <c r="G254" s="2"/>
      <c r="H254" s="2"/>
      <c r="I254" s="2"/>
      <c r="J254" s="19">
        <f t="shared" si="150"/>
        <v>0</v>
      </c>
      <c r="K254" s="2"/>
      <c r="L254" s="2">
        <f t="shared" si="151"/>
        <v>1017.7</v>
      </c>
      <c r="M254" s="2"/>
      <c r="N254" s="19">
        <f t="shared" si="152"/>
        <v>0</v>
      </c>
      <c r="O254" s="11"/>
      <c r="P254" s="2">
        <f>--1067.65</f>
        <v>1067.6500000000001</v>
      </c>
      <c r="Q254" s="2"/>
      <c r="R254" s="19">
        <f t="shared" si="153"/>
        <v>1.316274129655573E-4</v>
      </c>
      <c r="S254" s="2"/>
      <c r="T254" s="2"/>
      <c r="U254" s="2"/>
      <c r="V254" s="19">
        <f t="shared" si="154"/>
        <v>0</v>
      </c>
      <c r="W254" s="2"/>
      <c r="X254" s="2">
        <f t="shared" si="155"/>
        <v>1067.6500000000001</v>
      </c>
      <c r="Y254" s="2"/>
      <c r="Z254" s="19">
        <f t="shared" si="156"/>
        <v>0</v>
      </c>
    </row>
    <row r="255" spans="1:26" s="24" customFormat="1" hidden="1" outlineLevel="1" x14ac:dyDescent="0.25">
      <c r="A255" s="44"/>
      <c r="B255" s="11" t="str">
        <f>CONCATENATE("          ", "4187", " - ", "NON-TAXABLE SALES-COMPUTER REP")</f>
        <v xml:space="preserve">          4187 - NON-TAXABLE SALES-COMPUTER REP</v>
      </c>
      <c r="C255" s="11"/>
      <c r="D255" s="2">
        <f>--189.31</f>
        <v>189.31</v>
      </c>
      <c r="E255" s="2"/>
      <c r="F255" s="19">
        <f t="shared" si="149"/>
        <v>5.7508505295591323E-4</v>
      </c>
      <c r="G255" s="2"/>
      <c r="H255" s="2"/>
      <c r="I255" s="2"/>
      <c r="J255" s="19">
        <f t="shared" si="150"/>
        <v>0</v>
      </c>
      <c r="K255" s="2"/>
      <c r="L255" s="2">
        <f t="shared" si="151"/>
        <v>189.31</v>
      </c>
      <c r="M255" s="2"/>
      <c r="N255" s="19">
        <f t="shared" si="152"/>
        <v>0</v>
      </c>
      <c r="O255" s="11"/>
      <c r="P255" s="2">
        <f>--3769.75</f>
        <v>3769.75</v>
      </c>
      <c r="Q255" s="2"/>
      <c r="R255" s="19">
        <f t="shared" si="153"/>
        <v>4.6476133566890793E-4</v>
      </c>
      <c r="S255" s="2"/>
      <c r="T255" s="2"/>
      <c r="U255" s="2"/>
      <c r="V255" s="19">
        <f t="shared" si="154"/>
        <v>0</v>
      </c>
      <c r="W255" s="2"/>
      <c r="X255" s="2">
        <f t="shared" si="155"/>
        <v>3769.75</v>
      </c>
      <c r="Y255" s="2"/>
      <c r="Z255" s="19">
        <f t="shared" si="156"/>
        <v>0</v>
      </c>
    </row>
    <row r="256" spans="1:26" s="24" customFormat="1" hidden="1" outlineLevel="1" x14ac:dyDescent="0.25">
      <c r="A256" s="44"/>
      <c r="B256" s="11" t="str">
        <f>CONCATENATE("          ", "9150", " - ", "MISC. INCOME")</f>
        <v xml:space="preserve">          9150 - MISC. INCOME</v>
      </c>
      <c r="C256" s="11"/>
      <c r="D256" s="2">
        <f>--19771.06</f>
        <v>19771.060000000001</v>
      </c>
      <c r="E256" s="2"/>
      <c r="F256" s="19">
        <f t="shared" si="149"/>
        <v>6.0060435724972473E-2</v>
      </c>
      <c r="G256" s="2"/>
      <c r="H256" s="2">
        <v>22174</v>
      </c>
      <c r="I256" s="2"/>
      <c r="J256" s="19">
        <f t="shared" si="150"/>
        <v>3.3026511766458148E-2</v>
      </c>
      <c r="K256" s="2"/>
      <c r="L256" s="2">
        <f t="shared" si="151"/>
        <v>-2402.9399999999987</v>
      </c>
      <c r="M256" s="2"/>
      <c r="N256" s="19">
        <f t="shared" si="152"/>
        <v>-0.10836745738252002</v>
      </c>
      <c r="O256" s="11"/>
      <c r="P256" s="2">
        <f>--423643.69</f>
        <v>423643.69</v>
      </c>
      <c r="Q256" s="2"/>
      <c r="R256" s="19">
        <f t="shared" si="153"/>
        <v>5.222977842353068E-2</v>
      </c>
      <c r="S256" s="2"/>
      <c r="T256" s="2">
        <v>263700</v>
      </c>
      <c r="U256" s="2"/>
      <c r="V256" s="19">
        <f t="shared" si="154"/>
        <v>2.2621247570810854E-2</v>
      </c>
      <c r="W256" s="2"/>
      <c r="X256" s="2">
        <f t="shared" si="155"/>
        <v>159943.69</v>
      </c>
      <c r="Y256" s="2"/>
      <c r="Z256" s="19">
        <f t="shared" si="156"/>
        <v>0.60653655669321194</v>
      </c>
    </row>
    <row r="257" spans="1:26" s="24" customFormat="1" hidden="1" outlineLevel="1" x14ac:dyDescent="0.25">
      <c r="A257" s="44"/>
      <c r="B257" s="11" t="str">
        <f>CONCATENATE("          ", "9151", " - ", "MISC. INCOME")</f>
        <v xml:space="preserve">          9151 - MISC. INCOME</v>
      </c>
      <c r="C257" s="11"/>
      <c r="D257" s="2">
        <f>0</f>
        <v>0</v>
      </c>
      <c r="E257" s="2"/>
      <c r="F257" s="19">
        <f t="shared" si="149"/>
        <v>0</v>
      </c>
      <c r="G257" s="2"/>
      <c r="H257" s="2">
        <v>230595</v>
      </c>
      <c r="I257" s="2"/>
      <c r="J257" s="19">
        <f t="shared" si="150"/>
        <v>0.34345397676496875</v>
      </c>
      <c r="K257" s="2"/>
      <c r="L257" s="2">
        <f t="shared" si="151"/>
        <v>-230595</v>
      </c>
      <c r="M257" s="2"/>
      <c r="N257" s="19">
        <f t="shared" si="152"/>
        <v>-1</v>
      </c>
      <c r="O257" s="11"/>
      <c r="P257" s="2">
        <f>--295628.46</f>
        <v>295628.46000000002</v>
      </c>
      <c r="Q257" s="2"/>
      <c r="R257" s="19">
        <f t="shared" si="153"/>
        <v>3.644715907721794E-2</v>
      </c>
      <c r="S257" s="2"/>
      <c r="T257" s="2">
        <v>917040</v>
      </c>
      <c r="U257" s="2"/>
      <c r="V257" s="19">
        <f t="shared" si="154"/>
        <v>7.866738290609171E-2</v>
      </c>
      <c r="W257" s="2"/>
      <c r="X257" s="2">
        <f t="shared" si="155"/>
        <v>-621411.54</v>
      </c>
      <c r="Y257" s="2"/>
      <c r="Z257" s="19">
        <f t="shared" si="156"/>
        <v>-0.67762751897409057</v>
      </c>
    </row>
    <row r="258" spans="1:26" s="24" customFormat="1" hidden="1" outlineLevel="1" x14ac:dyDescent="0.25">
      <c r="A258" s="44"/>
      <c r="B258" s="11" t="str">
        <f>CONCATENATE("          ", "9152", " - ", "MISC. INCOME")</f>
        <v xml:space="preserve">          9152 - MISC. INCOME</v>
      </c>
      <c r="C258" s="11"/>
      <c r="D258" s="2">
        <f>--1755.54</f>
        <v>1755.54</v>
      </c>
      <c r="E258" s="2"/>
      <c r="F258" s="19">
        <f t="shared" si="149"/>
        <v>5.3329713901337696E-3</v>
      </c>
      <c r="G258" s="2"/>
      <c r="H258" s="2"/>
      <c r="I258" s="2"/>
      <c r="J258" s="19">
        <f t="shared" si="150"/>
        <v>0</v>
      </c>
      <c r="K258" s="2"/>
      <c r="L258" s="2">
        <f t="shared" si="151"/>
        <v>1755.54</v>
      </c>
      <c r="M258" s="2"/>
      <c r="N258" s="19">
        <f t="shared" si="152"/>
        <v>0</v>
      </c>
      <c r="O258" s="11"/>
      <c r="P258" s="2">
        <f>--7408.11</f>
        <v>7408.11</v>
      </c>
      <c r="Q258" s="2"/>
      <c r="R258" s="19">
        <f t="shared" si="153"/>
        <v>9.1332398657263572E-4</v>
      </c>
      <c r="S258" s="2"/>
      <c r="T258" s="2"/>
      <c r="U258" s="2"/>
      <c r="V258" s="19">
        <f t="shared" si="154"/>
        <v>0</v>
      </c>
      <c r="W258" s="2"/>
      <c r="X258" s="2">
        <f t="shared" si="155"/>
        <v>7408.11</v>
      </c>
      <c r="Y258" s="2"/>
      <c r="Z258" s="19">
        <f t="shared" si="156"/>
        <v>0</v>
      </c>
    </row>
    <row r="259" spans="1:26" s="24" customFormat="1" hidden="1" outlineLevel="1" x14ac:dyDescent="0.25">
      <c r="A259" s="44"/>
      <c r="B259" s="11" t="str">
        <f>CONCATENATE("          ", "9163", " - ", "MISC. INCOME")</f>
        <v xml:space="preserve">          9163 - MISC. INCOME</v>
      </c>
      <c r="C259" s="11"/>
      <c r="D259" s="2">
        <f>--378760.49</f>
        <v>378760.49</v>
      </c>
      <c r="E259" s="2"/>
      <c r="F259" s="19">
        <f t="shared" si="149"/>
        <v>1.1505968857918634</v>
      </c>
      <c r="G259" s="2"/>
      <c r="H259" s="2"/>
      <c r="I259" s="2"/>
      <c r="J259" s="19">
        <f t="shared" si="150"/>
        <v>0</v>
      </c>
      <c r="K259" s="2"/>
      <c r="L259" s="2">
        <f t="shared" si="151"/>
        <v>378760.49</v>
      </c>
      <c r="M259" s="2"/>
      <c r="N259" s="19">
        <f t="shared" si="152"/>
        <v>0</v>
      </c>
      <c r="O259" s="11"/>
      <c r="P259" s="2">
        <f>--727101.05</f>
        <v>727101.05</v>
      </c>
      <c r="Q259" s="2"/>
      <c r="R259" s="19">
        <f t="shared" si="153"/>
        <v>8.9642139442739022E-2</v>
      </c>
      <c r="S259" s="2"/>
      <c r="T259" s="2"/>
      <c r="U259" s="2"/>
      <c r="V259" s="19">
        <f t="shared" si="154"/>
        <v>0</v>
      </c>
      <c r="W259" s="2"/>
      <c r="X259" s="2">
        <f t="shared" si="155"/>
        <v>727101.05</v>
      </c>
      <c r="Y259" s="2"/>
      <c r="Z259" s="19">
        <f t="shared" si="156"/>
        <v>0</v>
      </c>
    </row>
    <row r="260" spans="1:26" x14ac:dyDescent="0.2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10"/>
      <c r="B261" s="28" t="s">
        <v>277</v>
      </c>
      <c r="C261" s="28"/>
      <c r="D261" s="20">
        <f>+D152-D154+D253</f>
        <v>193618.50000000003</v>
      </c>
      <c r="E261" s="14"/>
      <c r="F261" s="22">
        <f>IF(D$12=0,0,D261/D$12)</f>
        <v>0.58817339456840367</v>
      </c>
      <c r="G261" s="14"/>
      <c r="H261" s="20">
        <f>+H152-H154+H253</f>
        <v>142302.38292059035</v>
      </c>
      <c r="I261" s="14"/>
      <c r="J261" s="22">
        <f>IF(H$12=0,0,H261/H$12)</f>
        <v>0.21194873833868089</v>
      </c>
      <c r="K261" s="16"/>
      <c r="L261" s="20">
        <f>+D261-H261</f>
        <v>51316.117079409683</v>
      </c>
      <c r="M261" s="16"/>
      <c r="N261" s="22">
        <f>IF(H261=0,0,L261/H261)</f>
        <v>0.36061319583134355</v>
      </c>
      <c r="O261" s="29"/>
      <c r="P261" s="20">
        <f>+P152-P154+P253</f>
        <v>528928.44999999367</v>
      </c>
      <c r="Q261" s="14"/>
      <c r="R261" s="22">
        <f>IF(P$12=0,0,P261/P$12)</f>
        <v>6.5210025305466476E-2</v>
      </c>
      <c r="S261" s="14"/>
      <c r="T261" s="20">
        <f>+T152-T154+T253</f>
        <v>874880.29725615494</v>
      </c>
      <c r="U261" s="14"/>
      <c r="V261" s="22">
        <f>IF(T$12=0,0,T261/T$12)</f>
        <v>7.5050753883413243E-2</v>
      </c>
      <c r="W261" s="16"/>
      <c r="X261" s="20">
        <f>+P261-T261</f>
        <v>-345951.84725616127</v>
      </c>
      <c r="Y261" s="16"/>
      <c r="Z261" s="22">
        <f>IF(T261=0,0,X261/T261)</f>
        <v>-0.39542763546184939</v>
      </c>
    </row>
    <row r="262" spans="1:26" x14ac:dyDescent="0.2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52"/>
      <c r="B263" s="10" t="s">
        <v>128</v>
      </c>
      <c r="C263" s="10"/>
      <c r="D263" s="4">
        <v>582191.16</v>
      </c>
      <c r="E263" s="4"/>
      <c r="F263" s="12">
        <f>IF(D$12=0,0,D263/D$12)</f>
        <v>1.7685776455499687</v>
      </c>
      <c r="G263" s="4"/>
      <c r="H263" s="4">
        <v>-58487</v>
      </c>
      <c r="I263" s="4"/>
      <c r="J263" s="12">
        <f>IF(H$12=0,0,H263/H$12)</f>
        <v>-8.7112004766160267E-2</v>
      </c>
      <c r="K263" s="4"/>
      <c r="L263" s="4">
        <f>+D263-H263</f>
        <v>640678.16</v>
      </c>
      <c r="M263" s="4"/>
      <c r="N263" s="12">
        <f>IF(H263=0,0,L263/H263)</f>
        <v>-10.954197684955632</v>
      </c>
      <c r="O263" s="10"/>
      <c r="P263" s="4">
        <v>2245123.5699999998</v>
      </c>
      <c r="Q263" s="4"/>
      <c r="R263" s="12">
        <f>IF(P$12=0,0,P263/P$12)</f>
        <v>0.27679464928309488</v>
      </c>
      <c r="S263" s="4"/>
      <c r="T263" s="4">
        <v>1969808</v>
      </c>
      <c r="U263" s="4"/>
      <c r="V263" s="12">
        <f>IF(T$12=0,0,T263/T$12)</f>
        <v>0.16897806004916111</v>
      </c>
      <c r="W263" s="4"/>
      <c r="X263" s="4">
        <f>+P263-T263</f>
        <v>275315.56999999983</v>
      </c>
      <c r="Y263" s="4"/>
      <c r="Z263" s="12">
        <f>IF(T263=0,0,X263/T263)</f>
        <v>0.13976771847814601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8" t="s">
        <v>126</v>
      </c>
      <c r="C265" s="28"/>
      <c r="D265" s="34">
        <f>+D261-D263</f>
        <v>-388572.66000000003</v>
      </c>
      <c r="E265" s="14"/>
      <c r="F265" s="35">
        <f>IF(D$12=0,0,D265/D$12)</f>
        <v>-1.1804042509815651</v>
      </c>
      <c r="G265" s="14"/>
      <c r="H265" s="34">
        <f>+H261-H263</f>
        <v>200789.38292059035</v>
      </c>
      <c r="I265" s="14"/>
      <c r="J265" s="35">
        <f>IF(H$12=0,0,H265/H$12)</f>
        <v>0.29906074310484115</v>
      </c>
      <c r="K265" s="16"/>
      <c r="L265" s="34">
        <f>D265-H265</f>
        <v>-589362.04292059038</v>
      </c>
      <c r="M265" s="16"/>
      <c r="N265" s="35">
        <f>IF(H265=0,0,L265/H265)</f>
        <v>-2.9352251316678211</v>
      </c>
      <c r="O265" s="29"/>
      <c r="P265" s="34">
        <f>+P261-P263</f>
        <v>-1716195.1200000062</v>
      </c>
      <c r="Q265" s="14"/>
      <c r="R265" s="35">
        <f>IF(P$12=0,0,P265/P$12)</f>
        <v>-0.21158462397762839</v>
      </c>
      <c r="S265" s="14"/>
      <c r="T265" s="34">
        <f>+T261-T263</f>
        <v>-1094927.7027438451</v>
      </c>
      <c r="U265" s="14"/>
      <c r="V265" s="35">
        <f>IF(T$12=0,0,T265/T$12)</f>
        <v>-9.3927306165747862E-2</v>
      </c>
      <c r="W265" s="16"/>
      <c r="X265" s="34">
        <f>P265-T265</f>
        <v>-621267.4172561611</v>
      </c>
      <c r="Y265" s="16"/>
      <c r="Z265" s="35">
        <f>IF(T265=0,0,X265/T265)</f>
        <v>0.5674049671949023</v>
      </c>
    </row>
    <row r="266" spans="1:26" ht="15.75" thickTop="1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x14ac:dyDescent="0.25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8" t="s">
        <v>294</v>
      </c>
      <c r="C268" s="28"/>
      <c r="D268" s="33">
        <f>SUM(D265:D267)</f>
        <v>-388572.66000000003</v>
      </c>
      <c r="E268" s="14"/>
      <c r="F268" s="31">
        <f>IF(D$12=0,0,D268/D$12)</f>
        <v>-1.1804042509815651</v>
      </c>
      <c r="G268" s="14"/>
      <c r="H268" s="33">
        <f>SUM(H265:H267)</f>
        <v>200789.38292059035</v>
      </c>
      <c r="I268" s="14"/>
      <c r="J268" s="31">
        <f>IF(H$12=0,0,H268/H$12)</f>
        <v>0.29906074310484115</v>
      </c>
      <c r="K268" s="16"/>
      <c r="L268" s="33">
        <f>+D268-H268</f>
        <v>-589362.04292059038</v>
      </c>
      <c r="M268" s="16"/>
      <c r="N268" s="31">
        <f>IF(H268=0,0,L268/H268)</f>
        <v>-2.9352251316678211</v>
      </c>
      <c r="O268" s="29"/>
      <c r="P268" s="33">
        <f>SUM(P265:P267)</f>
        <v>-1716195.1200000062</v>
      </c>
      <c r="Q268" s="14"/>
      <c r="R268" s="31">
        <f>IF(P$12=0,0,P268/P$12)</f>
        <v>-0.21158462397762839</v>
      </c>
      <c r="S268" s="14"/>
      <c r="T268" s="33">
        <f>SUM(T265:T267)</f>
        <v>-1094927.7027438451</v>
      </c>
      <c r="U268" s="14"/>
      <c r="V268" s="31">
        <f>IF(T$12=0,0,T268/T$12)</f>
        <v>-9.3927306165747862E-2</v>
      </c>
      <c r="W268" s="16"/>
      <c r="X268" s="33">
        <f>+P268-T268</f>
        <v>-621267.4172561611</v>
      </c>
      <c r="Y268" s="16"/>
      <c r="Z268" s="31">
        <f>IF(T268=0,0,X268/T268)</f>
        <v>0.5674049671949023</v>
      </c>
    </row>
    <row r="269" spans="1:26" ht="15.75" thickTop="1" x14ac:dyDescent="0.25">
      <c r="A269" s="9"/>
      <c r="C269" s="9"/>
      <c r="D269" s="18"/>
      <c r="E269" s="18"/>
      <c r="G269" s="18"/>
      <c r="H269" s="18"/>
      <c r="I269" s="18"/>
      <c r="J269" s="42"/>
      <c r="K269" s="18"/>
      <c r="L269" s="18"/>
      <c r="M269" s="18"/>
      <c r="P269" s="18"/>
      <c r="Q269" s="18"/>
      <c r="R269" s="42"/>
      <c r="S269" s="18"/>
      <c r="T269" s="18"/>
      <c r="U269" s="18"/>
      <c r="V269" s="42"/>
      <c r="W269" s="18"/>
      <c r="X269" s="18"/>
    </row>
    <row r="270" spans="1:26" x14ac:dyDescent="0.25">
      <c r="A270" s="9"/>
      <c r="B270" s="56">
        <v>44454.686119247686</v>
      </c>
      <c r="D270" s="18"/>
      <c r="E270" s="18"/>
      <c r="G270" s="18"/>
      <c r="H270" s="18"/>
      <c r="I270" s="18"/>
      <c r="J270" s="42"/>
      <c r="K270" s="18"/>
      <c r="L270" s="18"/>
      <c r="M270" s="18"/>
      <c r="P270" s="18"/>
      <c r="Q270" s="18"/>
      <c r="R270" s="42"/>
      <c r="S270" s="18"/>
      <c r="T270" s="18"/>
      <c r="U270" s="18"/>
      <c r="V270" s="42"/>
      <c r="W270" s="18"/>
      <c r="X270" s="18"/>
    </row>
    <row r="271" spans="1:26" x14ac:dyDescent="0.25">
      <c r="A271" s="9"/>
      <c r="B271" s="55" t="s">
        <v>56</v>
      </c>
      <c r="D271" s="18"/>
      <c r="E271" s="18"/>
      <c r="G271" s="18"/>
      <c r="H271" s="18"/>
      <c r="I271" s="18"/>
      <c r="J271" s="42"/>
      <c r="K271" s="18"/>
      <c r="L271" s="18"/>
      <c r="M271" s="18"/>
      <c r="P271" s="18"/>
      <c r="Q271" s="18"/>
      <c r="R271" s="42"/>
      <c r="S271" s="18"/>
      <c r="T271" s="18"/>
      <c r="U271" s="18"/>
      <c r="V271" s="42"/>
      <c r="W271" s="18"/>
      <c r="X271" s="18"/>
    </row>
    <row r="272" spans="1:26" x14ac:dyDescent="0.25">
      <c r="A272" s="9"/>
      <c r="B272" s="63"/>
      <c r="D272" s="18"/>
      <c r="E272" s="18"/>
      <c r="G272" s="18"/>
      <c r="H272" s="18"/>
      <c r="I272" s="18"/>
      <c r="J272" s="42"/>
      <c r="K272" s="18"/>
      <c r="L272" s="18"/>
      <c r="M272" s="18"/>
      <c r="P272" s="18"/>
      <c r="Q272" s="18"/>
      <c r="R272" s="42"/>
      <c r="S272" s="18"/>
      <c r="T272" s="18"/>
      <c r="U272" s="18"/>
      <c r="V272" s="42"/>
      <c r="W272" s="18"/>
      <c r="X272" s="18"/>
    </row>
    <row r="273" spans="4:24" x14ac:dyDescent="0.25">
      <c r="D273" s="18"/>
      <c r="E273" s="18"/>
      <c r="G273" s="18"/>
      <c r="H273" s="18"/>
      <c r="I273" s="18"/>
      <c r="J273" s="42"/>
      <c r="K273" s="18"/>
      <c r="L273" s="18"/>
      <c r="M273" s="18"/>
      <c r="P273" s="18"/>
      <c r="Q273" s="18"/>
      <c r="R273" s="42"/>
      <c r="S273" s="18"/>
      <c r="T273" s="18"/>
      <c r="U273" s="18"/>
      <c r="V273" s="42"/>
      <c r="W273" s="18"/>
      <c r="X27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"5501", " - ", "FREIGHT-IN-NEW TEXT")</f>
        <v xml:space="preserve">          5501 - FREIGHT-IN-NEW TEXT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P12-P14</f>
        <v>0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1">
        <f>SUM(OSRRefD22x_0)</f>
        <v>128997.91</v>
      </c>
      <c r="E19" s="21"/>
      <c r="F19" s="30">
        <f t="shared" ref="F19:F30" si="8">IF(D$12=0,0,D19/D$12)</f>
        <v>0</v>
      </c>
      <c r="G19" s="21"/>
      <c r="H19" s="21">
        <f>SUM(OSRRefH22x_0)</f>
        <v>102082.12019300154</v>
      </c>
      <c r="I19" s="21"/>
      <c r="J19" s="30">
        <f t="shared" ref="J19:J30" si="9">IF(H$12=0,0,H19/H$12)</f>
        <v>0</v>
      </c>
      <c r="K19" s="4"/>
      <c r="L19" s="21">
        <f t="shared" ref="L19:L30" si="10">+D19-H19</f>
        <v>26915.789806998466</v>
      </c>
      <c r="M19" s="4"/>
      <c r="N19" s="30">
        <f t="shared" ref="N19:N30" si="11">IF(H19=0,0,L19/H19)</f>
        <v>0.26366801312619814</v>
      </c>
      <c r="O19" s="10"/>
      <c r="P19" s="21">
        <f>SUM(OSRRefP22x_0)</f>
        <v>1437868.1599999997</v>
      </c>
      <c r="Q19" s="21"/>
      <c r="R19" s="30">
        <f t="shared" ref="R19:R30" si="12">IF(P$12=0,0,P19/P$12)</f>
        <v>0</v>
      </c>
      <c r="S19" s="21"/>
      <c r="T19" s="21">
        <f>SUM(OSRRefT22x_0)</f>
        <v>1656008.37156031</v>
      </c>
      <c r="U19" s="21"/>
      <c r="V19" s="30">
        <f t="shared" ref="V19:V30" si="13">IF(T$12=0,0,T19/T$12)</f>
        <v>0</v>
      </c>
      <c r="W19" s="4"/>
      <c r="X19" s="21">
        <f t="shared" ref="X19:X30" si="14">+P19-T19</f>
        <v>-218140.21156031033</v>
      </c>
      <c r="Y19" s="4"/>
      <c r="Z19" s="30">
        <f t="shared" ref="Z19:Z30" si="15">IF(T19=0,0,X19/T19)</f>
        <v>-0.13172651497816773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16865.480000000003</v>
      </c>
      <c r="E20" s="1"/>
      <c r="F20" s="5">
        <f t="shared" si="8"/>
        <v>0</v>
      </c>
      <c r="G20" s="1"/>
      <c r="H20" s="1">
        <f>SUM(OSRRefH22_0x_0)</f>
        <v>8277.31199300154</v>
      </c>
      <c r="I20" s="1"/>
      <c r="J20" s="5">
        <f t="shared" si="9"/>
        <v>0</v>
      </c>
      <c r="K20" s="1"/>
      <c r="L20" s="1">
        <f t="shared" si="10"/>
        <v>8588.1680069984632</v>
      </c>
      <c r="M20" s="1"/>
      <c r="N20" s="5">
        <f t="shared" si="11"/>
        <v>1.0375551887206562</v>
      </c>
      <c r="O20" s="13"/>
      <c r="P20" s="1">
        <f>SUM(OSRRefP22_0x_0)</f>
        <v>128077.10999999999</v>
      </c>
      <c r="Q20" s="1"/>
      <c r="R20" s="5">
        <f t="shared" si="12"/>
        <v>0</v>
      </c>
      <c r="S20" s="1"/>
      <c r="T20" s="1">
        <f>SUM(OSRRefT22_0x_0)</f>
        <v>104942.24226031</v>
      </c>
      <c r="U20" s="1"/>
      <c r="V20" s="5">
        <f t="shared" si="13"/>
        <v>0</v>
      </c>
      <c r="W20" s="1"/>
      <c r="X20" s="1">
        <f t="shared" si="14"/>
        <v>23134.867739689988</v>
      </c>
      <c r="Y20" s="1"/>
      <c r="Z20" s="5">
        <f t="shared" si="15"/>
        <v>0.22045333929785663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2598.31</v>
      </c>
      <c r="E21" s="2"/>
      <c r="F21" s="7">
        <f t="shared" si="8"/>
        <v>0</v>
      </c>
      <c r="G21" s="2"/>
      <c r="H21" s="6">
        <v>2168.0075027399998</v>
      </c>
      <c r="I21" s="2"/>
      <c r="J21" s="7">
        <f t="shared" si="9"/>
        <v>0</v>
      </c>
      <c r="K21" s="2"/>
      <c r="L21" s="6">
        <f t="shared" si="10"/>
        <v>430.30249726000011</v>
      </c>
      <c r="M21" s="2"/>
      <c r="N21" s="7">
        <f t="shared" si="11"/>
        <v>0.19847832478262623</v>
      </c>
      <c r="O21" s="11"/>
      <c r="P21" s="6">
        <v>28065.61</v>
      </c>
      <c r="Q21" s="2"/>
      <c r="R21" s="7">
        <f t="shared" si="12"/>
        <v>0</v>
      </c>
      <c r="S21" s="2"/>
      <c r="T21" s="6">
        <v>24710.353616609998</v>
      </c>
      <c r="U21" s="2"/>
      <c r="V21" s="7">
        <f t="shared" si="13"/>
        <v>0</v>
      </c>
      <c r="W21" s="2"/>
      <c r="X21" s="6">
        <f t="shared" si="14"/>
        <v>3355.2563833900022</v>
      </c>
      <c r="Y21" s="2"/>
      <c r="Z21" s="7">
        <f t="shared" si="15"/>
        <v>0.13578342242478633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611.91</v>
      </c>
      <c r="E22" s="2"/>
      <c r="F22" s="7">
        <f t="shared" si="8"/>
        <v>0</v>
      </c>
      <c r="G22" s="2"/>
      <c r="H22" s="6">
        <v>604.30357300000003</v>
      </c>
      <c r="I22" s="2"/>
      <c r="J22" s="7">
        <f t="shared" si="9"/>
        <v>0</v>
      </c>
      <c r="K22" s="2"/>
      <c r="L22" s="6">
        <f t="shared" si="10"/>
        <v>7.6064269999999397</v>
      </c>
      <c r="M22" s="2"/>
      <c r="N22" s="7">
        <f t="shared" si="11"/>
        <v>1.2587095856869837E-2</v>
      </c>
      <c r="O22" s="11"/>
      <c r="P22" s="6">
        <v>8418.57</v>
      </c>
      <c r="Q22" s="2"/>
      <c r="R22" s="7">
        <f t="shared" si="12"/>
        <v>0</v>
      </c>
      <c r="S22" s="2"/>
      <c r="T22" s="6">
        <v>9723.1809194999896</v>
      </c>
      <c r="U22" s="2"/>
      <c r="V22" s="7">
        <f t="shared" si="13"/>
        <v>0</v>
      </c>
      <c r="W22" s="2"/>
      <c r="X22" s="6">
        <f t="shared" si="14"/>
        <v>-1304.6109194999899</v>
      </c>
      <c r="Y22" s="2"/>
      <c r="Z22" s="7">
        <f t="shared" si="15"/>
        <v>-0.13417532084418718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5096.28</v>
      </c>
      <c r="E23" s="2"/>
      <c r="F23" s="7">
        <f t="shared" si="8"/>
        <v>0</v>
      </c>
      <c r="G23" s="2"/>
      <c r="H23" s="6">
        <v>3355.9615384615399</v>
      </c>
      <c r="I23" s="2"/>
      <c r="J23" s="7">
        <f t="shared" si="9"/>
        <v>0</v>
      </c>
      <c r="K23" s="2"/>
      <c r="L23" s="6">
        <f t="shared" si="10"/>
        <v>1740.3184615384598</v>
      </c>
      <c r="M23" s="2"/>
      <c r="N23" s="7">
        <f t="shared" si="11"/>
        <v>0.51857521058965028</v>
      </c>
      <c r="O23" s="11"/>
      <c r="P23" s="6">
        <v>40429.410000000003</v>
      </c>
      <c r="Q23" s="2"/>
      <c r="R23" s="7">
        <f t="shared" si="12"/>
        <v>0</v>
      </c>
      <c r="S23" s="2"/>
      <c r="T23" s="6">
        <v>41550</v>
      </c>
      <c r="U23" s="2"/>
      <c r="V23" s="7">
        <f t="shared" si="13"/>
        <v>0</v>
      </c>
      <c r="W23" s="2"/>
      <c r="X23" s="6">
        <f t="shared" si="14"/>
        <v>-1120.5899999999965</v>
      </c>
      <c r="Y23" s="2"/>
      <c r="Z23" s="7">
        <f t="shared" si="15"/>
        <v>-2.6969675090252623E-2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93.29</v>
      </c>
      <c r="E24" s="2"/>
      <c r="F24" s="7">
        <f t="shared" si="8"/>
        <v>0</v>
      </c>
      <c r="G24" s="2"/>
      <c r="H24" s="6">
        <v>84.929150800000002</v>
      </c>
      <c r="I24" s="2"/>
      <c r="J24" s="7">
        <f t="shared" si="9"/>
        <v>0</v>
      </c>
      <c r="K24" s="2"/>
      <c r="L24" s="6">
        <f t="shared" si="10"/>
        <v>8.3608492000000041</v>
      </c>
      <c r="M24" s="2"/>
      <c r="N24" s="7">
        <f t="shared" si="11"/>
        <v>9.8444987630795955E-2</v>
      </c>
      <c r="O24" s="11"/>
      <c r="P24" s="6">
        <v>1306.75</v>
      </c>
      <c r="Q24" s="2"/>
      <c r="R24" s="7">
        <f t="shared" si="12"/>
        <v>0</v>
      </c>
      <c r="S24" s="2"/>
      <c r="T24" s="6">
        <v>1366.5011022000001</v>
      </c>
      <c r="U24" s="2"/>
      <c r="V24" s="7">
        <f t="shared" si="13"/>
        <v>0</v>
      </c>
      <c r="W24" s="2"/>
      <c r="X24" s="6">
        <f t="shared" si="14"/>
        <v>-59.751102200000105</v>
      </c>
      <c r="Y24" s="2"/>
      <c r="Z24" s="7">
        <f t="shared" si="15"/>
        <v>-4.3725615810923053E-2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4061.04</v>
      </c>
      <c r="E25" s="2"/>
      <c r="F25" s="7">
        <f t="shared" si="8"/>
        <v>0</v>
      </c>
      <c r="G25" s="2"/>
      <c r="H25" s="6">
        <v>750.13482799999997</v>
      </c>
      <c r="I25" s="2"/>
      <c r="J25" s="7">
        <f t="shared" si="9"/>
        <v>0</v>
      </c>
      <c r="K25" s="2"/>
      <c r="L25" s="6">
        <f t="shared" si="10"/>
        <v>3310.9051719999998</v>
      </c>
      <c r="M25" s="2"/>
      <c r="N25" s="7">
        <f t="shared" si="11"/>
        <v>4.4137467671345076</v>
      </c>
      <c r="O25" s="11"/>
      <c r="P25" s="6">
        <v>17664.84</v>
      </c>
      <c r="Q25" s="2"/>
      <c r="R25" s="7">
        <f t="shared" si="12"/>
        <v>0</v>
      </c>
      <c r="S25" s="2"/>
      <c r="T25" s="6">
        <v>9632.1872220000005</v>
      </c>
      <c r="U25" s="2"/>
      <c r="V25" s="7">
        <f t="shared" si="13"/>
        <v>0</v>
      </c>
      <c r="W25" s="2"/>
      <c r="X25" s="6">
        <f t="shared" si="14"/>
        <v>8032.6527779999997</v>
      </c>
      <c r="Y25" s="2"/>
      <c r="Z25" s="7">
        <f t="shared" si="15"/>
        <v>0.83393860531005359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401.9</v>
      </c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401.9</v>
      </c>
      <c r="Y26" s="2"/>
      <c r="Z26" s="7">
        <f t="shared" si="15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6">
        <v>284.52999999999997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284.52999999999997</v>
      </c>
      <c r="M27" s="2"/>
      <c r="N27" s="7">
        <f t="shared" si="11"/>
        <v>0</v>
      </c>
      <c r="O27" s="11"/>
      <c r="P27" s="6">
        <v>1521.45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1521.45</v>
      </c>
      <c r="Y27" s="2"/>
      <c r="Z27" s="7">
        <f t="shared" si="15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1692.34</v>
      </c>
      <c r="E28" s="2"/>
      <c r="F28" s="7">
        <f t="shared" si="8"/>
        <v>0</v>
      </c>
      <c r="G28" s="2"/>
      <c r="H28" s="6">
        <v>556.12490000000003</v>
      </c>
      <c r="I28" s="2"/>
      <c r="J28" s="7">
        <f t="shared" si="9"/>
        <v>0</v>
      </c>
      <c r="K28" s="2"/>
      <c r="L28" s="6">
        <f t="shared" si="10"/>
        <v>1136.2150999999999</v>
      </c>
      <c r="M28" s="2"/>
      <c r="N28" s="7">
        <f t="shared" si="11"/>
        <v>2.0430933770453361</v>
      </c>
      <c r="O28" s="11"/>
      <c r="P28" s="6">
        <v>15090.74</v>
      </c>
      <c r="Q28" s="2"/>
      <c r="R28" s="7">
        <f t="shared" si="12"/>
        <v>0</v>
      </c>
      <c r="S28" s="2"/>
      <c r="T28" s="6">
        <v>7160.1088499999996</v>
      </c>
      <c r="U28" s="2"/>
      <c r="V28" s="7">
        <f t="shared" si="13"/>
        <v>0</v>
      </c>
      <c r="W28" s="2"/>
      <c r="X28" s="6">
        <f t="shared" si="14"/>
        <v>7930.6311500000002</v>
      </c>
      <c r="Y28" s="2"/>
      <c r="Z28" s="7">
        <f t="shared" si="15"/>
        <v>1.1076132103773815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2138.75</v>
      </c>
      <c r="E29" s="2"/>
      <c r="F29" s="7">
        <f t="shared" si="8"/>
        <v>0</v>
      </c>
      <c r="G29" s="2"/>
      <c r="H29" s="6">
        <v>757.85050000000001</v>
      </c>
      <c r="I29" s="2"/>
      <c r="J29" s="7">
        <f t="shared" si="9"/>
        <v>0</v>
      </c>
      <c r="K29" s="2"/>
      <c r="L29" s="6">
        <f t="shared" si="10"/>
        <v>1380.8995</v>
      </c>
      <c r="M29" s="2"/>
      <c r="N29" s="7">
        <f t="shared" si="11"/>
        <v>1.8221265275935028</v>
      </c>
      <c r="O29" s="11"/>
      <c r="P29" s="6">
        <v>12449.08</v>
      </c>
      <c r="Q29" s="2"/>
      <c r="R29" s="7">
        <f t="shared" si="12"/>
        <v>0</v>
      </c>
      <c r="S29" s="2"/>
      <c r="T29" s="6">
        <v>10799.910550000001</v>
      </c>
      <c r="U29" s="2"/>
      <c r="V29" s="7">
        <f t="shared" si="13"/>
        <v>0</v>
      </c>
      <c r="W29" s="2"/>
      <c r="X29" s="6">
        <f t="shared" si="14"/>
        <v>1649.1694499999994</v>
      </c>
      <c r="Y29" s="2"/>
      <c r="Z29" s="7">
        <f t="shared" si="15"/>
        <v>0.15270213974133326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289.02999999999997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289.02999999999997</v>
      </c>
      <c r="M30" s="2"/>
      <c r="N30" s="7">
        <f t="shared" si="11"/>
        <v>0</v>
      </c>
      <c r="O30" s="11"/>
      <c r="P30" s="6">
        <v>2728.76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2728.76</v>
      </c>
      <c r="Y30" s="2"/>
      <c r="Z30" s="7">
        <f t="shared" si="15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34034.379999999997</v>
      </c>
      <c r="E31" s="1"/>
      <c r="F31" s="5">
        <f t="shared" ref="F31:F41" si="16">IF(D$12=0,0,D31/D$12)</f>
        <v>0</v>
      </c>
      <c r="G31" s="1"/>
      <c r="H31" s="1">
        <f>SUM(OSRRefH22_1x_0)</f>
        <v>31592.808200000003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2441.5717999999943</v>
      </c>
      <c r="M31" s="1"/>
      <c r="N31" s="5">
        <f t="shared" ref="N31:N41" si="19">IF(H31=0,0,L31/H31)</f>
        <v>7.7282519000637429E-2</v>
      </c>
      <c r="O31" s="13"/>
      <c r="P31" s="1">
        <f>SUM(OSRRefP22_1x_0)</f>
        <v>485624.97000000003</v>
      </c>
      <c r="Q31" s="1"/>
      <c r="R31" s="5">
        <f t="shared" ref="R31:R41" si="20">IF(P$12=0,0,P31/P$12)</f>
        <v>0</v>
      </c>
      <c r="S31" s="1"/>
      <c r="T31" s="1">
        <f>SUM(OSRRefT22_1x_0)</f>
        <v>511777.12929999997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-26152.159299999941</v>
      </c>
      <c r="Y31" s="1"/>
      <c r="Z31" s="5">
        <f t="shared" ref="Z31:Z41" si="23">IF(T31=0,0,X31/T31)</f>
        <v>-5.1100679969365605E-2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3583.28</v>
      </c>
      <c r="E32" s="2"/>
      <c r="F32" s="7">
        <f t="shared" si="16"/>
        <v>0</v>
      </c>
      <c r="G32" s="2"/>
      <c r="H32" s="6">
        <v>3807.6923076923099</v>
      </c>
      <c r="I32" s="2"/>
      <c r="J32" s="7">
        <f t="shared" si="17"/>
        <v>0</v>
      </c>
      <c r="K32" s="2"/>
      <c r="L32" s="6">
        <f t="shared" si="18"/>
        <v>-224.4123076923097</v>
      </c>
      <c r="M32" s="2"/>
      <c r="N32" s="7">
        <f t="shared" si="19"/>
        <v>-5.8936565656566152E-2</v>
      </c>
      <c r="O32" s="11"/>
      <c r="P32" s="6">
        <v>51293.13</v>
      </c>
      <c r="Q32" s="2"/>
      <c r="R32" s="7">
        <f t="shared" si="20"/>
        <v>0</v>
      </c>
      <c r="S32" s="2"/>
      <c r="T32" s="6">
        <v>49500</v>
      </c>
      <c r="U32" s="2"/>
      <c r="V32" s="7">
        <f t="shared" si="21"/>
        <v>0</v>
      </c>
      <c r="W32" s="2"/>
      <c r="X32" s="6">
        <f t="shared" si="22"/>
        <v>1793.1299999999974</v>
      </c>
      <c r="Y32" s="2"/>
      <c r="Z32" s="7">
        <f t="shared" si="23"/>
        <v>3.6224848484848429E-2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9215.4</v>
      </c>
      <c r="E33" s="2"/>
      <c r="F33" s="7">
        <f t="shared" si="16"/>
        <v>0</v>
      </c>
      <c r="G33" s="2"/>
      <c r="H33" s="6">
        <v>4042.5558923076901</v>
      </c>
      <c r="I33" s="2"/>
      <c r="J33" s="7">
        <f t="shared" si="17"/>
        <v>0</v>
      </c>
      <c r="K33" s="2"/>
      <c r="L33" s="6">
        <f t="shared" si="18"/>
        <v>5172.84410769231</v>
      </c>
      <c r="M33" s="2"/>
      <c r="N33" s="7">
        <f t="shared" si="19"/>
        <v>1.2795974243758435</v>
      </c>
      <c r="O33" s="11"/>
      <c r="P33" s="6">
        <v>113216.97</v>
      </c>
      <c r="Q33" s="2"/>
      <c r="R33" s="7">
        <f t="shared" si="20"/>
        <v>0</v>
      </c>
      <c r="S33" s="2"/>
      <c r="T33" s="6">
        <v>51301.959300000002</v>
      </c>
      <c r="U33" s="2"/>
      <c r="V33" s="7">
        <f t="shared" si="21"/>
        <v>0</v>
      </c>
      <c r="W33" s="2"/>
      <c r="X33" s="6">
        <f t="shared" si="22"/>
        <v>61915.010699999999</v>
      </c>
      <c r="Y33" s="2"/>
      <c r="Z33" s="7">
        <f t="shared" si="23"/>
        <v>1.2068741924248494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6">
        <v>3451.2</v>
      </c>
      <c r="E35" s="2"/>
      <c r="F35" s="7">
        <f t="shared" si="16"/>
        <v>0</v>
      </c>
      <c r="G35" s="2"/>
      <c r="H35" s="6">
        <v>12260</v>
      </c>
      <c r="I35" s="2"/>
      <c r="J35" s="7">
        <f t="shared" si="17"/>
        <v>0</v>
      </c>
      <c r="K35" s="2"/>
      <c r="L35" s="6">
        <f t="shared" si="18"/>
        <v>-8808.7999999999993</v>
      </c>
      <c r="M35" s="2"/>
      <c r="N35" s="7">
        <f t="shared" si="19"/>
        <v>-0.71849918433931481</v>
      </c>
      <c r="O35" s="11"/>
      <c r="P35" s="6">
        <v>35337.769999999997</v>
      </c>
      <c r="Q35" s="2"/>
      <c r="R35" s="7">
        <f t="shared" si="20"/>
        <v>0</v>
      </c>
      <c r="S35" s="2"/>
      <c r="T35" s="6">
        <v>158210</v>
      </c>
      <c r="U35" s="2"/>
      <c r="V35" s="7">
        <f t="shared" si="21"/>
        <v>0</v>
      </c>
      <c r="W35" s="2"/>
      <c r="X35" s="6">
        <f t="shared" si="22"/>
        <v>-122872.23000000001</v>
      </c>
      <c r="Y35" s="2"/>
      <c r="Z35" s="7">
        <f t="shared" si="23"/>
        <v>-0.77664009860312255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6">
        <v>2227.59</v>
      </c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2227.59</v>
      </c>
      <c r="M36" s="2"/>
      <c r="N36" s="7">
        <f t="shared" si="19"/>
        <v>0</v>
      </c>
      <c r="O36" s="11"/>
      <c r="P36" s="6">
        <v>76810.009999999995</v>
      </c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76810.009999999995</v>
      </c>
      <c r="Y36" s="2"/>
      <c r="Z36" s="7">
        <f t="shared" si="23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>
        <v>3926.42</v>
      </c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3926.42</v>
      </c>
      <c r="M37" s="2"/>
      <c r="N37" s="7">
        <f t="shared" si="19"/>
        <v>0</v>
      </c>
      <c r="O37" s="11"/>
      <c r="P37" s="6">
        <v>16436.509999999998</v>
      </c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16436.509999999998</v>
      </c>
      <c r="Y37" s="2"/>
      <c r="Z37" s="7">
        <f t="shared" si="23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>
        <v>11506.17</v>
      </c>
      <c r="E38" s="2"/>
      <c r="F38" s="7">
        <f t="shared" si="16"/>
        <v>0</v>
      </c>
      <c r="G38" s="2"/>
      <c r="H38" s="6">
        <v>7146.36</v>
      </c>
      <c r="I38" s="2"/>
      <c r="J38" s="7">
        <f t="shared" si="17"/>
        <v>0</v>
      </c>
      <c r="K38" s="2"/>
      <c r="L38" s="6">
        <f t="shared" si="18"/>
        <v>4359.8100000000004</v>
      </c>
      <c r="M38" s="2"/>
      <c r="N38" s="7">
        <f t="shared" si="19"/>
        <v>0.61007421960270691</v>
      </c>
      <c r="O38" s="11"/>
      <c r="P38" s="6">
        <v>192406.26</v>
      </c>
      <c r="Q38" s="2"/>
      <c r="R38" s="7">
        <f t="shared" si="20"/>
        <v>0</v>
      </c>
      <c r="S38" s="2"/>
      <c r="T38" s="6">
        <v>50072.36</v>
      </c>
      <c r="U38" s="2"/>
      <c r="V38" s="7">
        <f t="shared" si="21"/>
        <v>0</v>
      </c>
      <c r="W38" s="2"/>
      <c r="X38" s="6">
        <f t="shared" si="22"/>
        <v>142333.90000000002</v>
      </c>
      <c r="Y38" s="2"/>
      <c r="Z38" s="7">
        <f t="shared" si="23"/>
        <v>2.8425642410303813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6">
        <v>124.32</v>
      </c>
      <c r="E39" s="2"/>
      <c r="F39" s="7">
        <f t="shared" si="16"/>
        <v>0</v>
      </c>
      <c r="G39" s="2"/>
      <c r="H39" s="6">
        <v>4336.2</v>
      </c>
      <c r="I39" s="2"/>
      <c r="J39" s="7">
        <f t="shared" si="17"/>
        <v>0</v>
      </c>
      <c r="K39" s="2"/>
      <c r="L39" s="6">
        <f t="shared" si="18"/>
        <v>-4211.88</v>
      </c>
      <c r="M39" s="2"/>
      <c r="N39" s="7">
        <f t="shared" si="19"/>
        <v>-0.97132973571329739</v>
      </c>
      <c r="O39" s="11"/>
      <c r="P39" s="6">
        <v>124.32</v>
      </c>
      <c r="Q39" s="2"/>
      <c r="R39" s="7">
        <f t="shared" si="20"/>
        <v>0</v>
      </c>
      <c r="S39" s="2"/>
      <c r="T39" s="6">
        <v>202692.81</v>
      </c>
      <c r="U39" s="2"/>
      <c r="V39" s="7">
        <f t="shared" si="21"/>
        <v>0</v>
      </c>
      <c r="W39" s="2"/>
      <c r="X39" s="6">
        <f t="shared" si="22"/>
        <v>-202568.49</v>
      </c>
      <c r="Y39" s="2"/>
      <c r="Z39" s="7">
        <f t="shared" si="23"/>
        <v>-0.99938665806646021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4">IF(D$12=0,0,D42/D$12)</f>
        <v>0</v>
      </c>
      <c r="G42" s="1"/>
      <c r="H42" s="1">
        <f>SUM(OSRRefH22_2x_0)</f>
        <v>0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0</v>
      </c>
      <c r="M42" s="1"/>
      <c r="N42" s="5">
        <f t="shared" ref="N42:N46" si="27">IF(H42=0,0,L42/H42)</f>
        <v>0</v>
      </c>
      <c r="O42" s="13"/>
      <c r="P42" s="1">
        <f>SUM(OSRRefP22_2x_0)</f>
        <v>525</v>
      </c>
      <c r="Q42" s="1"/>
      <c r="R42" s="5">
        <f t="shared" ref="R42:R46" si="28">IF(P$12=0,0,P42/P$12)</f>
        <v>0</v>
      </c>
      <c r="S42" s="1"/>
      <c r="T42" s="1">
        <f>SUM(OSRRefT22_2x_0)</f>
        <v>0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525</v>
      </c>
      <c r="Y42" s="1"/>
      <c r="Z42" s="5">
        <f t="shared" ref="Z42:Z46" si="31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525</v>
      </c>
      <c r="Q43" s="2"/>
      <c r="R43" s="7">
        <f t="shared" si="28"/>
        <v>0</v>
      </c>
      <c r="S43" s="2"/>
      <c r="T43" s="6"/>
      <c r="U43" s="2"/>
      <c r="V43" s="7">
        <f t="shared" si="29"/>
        <v>0</v>
      </c>
      <c r="W43" s="2"/>
      <c r="X43" s="6">
        <f t="shared" si="30"/>
        <v>525</v>
      </c>
      <c r="Y43" s="2"/>
      <c r="Z43" s="7">
        <f t="shared" si="31"/>
        <v>0</v>
      </c>
    </row>
    <row r="44" spans="1:26" s="27" customFormat="1" outlineLevel="1" collapsed="1" x14ac:dyDescent="0.25">
      <c r="A44" s="25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10.46</v>
      </c>
      <c r="E44" s="1"/>
      <c r="F44" s="5">
        <f t="shared" si="24"/>
        <v>0</v>
      </c>
      <c r="G44" s="1"/>
      <c r="H44" s="1">
        <f>SUM(OSRRefH22_3x_0)</f>
        <v>100</v>
      </c>
      <c r="I44" s="1"/>
      <c r="J44" s="5">
        <f t="shared" si="25"/>
        <v>0</v>
      </c>
      <c r="K44" s="1"/>
      <c r="L44" s="1">
        <f t="shared" si="26"/>
        <v>-89.539999999999992</v>
      </c>
      <c r="M44" s="1"/>
      <c r="N44" s="5">
        <f t="shared" si="27"/>
        <v>-0.89539999999999997</v>
      </c>
      <c r="O44" s="13"/>
      <c r="P44" s="1">
        <f>SUM(OSRRefP22_3x_0)</f>
        <v>5238.12</v>
      </c>
      <c r="Q44" s="1"/>
      <c r="R44" s="5">
        <f t="shared" si="28"/>
        <v>0</v>
      </c>
      <c r="S44" s="1"/>
      <c r="T44" s="1">
        <f>SUM(OSRRefT22_3x_0)</f>
        <v>1200</v>
      </c>
      <c r="U44" s="1"/>
      <c r="V44" s="5">
        <f t="shared" si="29"/>
        <v>0</v>
      </c>
      <c r="W44" s="1"/>
      <c r="X44" s="1">
        <f t="shared" si="30"/>
        <v>4038.12</v>
      </c>
      <c r="Y44" s="1"/>
      <c r="Z44" s="5">
        <f t="shared" si="31"/>
        <v>3.3651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>
        <v>10.46</v>
      </c>
      <c r="E45" s="2"/>
      <c r="F45" s="7">
        <f t="shared" si="24"/>
        <v>0</v>
      </c>
      <c r="G45" s="2"/>
      <c r="H45" s="6">
        <v>50</v>
      </c>
      <c r="I45" s="2"/>
      <c r="J45" s="7">
        <f t="shared" si="25"/>
        <v>0</v>
      </c>
      <c r="K45" s="2"/>
      <c r="L45" s="6">
        <f t="shared" si="26"/>
        <v>-39.54</v>
      </c>
      <c r="M45" s="2"/>
      <c r="N45" s="7">
        <f t="shared" si="27"/>
        <v>-0.79079999999999995</v>
      </c>
      <c r="O45" s="11"/>
      <c r="P45" s="6">
        <v>-111.3</v>
      </c>
      <c r="Q45" s="2"/>
      <c r="R45" s="7">
        <f t="shared" si="28"/>
        <v>0</v>
      </c>
      <c r="S45" s="2"/>
      <c r="T45" s="6">
        <v>600</v>
      </c>
      <c r="U45" s="2"/>
      <c r="V45" s="7">
        <f t="shared" si="29"/>
        <v>0</v>
      </c>
      <c r="W45" s="2"/>
      <c r="X45" s="6">
        <f t="shared" si="30"/>
        <v>-711.3</v>
      </c>
      <c r="Y45" s="2"/>
      <c r="Z45" s="7">
        <f t="shared" si="31"/>
        <v>-1.1855</v>
      </c>
    </row>
    <row r="46" spans="1:26" s="24" customFormat="1" hidden="1" outlineLevel="2" x14ac:dyDescent="0.25">
      <c r="A46" s="26"/>
      <c r="B46" s="11" t="str">
        <f>CONCATENATE("          ", "6342", " - ", "BAD DEBT")</f>
        <v xml:space="preserve">          6342 - BAD DEBT</v>
      </c>
      <c r="C46" s="11"/>
      <c r="D46" s="6"/>
      <c r="E46" s="2"/>
      <c r="F46" s="7">
        <f t="shared" si="24"/>
        <v>0</v>
      </c>
      <c r="G46" s="2"/>
      <c r="H46" s="6">
        <v>50</v>
      </c>
      <c r="I46" s="2"/>
      <c r="J46" s="7">
        <f t="shared" si="25"/>
        <v>0</v>
      </c>
      <c r="K46" s="2"/>
      <c r="L46" s="6">
        <f t="shared" si="26"/>
        <v>-50</v>
      </c>
      <c r="M46" s="2"/>
      <c r="N46" s="7">
        <f t="shared" si="27"/>
        <v>-1</v>
      </c>
      <c r="O46" s="11"/>
      <c r="P46" s="6">
        <v>5349.42</v>
      </c>
      <c r="Q46" s="2"/>
      <c r="R46" s="7">
        <f t="shared" si="28"/>
        <v>0</v>
      </c>
      <c r="S46" s="2"/>
      <c r="T46" s="6">
        <v>600</v>
      </c>
      <c r="U46" s="2"/>
      <c r="V46" s="7">
        <f t="shared" si="29"/>
        <v>0</v>
      </c>
      <c r="W46" s="2"/>
      <c r="X46" s="6">
        <f t="shared" si="30"/>
        <v>4749.42</v>
      </c>
      <c r="Y46" s="2"/>
      <c r="Z46" s="7">
        <f t="shared" si="31"/>
        <v>7.9157000000000002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9778.41</v>
      </c>
      <c r="E47" s="1"/>
      <c r="F47" s="5">
        <f t="shared" ref="F47:F51" si="32">IF(D$12=0,0,D47/D$12)</f>
        <v>0</v>
      </c>
      <c r="G47" s="1"/>
      <c r="H47" s="1">
        <f>SUM(OSRRefH22_4x_0)</f>
        <v>0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9778.41</v>
      </c>
      <c r="M47" s="1"/>
      <c r="N47" s="5">
        <f t="shared" ref="N47:N51" si="35">IF(H47=0,0,L47/H47)</f>
        <v>0</v>
      </c>
      <c r="O47" s="13"/>
      <c r="P47" s="1">
        <f>SUM(OSRRefP22_4x_0)</f>
        <v>83903.1</v>
      </c>
      <c r="Q47" s="1"/>
      <c r="R47" s="5">
        <f t="shared" ref="R47:R51" si="36">IF(P$12=0,0,P47/P$12)</f>
        <v>0</v>
      </c>
      <c r="S47" s="1"/>
      <c r="T47" s="1">
        <f>SUM(OSRRefT22_4x_0)</f>
        <v>179000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-95096.9</v>
      </c>
      <c r="Y47" s="1"/>
      <c r="Z47" s="5">
        <f t="shared" ref="Z47:Z51" si="39">IF(T47=0,0,X47/T47)</f>
        <v>-0.53126759776536314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>
        <v>9778.41</v>
      </c>
      <c r="E48" s="2"/>
      <c r="F48" s="7">
        <f t="shared" si="32"/>
        <v>0</v>
      </c>
      <c r="G48" s="2"/>
      <c r="H48" s="6"/>
      <c r="I48" s="2"/>
      <c r="J48" s="7">
        <f t="shared" si="33"/>
        <v>0</v>
      </c>
      <c r="K48" s="2"/>
      <c r="L48" s="6">
        <f t="shared" si="34"/>
        <v>9778.41</v>
      </c>
      <c r="M48" s="2"/>
      <c r="N48" s="7">
        <f t="shared" si="35"/>
        <v>0</v>
      </c>
      <c r="O48" s="11"/>
      <c r="P48" s="6">
        <v>83903.1</v>
      </c>
      <c r="Q48" s="2"/>
      <c r="R48" s="7">
        <f t="shared" si="36"/>
        <v>0</v>
      </c>
      <c r="S48" s="2"/>
      <c r="T48" s="6">
        <v>179000</v>
      </c>
      <c r="U48" s="2"/>
      <c r="V48" s="7">
        <f t="shared" si="37"/>
        <v>0</v>
      </c>
      <c r="W48" s="2"/>
      <c r="X48" s="6">
        <f t="shared" si="38"/>
        <v>-95096.9</v>
      </c>
      <c r="Y48" s="2"/>
      <c r="Z48" s="7">
        <f t="shared" si="39"/>
        <v>-0.53126759776536314</v>
      </c>
    </row>
    <row r="49" spans="1:26" s="27" customFormat="1" outlineLevel="1" collapsed="1" x14ac:dyDescent="0.25">
      <c r="A49" s="25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30548.54</v>
      </c>
      <c r="E49" s="1"/>
      <c r="F49" s="5">
        <f t="shared" si="32"/>
        <v>0</v>
      </c>
      <c r="G49" s="1"/>
      <c r="H49" s="1">
        <f>SUM(OSRRefH22_5x_0)</f>
        <v>29707</v>
      </c>
      <c r="I49" s="1"/>
      <c r="J49" s="5">
        <f t="shared" si="33"/>
        <v>0</v>
      </c>
      <c r="K49" s="1"/>
      <c r="L49" s="1">
        <f t="shared" si="34"/>
        <v>841.54000000000087</v>
      </c>
      <c r="M49" s="1"/>
      <c r="N49" s="5">
        <f t="shared" si="35"/>
        <v>2.8328003500858411E-2</v>
      </c>
      <c r="O49" s="13"/>
      <c r="P49" s="1">
        <f>SUM(OSRRefP22_5x_0)</f>
        <v>367069.7</v>
      </c>
      <c r="Q49" s="1"/>
      <c r="R49" s="5">
        <f t="shared" si="36"/>
        <v>0</v>
      </c>
      <c r="S49" s="1"/>
      <c r="T49" s="1">
        <f>SUM(OSRRefT22_5x_0)</f>
        <v>362079</v>
      </c>
      <c r="U49" s="1"/>
      <c r="V49" s="5">
        <f t="shared" si="37"/>
        <v>0</v>
      </c>
      <c r="W49" s="1"/>
      <c r="X49" s="1">
        <f t="shared" si="38"/>
        <v>4990.7000000000116</v>
      </c>
      <c r="Y49" s="1"/>
      <c r="Z49" s="5">
        <f t="shared" si="39"/>
        <v>1.3783456096597736E-2</v>
      </c>
    </row>
    <row r="50" spans="1:26" s="24" customFormat="1" hidden="1" outlineLevel="2" x14ac:dyDescent="0.25">
      <c r="A50" s="26"/>
      <c r="B50" s="11" t="str">
        <f>CONCATENATE("          ", "6321", " - ", "BUILDING DEPRECIATION")</f>
        <v xml:space="preserve">          6321 - BUILDING DEPRECIATION</v>
      </c>
      <c r="C50" s="11"/>
      <c r="D50" s="6">
        <v>16396.25</v>
      </c>
      <c r="E50" s="2"/>
      <c r="F50" s="7">
        <f t="shared" si="32"/>
        <v>0</v>
      </c>
      <c r="G50" s="2"/>
      <c r="H50" s="6"/>
      <c r="I50" s="2"/>
      <c r="J50" s="7">
        <f t="shared" si="33"/>
        <v>0</v>
      </c>
      <c r="K50" s="2"/>
      <c r="L50" s="6">
        <f t="shared" si="34"/>
        <v>16396.25</v>
      </c>
      <c r="M50" s="2"/>
      <c r="N50" s="7">
        <f t="shared" si="35"/>
        <v>0</v>
      </c>
      <c r="O50" s="11"/>
      <c r="P50" s="6">
        <v>196757.97</v>
      </c>
      <c r="Q50" s="2"/>
      <c r="R50" s="7">
        <f t="shared" si="36"/>
        <v>0</v>
      </c>
      <c r="S50" s="2"/>
      <c r="T50" s="6"/>
      <c r="U50" s="2"/>
      <c r="V50" s="7">
        <f t="shared" si="37"/>
        <v>0</v>
      </c>
      <c r="W50" s="2"/>
      <c r="X50" s="6">
        <f t="shared" si="38"/>
        <v>196757.97</v>
      </c>
      <c r="Y50" s="2"/>
      <c r="Z50" s="7">
        <f t="shared" si="39"/>
        <v>0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14152.29</v>
      </c>
      <c r="E51" s="2"/>
      <c r="F51" s="7">
        <f t="shared" si="32"/>
        <v>0</v>
      </c>
      <c r="G51" s="2"/>
      <c r="H51" s="6">
        <v>29707</v>
      </c>
      <c r="I51" s="2"/>
      <c r="J51" s="7">
        <f t="shared" si="33"/>
        <v>0</v>
      </c>
      <c r="K51" s="2"/>
      <c r="L51" s="6">
        <f t="shared" si="34"/>
        <v>-15554.71</v>
      </c>
      <c r="M51" s="2"/>
      <c r="N51" s="7">
        <f t="shared" si="35"/>
        <v>-0.52360420103006022</v>
      </c>
      <c r="O51" s="11"/>
      <c r="P51" s="6">
        <v>170311.73</v>
      </c>
      <c r="Q51" s="2"/>
      <c r="R51" s="7">
        <f t="shared" si="36"/>
        <v>0</v>
      </c>
      <c r="S51" s="2"/>
      <c r="T51" s="6">
        <v>362079</v>
      </c>
      <c r="U51" s="2"/>
      <c r="V51" s="7">
        <f t="shared" si="37"/>
        <v>0</v>
      </c>
      <c r="W51" s="2"/>
      <c r="X51" s="6">
        <f t="shared" si="38"/>
        <v>-191767.27</v>
      </c>
      <c r="Y51" s="2"/>
      <c r="Z51" s="7">
        <f t="shared" si="39"/>
        <v>-0.52962825792161372</v>
      </c>
    </row>
    <row r="52" spans="1:26" s="27" customFormat="1" outlineLevel="1" collapsed="1" x14ac:dyDescent="0.25">
      <c r="A52" s="25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0</v>
      </c>
      <c r="E52" s="1"/>
      <c r="F52" s="5">
        <f t="shared" ref="F52:F74" si="40">IF(D$12=0,0,D52/D$12)</f>
        <v>0</v>
      </c>
      <c r="G52" s="1"/>
      <c r="H52" s="1">
        <f>SUM(OSRRefH22_6x_0)</f>
        <v>0</v>
      </c>
      <c r="I52" s="1"/>
      <c r="J52" s="5">
        <f t="shared" ref="J52:J74" si="41">IF(H$12=0,0,H52/H$12)</f>
        <v>0</v>
      </c>
      <c r="K52" s="1"/>
      <c r="L52" s="1">
        <f t="shared" ref="L52:L74" si="42">+D52-H52</f>
        <v>0</v>
      </c>
      <c r="M52" s="1"/>
      <c r="N52" s="5">
        <f t="shared" ref="N52:N74" si="43">IF(H52=0,0,L52/H52)</f>
        <v>0</v>
      </c>
      <c r="O52" s="13"/>
      <c r="P52" s="1">
        <f>SUM(OSRRefP22_6x_0)</f>
        <v>-15.43</v>
      </c>
      <c r="Q52" s="1"/>
      <c r="R52" s="5">
        <f t="shared" ref="R52:R74" si="44">IF(P$12=0,0,P52/P$12)</f>
        <v>0</v>
      </c>
      <c r="S52" s="1"/>
      <c r="T52" s="1">
        <f>SUM(OSRRefT22_6x_0)</f>
        <v>0</v>
      </c>
      <c r="U52" s="1"/>
      <c r="V52" s="5">
        <f t="shared" ref="V52:V74" si="45">IF(T$12=0,0,T52/T$12)</f>
        <v>0</v>
      </c>
      <c r="W52" s="1"/>
      <c r="X52" s="1">
        <f t="shared" ref="X52:X74" si="46">+P52-T52</f>
        <v>-15.43</v>
      </c>
      <c r="Y52" s="1"/>
      <c r="Z52" s="5">
        <f t="shared" ref="Z52:Z74" si="47">IF(T52=0,0,X52/T52)</f>
        <v>0</v>
      </c>
    </row>
    <row r="53" spans="1:26" s="24" customFormat="1" hidden="1" outlineLevel="2" x14ac:dyDescent="0.25">
      <c r="A53" s="26"/>
      <c r="B53" s="11" t="str">
        <f>CONCATENATE("          ", "9175", " - ", "EARNED DISCOUNTS")</f>
        <v xml:space="preserve">          9175 - EARNED DISCOUNTS</v>
      </c>
      <c r="C53" s="11"/>
      <c r="D53" s="6"/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0</v>
      </c>
      <c r="M53" s="2"/>
      <c r="N53" s="7">
        <f t="shared" si="43"/>
        <v>0</v>
      </c>
      <c r="O53" s="11"/>
      <c r="P53" s="6">
        <v>-15.43</v>
      </c>
      <c r="Q53" s="2"/>
      <c r="R53" s="7">
        <f t="shared" si="44"/>
        <v>0</v>
      </c>
      <c r="S53" s="2"/>
      <c r="T53" s="6"/>
      <c r="U53" s="2"/>
      <c r="V53" s="7">
        <f t="shared" si="45"/>
        <v>0</v>
      </c>
      <c r="W53" s="2"/>
      <c r="X53" s="6">
        <f t="shared" si="46"/>
        <v>-15.43</v>
      </c>
      <c r="Y53" s="2"/>
      <c r="Z53" s="7">
        <f t="shared" si="47"/>
        <v>0</v>
      </c>
    </row>
    <row r="54" spans="1:26" s="27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SUM(OSRRefD22_7x_0)</f>
        <v>0</v>
      </c>
      <c r="E54" s="1"/>
      <c r="F54" s="5">
        <f t="shared" si="40"/>
        <v>0</v>
      </c>
      <c r="G54" s="1"/>
      <c r="H54" s="1">
        <f>SUM(OSRRefH22_7x_0)</f>
        <v>1000</v>
      </c>
      <c r="I54" s="1"/>
      <c r="J54" s="5">
        <f t="shared" si="41"/>
        <v>0</v>
      </c>
      <c r="K54" s="1"/>
      <c r="L54" s="1">
        <f t="shared" si="42"/>
        <v>-1000</v>
      </c>
      <c r="M54" s="1"/>
      <c r="N54" s="5">
        <f t="shared" si="43"/>
        <v>-1</v>
      </c>
      <c r="O54" s="13"/>
      <c r="P54" s="1">
        <f>SUM(OSRRefP22_7x_0)</f>
        <v>360.9</v>
      </c>
      <c r="Q54" s="1"/>
      <c r="R54" s="5">
        <f t="shared" si="44"/>
        <v>0</v>
      </c>
      <c r="S54" s="1"/>
      <c r="T54" s="1">
        <f>SUM(OSRRefT22_7x_0)</f>
        <v>12000</v>
      </c>
      <c r="U54" s="1"/>
      <c r="V54" s="5">
        <f t="shared" si="45"/>
        <v>0</v>
      </c>
      <c r="W54" s="1"/>
      <c r="X54" s="1">
        <f t="shared" si="46"/>
        <v>-11639.1</v>
      </c>
      <c r="Y54" s="1"/>
      <c r="Z54" s="5">
        <f t="shared" si="47"/>
        <v>-0.96992500000000004</v>
      </c>
    </row>
    <row r="55" spans="1:26" s="24" customFormat="1" hidden="1" outlineLevel="2" x14ac:dyDescent="0.25">
      <c r="A55" s="26"/>
      <c r="B55" s="11" t="str">
        <f>CONCATENATE("          ", "6399", " - ", "DONATION-ON CAMPUS")</f>
        <v xml:space="preserve">          6399 - DONATION-ON CAMPUS</v>
      </c>
      <c r="C55" s="11"/>
      <c r="D55" s="6"/>
      <c r="E55" s="2"/>
      <c r="F55" s="7">
        <f t="shared" si="40"/>
        <v>0</v>
      </c>
      <c r="G55" s="2"/>
      <c r="H55" s="6">
        <v>1000</v>
      </c>
      <c r="I55" s="2"/>
      <c r="J55" s="7">
        <f t="shared" si="41"/>
        <v>0</v>
      </c>
      <c r="K55" s="2"/>
      <c r="L55" s="6">
        <f t="shared" si="42"/>
        <v>-1000</v>
      </c>
      <c r="M55" s="2"/>
      <c r="N55" s="7">
        <f t="shared" si="43"/>
        <v>-1</v>
      </c>
      <c r="O55" s="11"/>
      <c r="P55" s="6">
        <v>360.9</v>
      </c>
      <c r="Q55" s="2"/>
      <c r="R55" s="7">
        <f t="shared" si="44"/>
        <v>0</v>
      </c>
      <c r="S55" s="2"/>
      <c r="T55" s="6">
        <v>12000</v>
      </c>
      <c r="U55" s="2"/>
      <c r="V55" s="7">
        <f t="shared" si="45"/>
        <v>0</v>
      </c>
      <c r="W55" s="2"/>
      <c r="X55" s="6">
        <f t="shared" si="46"/>
        <v>-11639.1</v>
      </c>
      <c r="Y55" s="2"/>
      <c r="Z55" s="7">
        <f t="shared" si="47"/>
        <v>-0.96992500000000004</v>
      </c>
    </row>
    <row r="56" spans="1:26" s="27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SUM(OSRRefD22_8x_0)</f>
        <v>522.86</v>
      </c>
      <c r="E56" s="1"/>
      <c r="F56" s="5">
        <f t="shared" si="40"/>
        <v>0</v>
      </c>
      <c r="G56" s="1"/>
      <c r="H56" s="1">
        <f>SUM(OSRRefH22_8x_0)</f>
        <v>125</v>
      </c>
      <c r="I56" s="1"/>
      <c r="J56" s="5">
        <f t="shared" si="41"/>
        <v>0</v>
      </c>
      <c r="K56" s="1"/>
      <c r="L56" s="1">
        <f t="shared" si="42"/>
        <v>397.86</v>
      </c>
      <c r="M56" s="1"/>
      <c r="N56" s="5">
        <f t="shared" si="43"/>
        <v>3.1828799999999999</v>
      </c>
      <c r="O56" s="13"/>
      <c r="P56" s="1">
        <f>SUM(OSRRefP22_8x_0)</f>
        <v>601.19000000000005</v>
      </c>
      <c r="Q56" s="1"/>
      <c r="R56" s="5">
        <f t="shared" si="44"/>
        <v>0</v>
      </c>
      <c r="S56" s="1"/>
      <c r="T56" s="1">
        <f>SUM(OSRRefT22_8x_0)</f>
        <v>1600</v>
      </c>
      <c r="U56" s="1"/>
      <c r="V56" s="5">
        <f t="shared" si="45"/>
        <v>0</v>
      </c>
      <c r="W56" s="1"/>
      <c r="X56" s="1">
        <f t="shared" si="46"/>
        <v>-998.81</v>
      </c>
      <c r="Y56" s="1"/>
      <c r="Z56" s="5">
        <f t="shared" si="47"/>
        <v>-0.62425624999999996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522.86</v>
      </c>
      <c r="E57" s="2"/>
      <c r="F57" s="7">
        <f t="shared" si="40"/>
        <v>0</v>
      </c>
      <c r="G57" s="2"/>
      <c r="H57" s="6">
        <v>125</v>
      </c>
      <c r="I57" s="2"/>
      <c r="J57" s="7">
        <f t="shared" si="41"/>
        <v>0</v>
      </c>
      <c r="K57" s="2"/>
      <c r="L57" s="6">
        <f t="shared" si="42"/>
        <v>397.86</v>
      </c>
      <c r="M57" s="2"/>
      <c r="N57" s="7">
        <f t="shared" si="43"/>
        <v>3.1828799999999999</v>
      </c>
      <c r="O57" s="11"/>
      <c r="P57" s="6">
        <v>601.19000000000005</v>
      </c>
      <c r="Q57" s="2"/>
      <c r="R57" s="7">
        <f t="shared" si="44"/>
        <v>0</v>
      </c>
      <c r="S57" s="2"/>
      <c r="T57" s="6">
        <v>1600</v>
      </c>
      <c r="U57" s="2"/>
      <c r="V57" s="7">
        <f t="shared" si="45"/>
        <v>0</v>
      </c>
      <c r="W57" s="2"/>
      <c r="X57" s="6">
        <f t="shared" si="46"/>
        <v>-998.81</v>
      </c>
      <c r="Y57" s="2"/>
      <c r="Z57" s="7">
        <f t="shared" si="47"/>
        <v>-0.62425624999999996</v>
      </c>
    </row>
    <row r="58" spans="1:26" s="27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SUM(OSRRefD22_9x_0)</f>
        <v>923.91</v>
      </c>
      <c r="E58" s="1"/>
      <c r="F58" s="5">
        <f t="shared" si="40"/>
        <v>0</v>
      </c>
      <c r="G58" s="1"/>
      <c r="H58" s="1">
        <f>SUM(OSRRefH22_9x_0)</f>
        <v>1700</v>
      </c>
      <c r="I58" s="1"/>
      <c r="J58" s="5">
        <f t="shared" si="41"/>
        <v>0</v>
      </c>
      <c r="K58" s="1"/>
      <c r="L58" s="1">
        <f t="shared" si="42"/>
        <v>-776.09</v>
      </c>
      <c r="M58" s="1"/>
      <c r="N58" s="5">
        <f t="shared" si="43"/>
        <v>-0.45652352941176472</v>
      </c>
      <c r="O58" s="13"/>
      <c r="P58" s="1">
        <f>SUM(OSRRefP22_9x_0)</f>
        <v>3204.23</v>
      </c>
      <c r="Q58" s="1"/>
      <c r="R58" s="5">
        <f t="shared" si="44"/>
        <v>0</v>
      </c>
      <c r="S58" s="1"/>
      <c r="T58" s="1">
        <f>SUM(OSRRefT22_9x_0)</f>
        <v>20400</v>
      </c>
      <c r="U58" s="1"/>
      <c r="V58" s="5">
        <f t="shared" si="45"/>
        <v>0</v>
      </c>
      <c r="W58" s="1"/>
      <c r="X58" s="1">
        <f t="shared" si="46"/>
        <v>-17195.77</v>
      </c>
      <c r="Y58" s="1"/>
      <c r="Z58" s="5">
        <f t="shared" si="47"/>
        <v>-0.84292990196078432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923.91</v>
      </c>
      <c r="E59" s="2"/>
      <c r="F59" s="7">
        <f t="shared" si="40"/>
        <v>0</v>
      </c>
      <c r="G59" s="2"/>
      <c r="H59" s="6">
        <v>1700</v>
      </c>
      <c r="I59" s="2"/>
      <c r="J59" s="7">
        <f t="shared" si="41"/>
        <v>0</v>
      </c>
      <c r="K59" s="2"/>
      <c r="L59" s="6">
        <f t="shared" si="42"/>
        <v>-776.09</v>
      </c>
      <c r="M59" s="2"/>
      <c r="N59" s="7">
        <f t="shared" si="43"/>
        <v>-0.45652352941176472</v>
      </c>
      <c r="O59" s="11"/>
      <c r="P59" s="6">
        <v>3204.23</v>
      </c>
      <c r="Q59" s="2"/>
      <c r="R59" s="7">
        <f t="shared" si="44"/>
        <v>0</v>
      </c>
      <c r="S59" s="2"/>
      <c r="T59" s="6">
        <v>20400</v>
      </c>
      <c r="U59" s="2"/>
      <c r="V59" s="7">
        <f t="shared" si="45"/>
        <v>0</v>
      </c>
      <c r="W59" s="2"/>
      <c r="X59" s="6">
        <f t="shared" si="46"/>
        <v>-17195.77</v>
      </c>
      <c r="Y59" s="2"/>
      <c r="Z59" s="7">
        <f t="shared" si="47"/>
        <v>-0.84292990196078432</v>
      </c>
    </row>
    <row r="60" spans="1:26" s="27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SUM(OSRRefD22_10x_0)</f>
        <v>315.95</v>
      </c>
      <c r="E60" s="1"/>
      <c r="F60" s="5">
        <f t="shared" si="40"/>
        <v>0</v>
      </c>
      <c r="G60" s="1"/>
      <c r="H60" s="1">
        <f>SUM(OSRRefH22_10x_0)</f>
        <v>10</v>
      </c>
      <c r="I60" s="1"/>
      <c r="J60" s="5">
        <f t="shared" si="41"/>
        <v>0</v>
      </c>
      <c r="K60" s="1"/>
      <c r="L60" s="1">
        <f t="shared" si="42"/>
        <v>305.95</v>
      </c>
      <c r="M60" s="1"/>
      <c r="N60" s="5">
        <f t="shared" si="43"/>
        <v>30.594999999999999</v>
      </c>
      <c r="O60" s="13"/>
      <c r="P60" s="1">
        <f>SUM(OSRRefP22_10x_0)</f>
        <v>2591.96</v>
      </c>
      <c r="Q60" s="1"/>
      <c r="R60" s="5">
        <f t="shared" si="44"/>
        <v>0</v>
      </c>
      <c r="S60" s="1"/>
      <c r="T60" s="1">
        <f>SUM(OSRRefT22_10x_0)</f>
        <v>120</v>
      </c>
      <c r="U60" s="1"/>
      <c r="V60" s="5">
        <f t="shared" si="45"/>
        <v>0</v>
      </c>
      <c r="W60" s="1"/>
      <c r="X60" s="1">
        <f t="shared" si="46"/>
        <v>2471.96</v>
      </c>
      <c r="Y60" s="1"/>
      <c r="Z60" s="5">
        <f t="shared" si="47"/>
        <v>20.599666666666668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6">
        <v>315.95</v>
      </c>
      <c r="E61" s="2"/>
      <c r="F61" s="7">
        <f t="shared" si="40"/>
        <v>0</v>
      </c>
      <c r="G61" s="2"/>
      <c r="H61" s="6">
        <v>10</v>
      </c>
      <c r="I61" s="2"/>
      <c r="J61" s="7">
        <f t="shared" si="41"/>
        <v>0</v>
      </c>
      <c r="K61" s="2"/>
      <c r="L61" s="6">
        <f t="shared" si="42"/>
        <v>305.95</v>
      </c>
      <c r="M61" s="2"/>
      <c r="N61" s="7">
        <f t="shared" si="43"/>
        <v>30.594999999999999</v>
      </c>
      <c r="O61" s="11"/>
      <c r="P61" s="6">
        <v>2591.96</v>
      </c>
      <c r="Q61" s="2"/>
      <c r="R61" s="7">
        <f t="shared" si="44"/>
        <v>0</v>
      </c>
      <c r="S61" s="2"/>
      <c r="T61" s="6">
        <v>120</v>
      </c>
      <c r="U61" s="2"/>
      <c r="V61" s="7">
        <f t="shared" si="45"/>
        <v>0</v>
      </c>
      <c r="W61" s="2"/>
      <c r="X61" s="6">
        <f t="shared" si="46"/>
        <v>2471.96</v>
      </c>
      <c r="Y61" s="2"/>
      <c r="Z61" s="7">
        <f t="shared" si="47"/>
        <v>20.599666666666668</v>
      </c>
    </row>
    <row r="62" spans="1:26" s="27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SUM(OSRRefD22_11x_0)</f>
        <v>0</v>
      </c>
      <c r="E62" s="1"/>
      <c r="F62" s="5">
        <f t="shared" si="40"/>
        <v>0</v>
      </c>
      <c r="G62" s="1"/>
      <c r="H62" s="1">
        <f>SUM(OSRRefH22_11x_0)</f>
        <v>500</v>
      </c>
      <c r="I62" s="1"/>
      <c r="J62" s="5">
        <f t="shared" si="41"/>
        <v>0</v>
      </c>
      <c r="K62" s="1"/>
      <c r="L62" s="1">
        <f t="shared" si="42"/>
        <v>-500</v>
      </c>
      <c r="M62" s="1"/>
      <c r="N62" s="5">
        <f t="shared" si="43"/>
        <v>-1</v>
      </c>
      <c r="O62" s="13"/>
      <c r="P62" s="1">
        <f>SUM(OSRRefP22_11x_0)</f>
        <v>1386.81</v>
      </c>
      <c r="Q62" s="1"/>
      <c r="R62" s="5">
        <f t="shared" si="44"/>
        <v>0</v>
      </c>
      <c r="S62" s="1"/>
      <c r="T62" s="1">
        <f>SUM(OSRRefT22_11x_0)</f>
        <v>6000</v>
      </c>
      <c r="U62" s="1"/>
      <c r="V62" s="5">
        <f t="shared" si="45"/>
        <v>0</v>
      </c>
      <c r="W62" s="1"/>
      <c r="X62" s="1">
        <f t="shared" si="46"/>
        <v>-4613.1900000000005</v>
      </c>
      <c r="Y62" s="1"/>
      <c r="Z62" s="5">
        <f t="shared" si="47"/>
        <v>-0.76886500000000013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0"/>
        <v>0</v>
      </c>
      <c r="G63" s="2"/>
      <c r="H63" s="6">
        <v>500</v>
      </c>
      <c r="I63" s="2"/>
      <c r="J63" s="7">
        <f t="shared" si="41"/>
        <v>0</v>
      </c>
      <c r="K63" s="2"/>
      <c r="L63" s="6">
        <f t="shared" si="42"/>
        <v>-500</v>
      </c>
      <c r="M63" s="2"/>
      <c r="N63" s="7">
        <f t="shared" si="43"/>
        <v>-1</v>
      </c>
      <c r="O63" s="11"/>
      <c r="P63" s="6">
        <v>1386.81</v>
      </c>
      <c r="Q63" s="2"/>
      <c r="R63" s="7">
        <f t="shared" si="44"/>
        <v>0</v>
      </c>
      <c r="S63" s="2"/>
      <c r="T63" s="6">
        <v>6000</v>
      </c>
      <c r="U63" s="2"/>
      <c r="V63" s="7">
        <f t="shared" si="45"/>
        <v>0</v>
      </c>
      <c r="W63" s="2"/>
      <c r="X63" s="6">
        <f t="shared" si="46"/>
        <v>-4613.1900000000005</v>
      </c>
      <c r="Y63" s="2"/>
      <c r="Z63" s="7">
        <f t="shared" si="47"/>
        <v>-0.76886500000000013</v>
      </c>
    </row>
    <row r="64" spans="1:26" s="27" customFormat="1" outlineLevel="1" collapsed="1" x14ac:dyDescent="0.25">
      <c r="A64" s="25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SUM(OSRRefD22_12x_0)</f>
        <v>8316.99</v>
      </c>
      <c r="E64" s="1"/>
      <c r="F64" s="5">
        <f t="shared" si="40"/>
        <v>0</v>
      </c>
      <c r="G64" s="1"/>
      <c r="H64" s="1">
        <f>SUM(OSRRefH22_12x_0)</f>
        <v>4270</v>
      </c>
      <c r="I64" s="1"/>
      <c r="J64" s="5">
        <f t="shared" si="41"/>
        <v>0</v>
      </c>
      <c r="K64" s="1"/>
      <c r="L64" s="1">
        <f t="shared" si="42"/>
        <v>4046.99</v>
      </c>
      <c r="M64" s="1"/>
      <c r="N64" s="5">
        <f t="shared" si="43"/>
        <v>0.9477728337236534</v>
      </c>
      <c r="O64" s="13"/>
      <c r="P64" s="1">
        <f>SUM(OSRRefP22_12x_0)</f>
        <v>51036.15</v>
      </c>
      <c r="Q64" s="1"/>
      <c r="R64" s="5">
        <f t="shared" si="44"/>
        <v>0</v>
      </c>
      <c r="S64" s="1"/>
      <c r="T64" s="1">
        <f>SUM(OSRRefT22_12x_0)</f>
        <v>51240</v>
      </c>
      <c r="U64" s="1"/>
      <c r="V64" s="5">
        <f t="shared" si="45"/>
        <v>0</v>
      </c>
      <c r="W64" s="1"/>
      <c r="X64" s="1">
        <f t="shared" si="46"/>
        <v>-203.84999999999854</v>
      </c>
      <c r="Y64" s="1"/>
      <c r="Z64" s="5">
        <f t="shared" si="47"/>
        <v>-3.9783372365339298E-3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6">
        <v>8316.99</v>
      </c>
      <c r="E65" s="2"/>
      <c r="F65" s="7">
        <f t="shared" si="40"/>
        <v>0</v>
      </c>
      <c r="G65" s="2"/>
      <c r="H65" s="6">
        <v>4270</v>
      </c>
      <c r="I65" s="2"/>
      <c r="J65" s="7">
        <f t="shared" si="41"/>
        <v>0</v>
      </c>
      <c r="K65" s="2"/>
      <c r="L65" s="6">
        <f t="shared" si="42"/>
        <v>4046.99</v>
      </c>
      <c r="M65" s="2"/>
      <c r="N65" s="7">
        <f t="shared" si="43"/>
        <v>0.9477728337236534</v>
      </c>
      <c r="O65" s="11"/>
      <c r="P65" s="6">
        <v>51036.15</v>
      </c>
      <c r="Q65" s="2"/>
      <c r="R65" s="7">
        <f t="shared" si="44"/>
        <v>0</v>
      </c>
      <c r="S65" s="2"/>
      <c r="T65" s="6">
        <v>51240</v>
      </c>
      <c r="U65" s="2"/>
      <c r="V65" s="7">
        <f t="shared" si="45"/>
        <v>0</v>
      </c>
      <c r="W65" s="2"/>
      <c r="X65" s="6">
        <f t="shared" si="46"/>
        <v>-203.84999999999854</v>
      </c>
      <c r="Y65" s="2"/>
      <c r="Z65" s="7">
        <f t="shared" si="47"/>
        <v>-3.9783372365339298E-3</v>
      </c>
    </row>
    <row r="66" spans="1:26" s="27" customFormat="1" outlineLevel="1" collapsed="1" x14ac:dyDescent="0.25">
      <c r="A66" s="25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1000</v>
      </c>
      <c r="I66" s="1"/>
      <c r="J66" s="5">
        <f t="shared" si="41"/>
        <v>0</v>
      </c>
      <c r="K66" s="1"/>
      <c r="L66" s="1">
        <f t="shared" si="42"/>
        <v>-1000</v>
      </c>
      <c r="M66" s="1"/>
      <c r="N66" s="5">
        <f t="shared" si="43"/>
        <v>-1</v>
      </c>
      <c r="O66" s="13"/>
      <c r="P66" s="1">
        <f>SUM(OSRRefP22_13x_0)</f>
        <v>0</v>
      </c>
      <c r="Q66" s="1"/>
      <c r="R66" s="5">
        <f t="shared" si="44"/>
        <v>0</v>
      </c>
      <c r="S66" s="1"/>
      <c r="T66" s="1">
        <f>SUM(OSRRefT22_13x_0)</f>
        <v>12000</v>
      </c>
      <c r="U66" s="1"/>
      <c r="V66" s="5">
        <f t="shared" si="45"/>
        <v>0</v>
      </c>
      <c r="W66" s="1"/>
      <c r="X66" s="1">
        <f t="shared" si="46"/>
        <v>-12000</v>
      </c>
      <c r="Y66" s="1"/>
      <c r="Z66" s="5">
        <f t="shared" si="47"/>
        <v>-1</v>
      </c>
    </row>
    <row r="67" spans="1:26" s="24" customFormat="1" hidden="1" outlineLevel="2" x14ac:dyDescent="0.25">
      <c r="A67" s="26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0"/>
        <v>0</v>
      </c>
      <c r="G67" s="2"/>
      <c r="H67" s="6">
        <v>1000</v>
      </c>
      <c r="I67" s="2"/>
      <c r="J67" s="7">
        <f t="shared" si="41"/>
        <v>0</v>
      </c>
      <c r="K67" s="2"/>
      <c r="L67" s="6">
        <f t="shared" si="42"/>
        <v>-1000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12000</v>
      </c>
      <c r="U67" s="2"/>
      <c r="V67" s="7">
        <f t="shared" si="45"/>
        <v>0</v>
      </c>
      <c r="W67" s="2"/>
      <c r="X67" s="6">
        <f t="shared" si="46"/>
        <v>-12000</v>
      </c>
      <c r="Y67" s="2"/>
      <c r="Z67" s="7">
        <f t="shared" si="47"/>
        <v>-1</v>
      </c>
    </row>
    <row r="68" spans="1:26" s="27" customFormat="1" outlineLevel="1" collapsed="1" x14ac:dyDescent="0.25">
      <c r="A68" s="25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SUM(OSRRefP22_14x_0)</f>
        <v>-9600</v>
      </c>
      <c r="Q68" s="1"/>
      <c r="R68" s="5">
        <f t="shared" si="44"/>
        <v>0</v>
      </c>
      <c r="S68" s="1"/>
      <c r="T68" s="1">
        <f>SUM(OSRRefT22_14x_0)</f>
        <v>-9600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6"/>
      <c r="B69" s="11" t="str">
        <f>CONCATENATE("          ", "6273", " - ", "RENT")</f>
        <v xml:space="preserve">          6273 - RENT</v>
      </c>
      <c r="C69" s="11"/>
      <c r="D69" s="6">
        <v>-800</v>
      </c>
      <c r="E69" s="2"/>
      <c r="F69" s="7">
        <f t="shared" si="40"/>
        <v>0</v>
      </c>
      <c r="G69" s="2"/>
      <c r="H69" s="6">
        <v>-800</v>
      </c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-9600</v>
      </c>
      <c r="Q69" s="2"/>
      <c r="R69" s="7">
        <f t="shared" si="44"/>
        <v>0</v>
      </c>
      <c r="S69" s="2"/>
      <c r="T69" s="6">
        <v>-9600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7" customFormat="1" outlineLevel="1" collapsed="1" x14ac:dyDescent="0.25">
      <c r="A70" s="25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SUM(OSRRefD22_15x_0)</f>
        <v>14440.09</v>
      </c>
      <c r="E70" s="1"/>
      <c r="F70" s="5">
        <f t="shared" si="40"/>
        <v>0</v>
      </c>
      <c r="G70" s="1"/>
      <c r="H70" s="1">
        <f>SUM(OSRRefH22_15x_0)</f>
        <v>9000</v>
      </c>
      <c r="I70" s="1"/>
      <c r="J70" s="5">
        <f t="shared" si="41"/>
        <v>0</v>
      </c>
      <c r="K70" s="1"/>
      <c r="L70" s="1">
        <f t="shared" si="42"/>
        <v>5440.09</v>
      </c>
      <c r="M70" s="1"/>
      <c r="N70" s="5">
        <f t="shared" si="43"/>
        <v>0.60445444444444441</v>
      </c>
      <c r="O70" s="13"/>
      <c r="P70" s="1">
        <f>SUM(OSRRefP22_15x_0)</f>
        <v>120669.56</v>
      </c>
      <c r="Q70" s="1"/>
      <c r="R70" s="5">
        <f t="shared" si="44"/>
        <v>0</v>
      </c>
      <c r="S70" s="1"/>
      <c r="T70" s="1">
        <f>SUM(OSRRefT22_15x_0)</f>
        <v>153000</v>
      </c>
      <c r="U70" s="1"/>
      <c r="V70" s="5">
        <f t="shared" si="45"/>
        <v>0</v>
      </c>
      <c r="W70" s="1"/>
      <c r="X70" s="1">
        <f t="shared" si="46"/>
        <v>-32330.440000000002</v>
      </c>
      <c r="Y70" s="1"/>
      <c r="Z70" s="5">
        <f t="shared" si="47"/>
        <v>-0.21131006535947713</v>
      </c>
    </row>
    <row r="71" spans="1:26" s="24" customFormat="1" hidden="1" outlineLevel="2" x14ac:dyDescent="0.25">
      <c r="A71" s="26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59760.03</v>
      </c>
      <c r="Q71" s="2"/>
      <c r="R71" s="7">
        <f t="shared" si="44"/>
        <v>0</v>
      </c>
      <c r="S71" s="2"/>
      <c r="T71" s="6">
        <v>45000</v>
      </c>
      <c r="U71" s="2"/>
      <c r="V71" s="7">
        <f t="shared" si="45"/>
        <v>0</v>
      </c>
      <c r="W71" s="2"/>
      <c r="X71" s="6">
        <f t="shared" si="46"/>
        <v>14760.029999999999</v>
      </c>
      <c r="Y71" s="2"/>
      <c r="Z71" s="7">
        <f t="shared" si="47"/>
        <v>0.32800066666666666</v>
      </c>
    </row>
    <row r="72" spans="1:26" s="24" customFormat="1" hidden="1" outlineLevel="2" x14ac:dyDescent="0.25">
      <c r="A72" s="26"/>
      <c r="B72" s="11" t="str">
        <f>CONCATENATE("          ", "6372", " - ", "COMPUTER HARDWARE MAINTENANCE")</f>
        <v xml:space="preserve">          6372 - COMPUTER HARDWARE MAINTENANCE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-0.63</v>
      </c>
      <c r="Q72" s="2"/>
      <c r="R72" s="7">
        <f t="shared" si="44"/>
        <v>0</v>
      </c>
      <c r="S72" s="2"/>
      <c r="T72" s="6"/>
      <c r="U72" s="2"/>
      <c r="V72" s="7">
        <f t="shared" si="45"/>
        <v>0</v>
      </c>
      <c r="W72" s="2"/>
      <c r="X72" s="6">
        <f t="shared" si="46"/>
        <v>-0.63</v>
      </c>
      <c r="Y72" s="2"/>
      <c r="Z72" s="7">
        <f t="shared" si="47"/>
        <v>0</v>
      </c>
    </row>
    <row r="73" spans="1:26" s="24" customFormat="1" hidden="1" outlineLevel="2" x14ac:dyDescent="0.25">
      <c r="A73" s="26"/>
      <c r="B73" s="11" t="str">
        <f>CONCATENATE("          ", "6373", " - ", "MAINTENANCE CONTRACTS")</f>
        <v xml:space="preserve">          6373 - MAINTENANCE CONTRACTS</v>
      </c>
      <c r="C73" s="11"/>
      <c r="D73" s="6">
        <v>1062.6300000000001</v>
      </c>
      <c r="E73" s="2"/>
      <c r="F73" s="7">
        <f t="shared" si="40"/>
        <v>0</v>
      </c>
      <c r="G73" s="2"/>
      <c r="H73" s="6">
        <v>1000</v>
      </c>
      <c r="I73" s="2"/>
      <c r="J73" s="7">
        <f t="shared" si="41"/>
        <v>0</v>
      </c>
      <c r="K73" s="2"/>
      <c r="L73" s="6">
        <f t="shared" si="42"/>
        <v>62.630000000000109</v>
      </c>
      <c r="M73" s="2"/>
      <c r="N73" s="7">
        <f t="shared" si="43"/>
        <v>6.2630000000000102E-2</v>
      </c>
      <c r="O73" s="11"/>
      <c r="P73" s="6">
        <v>18390.23</v>
      </c>
      <c r="Q73" s="2"/>
      <c r="R73" s="7">
        <f t="shared" si="44"/>
        <v>0</v>
      </c>
      <c r="S73" s="2"/>
      <c r="T73" s="6">
        <v>12000</v>
      </c>
      <c r="U73" s="2"/>
      <c r="V73" s="7">
        <f t="shared" si="45"/>
        <v>0</v>
      </c>
      <c r="W73" s="2"/>
      <c r="X73" s="6">
        <f t="shared" si="46"/>
        <v>6390.23</v>
      </c>
      <c r="Y73" s="2"/>
      <c r="Z73" s="7">
        <f t="shared" si="47"/>
        <v>0.53251916666666665</v>
      </c>
    </row>
    <row r="74" spans="1:26" s="24" customFormat="1" hidden="1" outlineLevel="2" x14ac:dyDescent="0.25">
      <c r="A74" s="26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13377.46</v>
      </c>
      <c r="E74" s="2"/>
      <c r="F74" s="7">
        <f t="shared" si="40"/>
        <v>0</v>
      </c>
      <c r="G74" s="2"/>
      <c r="H74" s="6">
        <v>8000</v>
      </c>
      <c r="I74" s="2"/>
      <c r="J74" s="7">
        <f t="shared" si="41"/>
        <v>0</v>
      </c>
      <c r="K74" s="2"/>
      <c r="L74" s="6">
        <f t="shared" si="42"/>
        <v>5377.4599999999991</v>
      </c>
      <c r="M74" s="2"/>
      <c r="N74" s="7">
        <f t="shared" si="43"/>
        <v>0.67218249999999991</v>
      </c>
      <c r="O74" s="11"/>
      <c r="P74" s="6">
        <v>42519.93</v>
      </c>
      <c r="Q74" s="2"/>
      <c r="R74" s="7">
        <f t="shared" si="44"/>
        <v>0</v>
      </c>
      <c r="S74" s="2"/>
      <c r="T74" s="6">
        <v>96000</v>
      </c>
      <c r="U74" s="2"/>
      <c r="V74" s="7">
        <f t="shared" si="45"/>
        <v>0</v>
      </c>
      <c r="W74" s="2"/>
      <c r="X74" s="6">
        <f t="shared" si="46"/>
        <v>-53480.07</v>
      </c>
      <c r="Y74" s="2"/>
      <c r="Z74" s="7">
        <f t="shared" si="47"/>
        <v>-0.55708406249999998</v>
      </c>
    </row>
    <row r="75" spans="1:26" s="27" customFormat="1" outlineLevel="1" collapsed="1" x14ac:dyDescent="0.25">
      <c r="A75" s="25"/>
      <c r="B75" s="13" t="str">
        <f>CONCATENATE("     ","Services                                          ")</f>
        <v xml:space="preserve">     Services                                          </v>
      </c>
      <c r="C75" s="13"/>
      <c r="D75" s="1">
        <f>SUM(OSRRefD22_16x_0)</f>
        <v>4432.7299999999996</v>
      </c>
      <c r="E75" s="1"/>
      <c r="F75" s="5">
        <f t="shared" ref="F75:F78" si="48">IF(D$12=0,0,D75/D$12)</f>
        <v>0</v>
      </c>
      <c r="G75" s="1"/>
      <c r="H75" s="1">
        <f>SUM(OSRRefH22_16x_0)</f>
        <v>4300</v>
      </c>
      <c r="I75" s="1"/>
      <c r="J75" s="5">
        <f t="shared" ref="J75:J78" si="49">IF(H$12=0,0,H75/H$12)</f>
        <v>0</v>
      </c>
      <c r="K75" s="1"/>
      <c r="L75" s="1">
        <f t="shared" ref="L75:L78" si="50">+D75-H75</f>
        <v>132.72999999999956</v>
      </c>
      <c r="M75" s="1"/>
      <c r="N75" s="5">
        <f t="shared" ref="N75:N78" si="51">IF(H75=0,0,L75/H75)</f>
        <v>3.0867441860465014E-2</v>
      </c>
      <c r="O75" s="13"/>
      <c r="P75" s="1">
        <f>SUM(OSRRefP22_16x_0)</f>
        <v>47937.009999999995</v>
      </c>
      <c r="Q75" s="1"/>
      <c r="R75" s="5">
        <f t="shared" ref="R75:R78" si="52">IF(P$12=0,0,P75/P$12)</f>
        <v>0</v>
      </c>
      <c r="S75" s="1"/>
      <c r="T75" s="1">
        <f>SUM(OSRRefT22_16x_0)</f>
        <v>51600</v>
      </c>
      <c r="U75" s="1"/>
      <c r="V75" s="5">
        <f t="shared" ref="V75:V78" si="53">IF(T$12=0,0,T75/T$12)</f>
        <v>0</v>
      </c>
      <c r="W75" s="1"/>
      <c r="X75" s="1">
        <f t="shared" ref="X75:X78" si="54">+P75-T75</f>
        <v>-3662.9900000000052</v>
      </c>
      <c r="Y75" s="1"/>
      <c r="Z75" s="5">
        <f t="shared" ref="Z75:Z78" si="55">IF(T75=0,0,X75/T75)</f>
        <v>-7.0988178294573739E-2</v>
      </c>
    </row>
    <row r="76" spans="1:26" s="24" customFormat="1" hidden="1" outlineLevel="2" x14ac:dyDescent="0.25">
      <c r="A76" s="26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582</v>
      </c>
      <c r="E76" s="2"/>
      <c r="F76" s="7">
        <f t="shared" si="48"/>
        <v>0</v>
      </c>
      <c r="G76" s="2"/>
      <c r="H76" s="6">
        <v>4000</v>
      </c>
      <c r="I76" s="2"/>
      <c r="J76" s="7">
        <f t="shared" si="49"/>
        <v>0</v>
      </c>
      <c r="K76" s="2"/>
      <c r="L76" s="6">
        <f t="shared" si="50"/>
        <v>-3418</v>
      </c>
      <c r="M76" s="2"/>
      <c r="N76" s="7">
        <f t="shared" si="51"/>
        <v>-0.85450000000000004</v>
      </c>
      <c r="O76" s="11"/>
      <c r="P76" s="6">
        <v>8103.12</v>
      </c>
      <c r="Q76" s="2"/>
      <c r="R76" s="7">
        <f t="shared" si="52"/>
        <v>0</v>
      </c>
      <c r="S76" s="2"/>
      <c r="T76" s="6">
        <v>48000</v>
      </c>
      <c r="U76" s="2"/>
      <c r="V76" s="7">
        <f t="shared" si="53"/>
        <v>0</v>
      </c>
      <c r="W76" s="2"/>
      <c r="X76" s="6">
        <f t="shared" si="54"/>
        <v>-39896.879999999997</v>
      </c>
      <c r="Y76" s="2"/>
      <c r="Z76" s="7">
        <f t="shared" si="55"/>
        <v>-0.83118499999999995</v>
      </c>
    </row>
    <row r="77" spans="1:26" s="24" customFormat="1" hidden="1" outlineLevel="2" x14ac:dyDescent="0.25">
      <c r="A77" s="26"/>
      <c r="B77" s="11" t="str">
        <f>CONCATENATE("          ", "6283", " - ", "PLANT SERVICE")</f>
        <v xml:space="preserve">          6283 - PLANT SERVICE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>
        <v>130</v>
      </c>
      <c r="Q77" s="2"/>
      <c r="R77" s="7">
        <f t="shared" si="52"/>
        <v>0</v>
      </c>
      <c r="S77" s="2"/>
      <c r="T77" s="6"/>
      <c r="U77" s="2"/>
      <c r="V77" s="7">
        <f t="shared" si="53"/>
        <v>0</v>
      </c>
      <c r="W77" s="2"/>
      <c r="X77" s="6">
        <f t="shared" si="54"/>
        <v>130</v>
      </c>
      <c r="Y77" s="2"/>
      <c r="Z77" s="7">
        <f t="shared" si="55"/>
        <v>0</v>
      </c>
    </row>
    <row r="78" spans="1:26" s="24" customFormat="1" hidden="1" outlineLevel="2" x14ac:dyDescent="0.25">
      <c r="A78" s="26"/>
      <c r="B78" s="11" t="str">
        <f>CONCATENATE("          ", "6285", " - ", "JANITORIAL SERVICES")</f>
        <v xml:space="preserve">          6285 - JANITORIAL SERVICES</v>
      </c>
      <c r="C78" s="11"/>
      <c r="D78" s="6">
        <v>3850.73</v>
      </c>
      <c r="E78" s="2"/>
      <c r="F78" s="7">
        <f t="shared" si="48"/>
        <v>0</v>
      </c>
      <c r="G78" s="2"/>
      <c r="H78" s="6">
        <v>300</v>
      </c>
      <c r="I78" s="2"/>
      <c r="J78" s="7">
        <f t="shared" si="49"/>
        <v>0</v>
      </c>
      <c r="K78" s="2"/>
      <c r="L78" s="6">
        <f t="shared" si="50"/>
        <v>3550.73</v>
      </c>
      <c r="M78" s="2"/>
      <c r="N78" s="7">
        <f t="shared" si="51"/>
        <v>11.835766666666666</v>
      </c>
      <c r="O78" s="11"/>
      <c r="P78" s="6">
        <v>39703.89</v>
      </c>
      <c r="Q78" s="2"/>
      <c r="R78" s="7">
        <f t="shared" si="52"/>
        <v>0</v>
      </c>
      <c r="S78" s="2"/>
      <c r="T78" s="6">
        <v>3600</v>
      </c>
      <c r="U78" s="2"/>
      <c r="V78" s="7">
        <f t="shared" si="53"/>
        <v>0</v>
      </c>
      <c r="W78" s="2"/>
      <c r="X78" s="6">
        <f t="shared" si="54"/>
        <v>36103.89</v>
      </c>
      <c r="Y78" s="2"/>
      <c r="Z78" s="7">
        <f t="shared" si="55"/>
        <v>10.028858333333334</v>
      </c>
    </row>
    <row r="79" spans="1:26" s="27" customFormat="1" outlineLevel="1" collapsed="1" x14ac:dyDescent="0.25">
      <c r="A79" s="25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SUM(OSRRefD22_17x_0)</f>
        <v>1605</v>
      </c>
      <c r="E79" s="1"/>
      <c r="F79" s="5">
        <f t="shared" ref="F79:F81" si="56">IF(D$12=0,0,D79/D$12)</f>
        <v>0</v>
      </c>
      <c r="G79" s="1"/>
      <c r="H79" s="1">
        <f>SUM(OSRRefH22_17x_0)</f>
        <v>800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805</v>
      </c>
      <c r="M79" s="1"/>
      <c r="N79" s="5">
        <f t="shared" ref="N79:N81" si="59">IF(H79=0,0,L79/H79)</f>
        <v>1.0062500000000001</v>
      </c>
      <c r="O79" s="13"/>
      <c r="P79" s="1">
        <f>SUM(OSRRefP22_17x_0)</f>
        <v>1605</v>
      </c>
      <c r="Q79" s="1"/>
      <c r="R79" s="5">
        <f t="shared" ref="R79:R81" si="60">IF(P$12=0,0,P79/P$12)</f>
        <v>0</v>
      </c>
      <c r="S79" s="1"/>
      <c r="T79" s="1">
        <f>SUM(OSRRefT22_17x_0)</f>
        <v>9600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-7995</v>
      </c>
      <c r="Y79" s="1"/>
      <c r="Z79" s="5">
        <f t="shared" ref="Z79:Z81" si="63">IF(T79=0,0,X79/T79)</f>
        <v>-0.83281249999999996</v>
      </c>
    </row>
    <row r="80" spans="1:26" s="24" customFormat="1" hidden="1" outlineLevel="2" x14ac:dyDescent="0.25">
      <c r="A80" s="26"/>
      <c r="B80" s="11" t="str">
        <f>CONCATENATE("          ", "6258", " - ", "MEMBERSHIP DUES")</f>
        <v xml:space="preserve">          6258 - MEMBERSHIP DUES</v>
      </c>
      <c r="C80" s="11"/>
      <c r="D80" s="6">
        <v>1520</v>
      </c>
      <c r="E80" s="2"/>
      <c r="F80" s="7">
        <f t="shared" si="56"/>
        <v>0</v>
      </c>
      <c r="G80" s="2"/>
      <c r="H80" s="6">
        <v>800</v>
      </c>
      <c r="I80" s="2"/>
      <c r="J80" s="7">
        <f t="shared" si="57"/>
        <v>0</v>
      </c>
      <c r="K80" s="2"/>
      <c r="L80" s="6">
        <f t="shared" si="58"/>
        <v>720</v>
      </c>
      <c r="M80" s="2"/>
      <c r="N80" s="7">
        <f t="shared" si="59"/>
        <v>0.9</v>
      </c>
      <c r="O80" s="11"/>
      <c r="P80" s="6">
        <v>1520</v>
      </c>
      <c r="Q80" s="2"/>
      <c r="R80" s="7">
        <f t="shared" si="60"/>
        <v>0</v>
      </c>
      <c r="S80" s="2"/>
      <c r="T80" s="6">
        <v>9600</v>
      </c>
      <c r="U80" s="2"/>
      <c r="V80" s="7">
        <f t="shared" si="61"/>
        <v>0</v>
      </c>
      <c r="W80" s="2"/>
      <c r="X80" s="6">
        <f t="shared" si="62"/>
        <v>-8080</v>
      </c>
      <c r="Y80" s="2"/>
      <c r="Z80" s="7">
        <f t="shared" si="63"/>
        <v>-0.84166666666666667</v>
      </c>
    </row>
    <row r="81" spans="1:26" s="24" customFormat="1" hidden="1" outlineLevel="2" x14ac:dyDescent="0.25">
      <c r="A81" s="26"/>
      <c r="B81" s="11" t="str">
        <f>CONCATENATE("          ", "6275", " - ", "SUBSCRIPTIONS")</f>
        <v xml:space="preserve">          6275 - SUBSCRIPTIONS</v>
      </c>
      <c r="C81" s="11"/>
      <c r="D81" s="6">
        <v>85</v>
      </c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85</v>
      </c>
      <c r="M81" s="2"/>
      <c r="N81" s="7">
        <f t="shared" si="59"/>
        <v>0</v>
      </c>
      <c r="O81" s="11"/>
      <c r="P81" s="6">
        <v>85</v>
      </c>
      <c r="Q81" s="2"/>
      <c r="R81" s="7">
        <f t="shared" si="60"/>
        <v>0</v>
      </c>
      <c r="S81" s="2"/>
      <c r="T81" s="6"/>
      <c r="U81" s="2"/>
      <c r="V81" s="7">
        <f t="shared" si="61"/>
        <v>0</v>
      </c>
      <c r="W81" s="2"/>
      <c r="X81" s="6">
        <f t="shared" si="62"/>
        <v>85</v>
      </c>
      <c r="Y81" s="2"/>
      <c r="Z81" s="7">
        <f t="shared" si="63"/>
        <v>0</v>
      </c>
    </row>
    <row r="82" spans="1:26" s="27" customFormat="1" outlineLevel="1" collapsed="1" x14ac:dyDescent="0.25">
      <c r="A82" s="25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SUM(OSRRefD22_18x_0)</f>
        <v>1651.56</v>
      </c>
      <c r="E82" s="1"/>
      <c r="F82" s="5">
        <f t="shared" ref="F82:F89" si="64">IF(D$12=0,0,D82/D$12)</f>
        <v>0</v>
      </c>
      <c r="G82" s="1"/>
      <c r="H82" s="1">
        <f>SUM(OSRRefH22_18x_0)</f>
        <v>3900</v>
      </c>
      <c r="I82" s="1"/>
      <c r="J82" s="5">
        <f t="shared" ref="J82:J89" si="65">IF(H$12=0,0,H82/H$12)</f>
        <v>0</v>
      </c>
      <c r="K82" s="1"/>
      <c r="L82" s="1">
        <f t="shared" ref="L82:L89" si="66">+D82-H82</f>
        <v>-2248.44</v>
      </c>
      <c r="M82" s="1"/>
      <c r="N82" s="5">
        <f t="shared" ref="N82:N89" si="67">IF(H82=0,0,L82/H82)</f>
        <v>-0.57652307692307692</v>
      </c>
      <c r="O82" s="13"/>
      <c r="P82" s="1">
        <f>SUM(OSRRefP22_18x_0)</f>
        <v>69224.460000000006</v>
      </c>
      <c r="Q82" s="1"/>
      <c r="R82" s="5">
        <f t="shared" ref="R82:R89" si="68">IF(P$12=0,0,P82/P$12)</f>
        <v>0</v>
      </c>
      <c r="S82" s="1"/>
      <c r="T82" s="1">
        <f>SUM(OSRRefT22_18x_0)</f>
        <v>106600</v>
      </c>
      <c r="U82" s="1"/>
      <c r="V82" s="5">
        <f t="shared" ref="V82:V89" si="69">IF(T$12=0,0,T82/T$12)</f>
        <v>0</v>
      </c>
      <c r="W82" s="1"/>
      <c r="X82" s="1">
        <f t="shared" ref="X82:X89" si="70">+P82-T82</f>
        <v>-37375.539999999994</v>
      </c>
      <c r="Y82" s="1"/>
      <c r="Z82" s="5">
        <f t="shared" ref="Z82:Z89" si="71">IF(T82=0,0,X82/T82)</f>
        <v>-0.3506148217636022</v>
      </c>
    </row>
    <row r="83" spans="1:26" s="24" customFormat="1" hidden="1" outlineLevel="2" x14ac:dyDescent="0.25">
      <c r="A83" s="26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64"/>
        <v>0</v>
      </c>
      <c r="G83" s="2"/>
      <c r="H83" s="6">
        <v>100</v>
      </c>
      <c r="I83" s="2"/>
      <c r="J83" s="7">
        <f t="shared" si="65"/>
        <v>0</v>
      </c>
      <c r="K83" s="2"/>
      <c r="L83" s="6">
        <f t="shared" si="66"/>
        <v>-100</v>
      </c>
      <c r="M83" s="2"/>
      <c r="N83" s="7">
        <f t="shared" si="67"/>
        <v>-1</v>
      </c>
      <c r="O83" s="11"/>
      <c r="P83" s="6">
        <v>-449.34</v>
      </c>
      <c r="Q83" s="2"/>
      <c r="R83" s="7">
        <f t="shared" si="68"/>
        <v>0</v>
      </c>
      <c r="S83" s="2"/>
      <c r="T83" s="6">
        <v>1200</v>
      </c>
      <c r="U83" s="2"/>
      <c r="V83" s="7">
        <f t="shared" si="69"/>
        <v>0</v>
      </c>
      <c r="W83" s="2"/>
      <c r="X83" s="6">
        <f t="shared" si="70"/>
        <v>-1649.34</v>
      </c>
      <c r="Y83" s="2"/>
      <c r="Z83" s="7">
        <f t="shared" si="71"/>
        <v>-1.3744499999999999</v>
      </c>
    </row>
    <row r="84" spans="1:26" s="24" customFormat="1" hidden="1" outlineLevel="2" x14ac:dyDescent="0.25">
      <c r="A84" s="26"/>
      <c r="B84" s="11" t="str">
        <f>CONCATENATE("          ", "6235", " - ", "COVID-19 EXPENSES")</f>
        <v xml:space="preserve">          6235 - COVID-19 EXPENSES</v>
      </c>
      <c r="C84" s="11"/>
      <c r="D84" s="6">
        <v>957.91</v>
      </c>
      <c r="E84" s="2"/>
      <c r="F84" s="7">
        <f t="shared" si="64"/>
        <v>0</v>
      </c>
      <c r="G84" s="2"/>
      <c r="H84" s="6">
        <v>100</v>
      </c>
      <c r="I84" s="2"/>
      <c r="J84" s="7">
        <f t="shared" si="65"/>
        <v>0</v>
      </c>
      <c r="K84" s="2"/>
      <c r="L84" s="6">
        <f t="shared" si="66"/>
        <v>857.91</v>
      </c>
      <c r="M84" s="2"/>
      <c r="N84" s="7">
        <f t="shared" si="67"/>
        <v>8.5791000000000004</v>
      </c>
      <c r="O84" s="11"/>
      <c r="P84" s="6">
        <v>42908.63</v>
      </c>
      <c r="Q84" s="2"/>
      <c r="R84" s="7">
        <f t="shared" si="68"/>
        <v>0</v>
      </c>
      <c r="S84" s="2"/>
      <c r="T84" s="6">
        <v>61000</v>
      </c>
      <c r="U84" s="2"/>
      <c r="V84" s="7">
        <f t="shared" si="69"/>
        <v>0</v>
      </c>
      <c r="W84" s="2"/>
      <c r="X84" s="6">
        <f t="shared" si="70"/>
        <v>-18091.370000000003</v>
      </c>
      <c r="Y84" s="2"/>
      <c r="Z84" s="7">
        <f t="shared" si="71"/>
        <v>-0.29657983606557381</v>
      </c>
    </row>
    <row r="85" spans="1:26" s="24" customFormat="1" hidden="1" outlineLevel="2" x14ac:dyDescent="0.25">
      <c r="A85" s="26"/>
      <c r="B85" s="11" t="str">
        <f>CONCATENATE("          ", "6237", " - ", "JANITORIAL SUPPLIES")</f>
        <v xml:space="preserve">          6237 - JANITORIAL SUPPLIES</v>
      </c>
      <c r="C85" s="11"/>
      <c r="D85" s="6">
        <v>321.05</v>
      </c>
      <c r="E85" s="2"/>
      <c r="F85" s="7">
        <f t="shared" si="64"/>
        <v>0</v>
      </c>
      <c r="G85" s="2"/>
      <c r="H85" s="6">
        <v>200</v>
      </c>
      <c r="I85" s="2"/>
      <c r="J85" s="7">
        <f t="shared" si="65"/>
        <v>0</v>
      </c>
      <c r="K85" s="2"/>
      <c r="L85" s="6">
        <f t="shared" si="66"/>
        <v>121.05000000000001</v>
      </c>
      <c r="M85" s="2"/>
      <c r="N85" s="7">
        <f t="shared" si="67"/>
        <v>0.60525000000000007</v>
      </c>
      <c r="O85" s="11"/>
      <c r="P85" s="6">
        <v>4009.59</v>
      </c>
      <c r="Q85" s="2"/>
      <c r="R85" s="7">
        <f t="shared" si="68"/>
        <v>0</v>
      </c>
      <c r="S85" s="2"/>
      <c r="T85" s="6">
        <v>2400</v>
      </c>
      <c r="U85" s="2"/>
      <c r="V85" s="7">
        <f t="shared" si="69"/>
        <v>0</v>
      </c>
      <c r="W85" s="2"/>
      <c r="X85" s="6">
        <f t="shared" si="70"/>
        <v>1609.5900000000001</v>
      </c>
      <c r="Y85" s="2"/>
      <c r="Z85" s="7">
        <f t="shared" si="71"/>
        <v>0.67066250000000005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165.55</v>
      </c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165.55</v>
      </c>
      <c r="M86" s="2"/>
      <c r="N86" s="7">
        <f t="shared" si="67"/>
        <v>0</v>
      </c>
      <c r="O86" s="11"/>
      <c r="P86" s="6">
        <v>3047.8</v>
      </c>
      <c r="Q86" s="2"/>
      <c r="R86" s="7">
        <f t="shared" si="68"/>
        <v>0</v>
      </c>
      <c r="S86" s="2"/>
      <c r="T86" s="6"/>
      <c r="U86" s="2"/>
      <c r="V86" s="7">
        <f t="shared" si="69"/>
        <v>0</v>
      </c>
      <c r="W86" s="2"/>
      <c r="X86" s="6">
        <f t="shared" si="70"/>
        <v>3047.8</v>
      </c>
      <c r="Y86" s="2"/>
      <c r="Z86" s="7">
        <f t="shared" si="71"/>
        <v>0</v>
      </c>
    </row>
    <row r="87" spans="1:26" s="24" customFormat="1" hidden="1" outlineLevel="2" x14ac:dyDescent="0.25">
      <c r="A87" s="26"/>
      <c r="B87" s="11" t="str">
        <f>CONCATENATE("          ", "6245", " - ", "PRINTING")</f>
        <v xml:space="preserve">          6245 - PRINTING</v>
      </c>
      <c r="C87" s="11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1"/>
      <c r="P87" s="6">
        <v>68.66</v>
      </c>
      <c r="Q87" s="2"/>
      <c r="R87" s="7">
        <f t="shared" si="68"/>
        <v>0</v>
      </c>
      <c r="S87" s="2"/>
      <c r="T87" s="6"/>
      <c r="U87" s="2"/>
      <c r="V87" s="7">
        <f t="shared" si="69"/>
        <v>0</v>
      </c>
      <c r="W87" s="2"/>
      <c r="X87" s="6">
        <f t="shared" si="70"/>
        <v>68.66</v>
      </c>
      <c r="Y87" s="2"/>
      <c r="Z87" s="7">
        <f t="shared" si="71"/>
        <v>0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6">
        <v>207.05</v>
      </c>
      <c r="E88" s="2"/>
      <c r="F88" s="7">
        <f t="shared" si="64"/>
        <v>0</v>
      </c>
      <c r="G88" s="2"/>
      <c r="H88" s="6">
        <v>2000</v>
      </c>
      <c r="I88" s="2"/>
      <c r="J88" s="7">
        <f t="shared" si="65"/>
        <v>0</v>
      </c>
      <c r="K88" s="2"/>
      <c r="L88" s="6">
        <f t="shared" si="66"/>
        <v>-1792.95</v>
      </c>
      <c r="M88" s="2"/>
      <c r="N88" s="7">
        <f t="shared" si="67"/>
        <v>-0.89647500000000002</v>
      </c>
      <c r="O88" s="11"/>
      <c r="P88" s="6">
        <v>19639.12</v>
      </c>
      <c r="Q88" s="2"/>
      <c r="R88" s="7">
        <f t="shared" si="68"/>
        <v>0</v>
      </c>
      <c r="S88" s="2"/>
      <c r="T88" s="6">
        <v>24000</v>
      </c>
      <c r="U88" s="2"/>
      <c r="V88" s="7">
        <f t="shared" si="69"/>
        <v>0</v>
      </c>
      <c r="W88" s="2"/>
      <c r="X88" s="6">
        <f t="shared" si="70"/>
        <v>-4360.880000000001</v>
      </c>
      <c r="Y88" s="2"/>
      <c r="Z88" s="7">
        <f t="shared" si="71"/>
        <v>-0.18170333333333338</v>
      </c>
    </row>
    <row r="89" spans="1:26" s="24" customFormat="1" hidden="1" outlineLevel="2" x14ac:dyDescent="0.25">
      <c r="A89" s="26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64"/>
        <v>0</v>
      </c>
      <c r="G89" s="2"/>
      <c r="H89" s="6">
        <v>1500</v>
      </c>
      <c r="I89" s="2"/>
      <c r="J89" s="7">
        <f t="shared" si="65"/>
        <v>0</v>
      </c>
      <c r="K89" s="2"/>
      <c r="L89" s="6">
        <f t="shared" si="66"/>
        <v>-1500</v>
      </c>
      <c r="M89" s="2"/>
      <c r="N89" s="7">
        <f t="shared" si="67"/>
        <v>-1</v>
      </c>
      <c r="O89" s="11"/>
      <c r="P89" s="6"/>
      <c r="Q89" s="2"/>
      <c r="R89" s="7">
        <f t="shared" si="68"/>
        <v>0</v>
      </c>
      <c r="S89" s="2"/>
      <c r="T89" s="6">
        <v>18000</v>
      </c>
      <c r="U89" s="2"/>
      <c r="V89" s="7">
        <f t="shared" si="69"/>
        <v>0</v>
      </c>
      <c r="W89" s="2"/>
      <c r="X89" s="6">
        <f t="shared" si="70"/>
        <v>-18000</v>
      </c>
      <c r="Y89" s="2"/>
      <c r="Z89" s="7">
        <f t="shared" si="71"/>
        <v>-1</v>
      </c>
    </row>
    <row r="90" spans="1:26" s="27" customFormat="1" outlineLevel="1" collapsed="1" x14ac:dyDescent="0.25">
      <c r="A90" s="25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SUM(OSRRefD22_19x_0)</f>
        <v>800.93</v>
      </c>
      <c r="E90" s="1"/>
      <c r="F90" s="5">
        <f t="shared" ref="F90:F97" si="72">IF(D$12=0,0,D90/D$12)</f>
        <v>0</v>
      </c>
      <c r="G90" s="1"/>
      <c r="H90" s="1">
        <f>SUM(OSRRefH22_19x_0)</f>
        <v>600</v>
      </c>
      <c r="I90" s="1"/>
      <c r="J90" s="5">
        <f t="shared" ref="J90:J97" si="73">IF(H$12=0,0,H90/H$12)</f>
        <v>0</v>
      </c>
      <c r="K90" s="1"/>
      <c r="L90" s="1">
        <f t="shared" ref="L90:L97" si="74">+D90-H90</f>
        <v>200.92999999999995</v>
      </c>
      <c r="M90" s="1"/>
      <c r="N90" s="5">
        <f t="shared" ref="N90:N97" si="75">IF(H90=0,0,L90/H90)</f>
        <v>0.33488333333333326</v>
      </c>
      <c r="O90" s="13"/>
      <c r="P90" s="1">
        <f>SUM(OSRRefP22_19x_0)</f>
        <v>7104.18</v>
      </c>
      <c r="Q90" s="1"/>
      <c r="R90" s="5">
        <f t="shared" ref="R90:R97" si="76">IF(P$12=0,0,P90/P$12)</f>
        <v>0</v>
      </c>
      <c r="S90" s="1"/>
      <c r="T90" s="1">
        <f>SUM(OSRRefT22_19x_0)</f>
        <v>7200</v>
      </c>
      <c r="U90" s="1"/>
      <c r="V90" s="5">
        <f t="shared" ref="V90:V97" si="77">IF(T$12=0,0,T90/T$12)</f>
        <v>0</v>
      </c>
      <c r="W90" s="1"/>
      <c r="X90" s="1">
        <f t="shared" ref="X90:X97" si="78">+P90-T90</f>
        <v>-95.819999999999709</v>
      </c>
      <c r="Y90" s="1"/>
      <c r="Z90" s="5">
        <f t="shared" ref="Z90:Z97" si="79">IF(T90=0,0,X90/T90)</f>
        <v>-1.3308333333333294E-2</v>
      </c>
    </row>
    <row r="91" spans="1:26" s="24" customFormat="1" hidden="1" outlineLevel="2" x14ac:dyDescent="0.25">
      <c r="A91" s="26"/>
      <c r="B91" s="11" t="str">
        <f>CONCATENATE("          ", "6309", " - ", "TELEPHONE")</f>
        <v xml:space="preserve">          6309 - TELEPHONE</v>
      </c>
      <c r="C91" s="11"/>
      <c r="D91" s="6">
        <v>800.93</v>
      </c>
      <c r="E91" s="2"/>
      <c r="F91" s="7">
        <f t="shared" si="72"/>
        <v>0</v>
      </c>
      <c r="G91" s="2"/>
      <c r="H91" s="6">
        <v>600</v>
      </c>
      <c r="I91" s="2"/>
      <c r="J91" s="7">
        <f t="shared" si="73"/>
        <v>0</v>
      </c>
      <c r="K91" s="2"/>
      <c r="L91" s="6">
        <f t="shared" si="74"/>
        <v>200.92999999999995</v>
      </c>
      <c r="M91" s="2"/>
      <c r="N91" s="7">
        <f t="shared" si="75"/>
        <v>0.33488333333333326</v>
      </c>
      <c r="O91" s="11"/>
      <c r="P91" s="6">
        <v>7104.18</v>
      </c>
      <c r="Q91" s="2"/>
      <c r="R91" s="7">
        <f t="shared" si="76"/>
        <v>0</v>
      </c>
      <c r="S91" s="2"/>
      <c r="T91" s="6">
        <v>7200</v>
      </c>
      <c r="U91" s="2"/>
      <c r="V91" s="7">
        <f t="shared" si="77"/>
        <v>0</v>
      </c>
      <c r="W91" s="2"/>
      <c r="X91" s="6">
        <f t="shared" si="78"/>
        <v>-95.819999999999709</v>
      </c>
      <c r="Y91" s="2"/>
      <c r="Z91" s="7">
        <f t="shared" si="79"/>
        <v>-1.3308333333333294E-2</v>
      </c>
    </row>
    <row r="92" spans="1:26" s="27" customFormat="1" outlineLevel="1" collapsed="1" x14ac:dyDescent="0.25">
      <c r="A92" s="25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SUM(OSRRefD22_20x_0)</f>
        <v>0</v>
      </c>
      <c r="E92" s="1"/>
      <c r="F92" s="5">
        <f t="shared" si="72"/>
        <v>0</v>
      </c>
      <c r="G92" s="1"/>
      <c r="H92" s="1">
        <f>SUM(OSRRefH22_20x_0)</f>
        <v>0</v>
      </c>
      <c r="I92" s="1"/>
      <c r="J92" s="5">
        <f t="shared" si="73"/>
        <v>0</v>
      </c>
      <c r="K92" s="1"/>
      <c r="L92" s="1">
        <f t="shared" si="74"/>
        <v>0</v>
      </c>
      <c r="M92" s="1"/>
      <c r="N92" s="5">
        <f t="shared" si="75"/>
        <v>0</v>
      </c>
      <c r="O92" s="13"/>
      <c r="P92" s="1">
        <f>SUM(OSRRefP22_20x_0)</f>
        <v>881.63</v>
      </c>
      <c r="Q92" s="1"/>
      <c r="R92" s="5">
        <f t="shared" si="76"/>
        <v>0</v>
      </c>
      <c r="S92" s="1"/>
      <c r="T92" s="1">
        <f>SUM(OSRRefT22_20x_0)</f>
        <v>3250</v>
      </c>
      <c r="U92" s="1"/>
      <c r="V92" s="5">
        <f t="shared" si="77"/>
        <v>0</v>
      </c>
      <c r="W92" s="1"/>
      <c r="X92" s="1">
        <f t="shared" si="78"/>
        <v>-2368.37</v>
      </c>
      <c r="Y92" s="1"/>
      <c r="Z92" s="5">
        <f t="shared" si="79"/>
        <v>-0.72872923076923068</v>
      </c>
    </row>
    <row r="93" spans="1:26" s="24" customFormat="1" hidden="1" outlineLevel="2" x14ac:dyDescent="0.25">
      <c r="A93" s="26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72"/>
        <v>0</v>
      </c>
      <c r="G93" s="2"/>
      <c r="H93" s="6"/>
      <c r="I93" s="2"/>
      <c r="J93" s="7">
        <f t="shared" si="73"/>
        <v>0</v>
      </c>
      <c r="K93" s="2"/>
      <c r="L93" s="6">
        <f t="shared" si="74"/>
        <v>0</v>
      </c>
      <c r="M93" s="2"/>
      <c r="N93" s="7">
        <f t="shared" si="75"/>
        <v>0</v>
      </c>
      <c r="O93" s="11"/>
      <c r="P93" s="6">
        <v>881.63</v>
      </c>
      <c r="Q93" s="2"/>
      <c r="R93" s="7">
        <f t="shared" si="76"/>
        <v>0</v>
      </c>
      <c r="S93" s="2"/>
      <c r="T93" s="6">
        <v>3250</v>
      </c>
      <c r="U93" s="2"/>
      <c r="V93" s="7">
        <f t="shared" si="77"/>
        <v>0</v>
      </c>
      <c r="W93" s="2"/>
      <c r="X93" s="6">
        <f t="shared" si="78"/>
        <v>-2368.37</v>
      </c>
      <c r="Y93" s="2"/>
      <c r="Z93" s="7">
        <f t="shared" si="79"/>
        <v>-0.72872923076923068</v>
      </c>
    </row>
    <row r="94" spans="1:26" s="27" customFormat="1" outlineLevel="1" collapsed="1" x14ac:dyDescent="0.25">
      <c r="A94" s="25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SUM(OSRRefD22_21x_0)</f>
        <v>67.62</v>
      </c>
      <c r="E94" s="1"/>
      <c r="F94" s="5">
        <f t="shared" si="72"/>
        <v>0</v>
      </c>
      <c r="G94" s="1"/>
      <c r="H94" s="1">
        <f>SUM(OSRRefH22_21x_0)</f>
        <v>0</v>
      </c>
      <c r="I94" s="1"/>
      <c r="J94" s="5">
        <f t="shared" si="73"/>
        <v>0</v>
      </c>
      <c r="K94" s="1"/>
      <c r="L94" s="1">
        <f t="shared" si="74"/>
        <v>67.62</v>
      </c>
      <c r="M94" s="1"/>
      <c r="N94" s="5">
        <f t="shared" si="75"/>
        <v>0</v>
      </c>
      <c r="O94" s="13"/>
      <c r="P94" s="1">
        <f>SUM(OSRRefP22_21x_0)</f>
        <v>426.51</v>
      </c>
      <c r="Q94" s="1"/>
      <c r="R94" s="5">
        <f t="shared" si="76"/>
        <v>0</v>
      </c>
      <c r="S94" s="1"/>
      <c r="T94" s="1">
        <f>SUM(OSRRefT22_21x_0)</f>
        <v>0</v>
      </c>
      <c r="U94" s="1"/>
      <c r="V94" s="5">
        <f t="shared" si="77"/>
        <v>0</v>
      </c>
      <c r="W94" s="1"/>
      <c r="X94" s="1">
        <f t="shared" si="78"/>
        <v>426.51</v>
      </c>
      <c r="Y94" s="1"/>
      <c r="Z94" s="5">
        <f t="shared" si="79"/>
        <v>0</v>
      </c>
    </row>
    <row r="95" spans="1:26" s="24" customFormat="1" hidden="1" outlineLevel="2" x14ac:dyDescent="0.25">
      <c r="A95" s="26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72"/>
        <v>0</v>
      </c>
      <c r="G95" s="2"/>
      <c r="H95" s="6"/>
      <c r="I95" s="2"/>
      <c r="J95" s="7">
        <f t="shared" si="73"/>
        <v>0</v>
      </c>
      <c r="K95" s="2"/>
      <c r="L95" s="6">
        <f t="shared" si="74"/>
        <v>0</v>
      </c>
      <c r="M95" s="2"/>
      <c r="N95" s="7">
        <f t="shared" si="75"/>
        <v>0</v>
      </c>
      <c r="O95" s="11"/>
      <c r="P95" s="6">
        <v>299</v>
      </c>
      <c r="Q95" s="2"/>
      <c r="R95" s="7">
        <f t="shared" si="76"/>
        <v>0</v>
      </c>
      <c r="S95" s="2"/>
      <c r="T95" s="6"/>
      <c r="U95" s="2"/>
      <c r="V95" s="7">
        <f t="shared" si="77"/>
        <v>0</v>
      </c>
      <c r="W95" s="2"/>
      <c r="X95" s="6">
        <f t="shared" si="78"/>
        <v>299</v>
      </c>
      <c r="Y95" s="2"/>
      <c r="Z95" s="7">
        <f t="shared" si="79"/>
        <v>0</v>
      </c>
    </row>
    <row r="96" spans="1:26" s="24" customFormat="1" hidden="1" outlineLevel="2" x14ac:dyDescent="0.25">
      <c r="A96" s="26"/>
      <c r="B96" s="11" t="str">
        <f>CONCATENATE("          ", "6294", " - ", "TRAVEL OPERATIONAL")</f>
        <v xml:space="preserve">          6294 - TRAVEL OPERATIONAL</v>
      </c>
      <c r="C96" s="11"/>
      <c r="D96" s="6">
        <v>67.62</v>
      </c>
      <c r="E96" s="2"/>
      <c r="F96" s="7">
        <f t="shared" si="72"/>
        <v>0</v>
      </c>
      <c r="G96" s="2"/>
      <c r="H96" s="6"/>
      <c r="I96" s="2"/>
      <c r="J96" s="7">
        <f t="shared" si="73"/>
        <v>0</v>
      </c>
      <c r="K96" s="2"/>
      <c r="L96" s="6">
        <f t="shared" si="74"/>
        <v>67.62</v>
      </c>
      <c r="M96" s="2"/>
      <c r="N96" s="7">
        <f t="shared" si="75"/>
        <v>0</v>
      </c>
      <c r="O96" s="11"/>
      <c r="P96" s="6">
        <v>67.62</v>
      </c>
      <c r="Q96" s="2"/>
      <c r="R96" s="7">
        <f t="shared" si="76"/>
        <v>0</v>
      </c>
      <c r="S96" s="2"/>
      <c r="T96" s="6"/>
      <c r="U96" s="2"/>
      <c r="V96" s="7">
        <f t="shared" si="77"/>
        <v>0</v>
      </c>
      <c r="W96" s="2"/>
      <c r="X96" s="6">
        <f t="shared" si="78"/>
        <v>67.62</v>
      </c>
      <c r="Y96" s="2"/>
      <c r="Z96" s="7">
        <f t="shared" si="79"/>
        <v>0</v>
      </c>
    </row>
    <row r="97" spans="1:26" s="24" customFormat="1" hidden="1" outlineLevel="2" x14ac:dyDescent="0.25">
      <c r="A97" s="26"/>
      <c r="B97" s="11" t="str">
        <f>CONCATENATE("          ", "6298", " - ", "VEHICLE MILEAGE")</f>
        <v xml:space="preserve">          6298 - VEHICLE MILEAGE</v>
      </c>
      <c r="C97" s="11"/>
      <c r="D97" s="6"/>
      <c r="E97" s="2"/>
      <c r="F97" s="7">
        <f t="shared" si="72"/>
        <v>0</v>
      </c>
      <c r="G97" s="2"/>
      <c r="H97" s="6"/>
      <c r="I97" s="2"/>
      <c r="J97" s="7">
        <f t="shared" si="73"/>
        <v>0</v>
      </c>
      <c r="K97" s="2"/>
      <c r="L97" s="6">
        <f t="shared" si="74"/>
        <v>0</v>
      </c>
      <c r="M97" s="2"/>
      <c r="N97" s="7">
        <f t="shared" si="75"/>
        <v>0</v>
      </c>
      <c r="O97" s="11"/>
      <c r="P97" s="6">
        <v>59.89</v>
      </c>
      <c r="Q97" s="2"/>
      <c r="R97" s="7">
        <f t="shared" si="76"/>
        <v>0</v>
      </c>
      <c r="S97" s="2"/>
      <c r="T97" s="6"/>
      <c r="U97" s="2"/>
      <c r="V97" s="7">
        <f t="shared" si="77"/>
        <v>0</v>
      </c>
      <c r="W97" s="2"/>
      <c r="X97" s="6">
        <f t="shared" si="78"/>
        <v>59.89</v>
      </c>
      <c r="Y97" s="2"/>
      <c r="Z97" s="7">
        <f t="shared" si="79"/>
        <v>0</v>
      </c>
    </row>
    <row r="98" spans="1:26" s="27" customFormat="1" outlineLevel="1" collapsed="1" x14ac:dyDescent="0.25">
      <c r="A98" s="25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SUM(OSRRefD22_22x_0)</f>
        <v>5483</v>
      </c>
      <c r="E98" s="1"/>
      <c r="F98" s="5">
        <f t="shared" ref="F98:F99" si="80">IF(D$12=0,0,D98/D$12)</f>
        <v>0</v>
      </c>
      <c r="G98" s="1"/>
      <c r="H98" s="1">
        <f>SUM(OSRRefH22_22x_0)</f>
        <v>6000</v>
      </c>
      <c r="I98" s="1"/>
      <c r="J98" s="5">
        <f t="shared" ref="J98:J99" si="81">IF(H$12=0,0,H98/H$12)</f>
        <v>0</v>
      </c>
      <c r="K98" s="1"/>
      <c r="L98" s="1">
        <f t="shared" ref="L98:L99" si="82">+D98-H98</f>
        <v>-517</v>
      </c>
      <c r="M98" s="1"/>
      <c r="N98" s="5">
        <f t="shared" ref="N98:N99" si="83">IF(H98=0,0,L98/H98)</f>
        <v>-8.6166666666666669E-2</v>
      </c>
      <c r="O98" s="13"/>
      <c r="P98" s="1">
        <f>SUM(OSRRefP22_22x_0)</f>
        <v>70016</v>
      </c>
      <c r="Q98" s="1"/>
      <c r="R98" s="5">
        <f t="shared" ref="R98:R99" si="84">IF(P$12=0,0,P98/P$12)</f>
        <v>0</v>
      </c>
      <c r="S98" s="1"/>
      <c r="T98" s="1">
        <f>SUM(OSRRefT22_22x_0)</f>
        <v>72000</v>
      </c>
      <c r="U98" s="1"/>
      <c r="V98" s="5">
        <f t="shared" ref="V98:V99" si="85">IF(T$12=0,0,T98/T$12)</f>
        <v>0</v>
      </c>
      <c r="W98" s="1"/>
      <c r="X98" s="1">
        <f t="shared" ref="X98:X99" si="86">+P98-T98</f>
        <v>-1984</v>
      </c>
      <c r="Y98" s="1"/>
      <c r="Z98" s="5">
        <f t="shared" ref="Z98:Z99" si="87">IF(T98=0,0,X98/T98)</f>
        <v>-2.7555555555555555E-2</v>
      </c>
    </row>
    <row r="99" spans="1:26" s="24" customFormat="1" hidden="1" outlineLevel="2" x14ac:dyDescent="0.25">
      <c r="A99" s="26"/>
      <c r="B99" s="11" t="str">
        <f>CONCATENATE("          ", "6274", " - ", "UTILITIES")</f>
        <v xml:space="preserve">          6274 - UTILITIES</v>
      </c>
      <c r="C99" s="11"/>
      <c r="D99" s="6">
        <v>5483</v>
      </c>
      <c r="E99" s="2"/>
      <c r="F99" s="7">
        <f t="shared" si="80"/>
        <v>0</v>
      </c>
      <c r="G99" s="2"/>
      <c r="H99" s="6">
        <v>6000</v>
      </c>
      <c r="I99" s="2"/>
      <c r="J99" s="7">
        <f t="shared" si="81"/>
        <v>0</v>
      </c>
      <c r="K99" s="2"/>
      <c r="L99" s="6">
        <f t="shared" si="82"/>
        <v>-517</v>
      </c>
      <c r="M99" s="2"/>
      <c r="N99" s="7">
        <f t="shared" si="83"/>
        <v>-8.6166666666666669E-2</v>
      </c>
      <c r="O99" s="11"/>
      <c r="P99" s="6">
        <v>70016</v>
      </c>
      <c r="Q99" s="2"/>
      <c r="R99" s="7">
        <f t="shared" si="84"/>
        <v>0</v>
      </c>
      <c r="S99" s="2"/>
      <c r="T99" s="6">
        <v>72000</v>
      </c>
      <c r="U99" s="2"/>
      <c r="V99" s="7">
        <f t="shared" si="85"/>
        <v>0</v>
      </c>
      <c r="W99" s="2"/>
      <c r="X99" s="6">
        <f t="shared" si="86"/>
        <v>-1984</v>
      </c>
      <c r="Y99" s="2"/>
      <c r="Z99" s="7">
        <f t="shared" si="87"/>
        <v>-2.7555555555555555E-2</v>
      </c>
    </row>
    <row r="100" spans="1:26" s="61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293</v>
      </c>
      <c r="C101" s="10"/>
      <c r="D101" s="4">
        <f>SUM(OSRRefD25x_0)</f>
        <v>3551.78</v>
      </c>
      <c r="E101" s="4"/>
      <c r="F101" s="12">
        <f t="shared" ref="F101:F103" si="88">IF(D$12=0,0,D101/D$12)</f>
        <v>0</v>
      </c>
      <c r="G101" s="4"/>
      <c r="H101" s="4">
        <f>SUM(OSRRefH25x_0)</f>
        <v>18675</v>
      </c>
      <c r="I101" s="4"/>
      <c r="J101" s="12">
        <f t="shared" ref="J101:J103" si="89">IF(H$12=0,0,H101/H$12)</f>
        <v>0</v>
      </c>
      <c r="K101" s="4"/>
      <c r="L101" s="4">
        <f t="shared" ref="L101:L103" si="90">+D101-H101</f>
        <v>-15123.22</v>
      </c>
      <c r="M101" s="4"/>
      <c r="N101" s="12">
        <f t="shared" ref="N101:N103" si="91">IF(H101=0,0,L101/H101)</f>
        <v>-0.80981097724230255</v>
      </c>
      <c r="O101" s="10"/>
      <c r="P101" s="4">
        <f>SUM(OSRRefP25x_0)</f>
        <v>235037.75</v>
      </c>
      <c r="Q101" s="4"/>
      <c r="R101" s="12">
        <f t="shared" ref="R101:R103" si="92">IF(P$12=0,0,P101/P$12)</f>
        <v>0</v>
      </c>
      <c r="S101" s="4"/>
      <c r="T101" s="4">
        <f>SUM(OSRRefT25x_0)</f>
        <v>214300</v>
      </c>
      <c r="U101" s="4"/>
      <c r="V101" s="12">
        <f t="shared" ref="V101:V103" si="93">IF(T$12=0,0,T101/T$12)</f>
        <v>0</v>
      </c>
      <c r="W101" s="4"/>
      <c r="X101" s="4">
        <f t="shared" ref="X101:X103" si="94">+P101-T101</f>
        <v>20737.75</v>
      </c>
      <c r="Y101" s="4"/>
      <c r="Z101" s="12">
        <f t="shared" ref="Z101:Z103" si="95">IF(T101=0,0,X101/T101)</f>
        <v>9.676971535230984E-2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--3551.78</f>
        <v>3551.78</v>
      </c>
      <c r="E102" s="2"/>
      <c r="F102" s="19">
        <f t="shared" si="88"/>
        <v>0</v>
      </c>
      <c r="G102" s="2"/>
      <c r="H102" s="2">
        <v>3200</v>
      </c>
      <c r="I102" s="2"/>
      <c r="J102" s="19">
        <f t="shared" si="89"/>
        <v>0</v>
      </c>
      <c r="K102" s="2"/>
      <c r="L102" s="2">
        <f t="shared" si="90"/>
        <v>351.7800000000002</v>
      </c>
      <c r="M102" s="2"/>
      <c r="N102" s="19">
        <f t="shared" si="91"/>
        <v>0.10993125000000006</v>
      </c>
      <c r="O102" s="11"/>
      <c r="P102" s="2">
        <f>--235037.75</f>
        <v>235037.75</v>
      </c>
      <c r="Q102" s="2"/>
      <c r="R102" s="19">
        <f t="shared" si="92"/>
        <v>0</v>
      </c>
      <c r="S102" s="2"/>
      <c r="T102" s="2">
        <v>30700</v>
      </c>
      <c r="U102" s="2"/>
      <c r="V102" s="19">
        <f t="shared" si="93"/>
        <v>0</v>
      </c>
      <c r="W102" s="2"/>
      <c r="X102" s="2">
        <f t="shared" si="94"/>
        <v>204337.75</v>
      </c>
      <c r="Y102" s="2"/>
      <c r="Z102" s="19">
        <f t="shared" si="95"/>
        <v>6.6559527687296418</v>
      </c>
    </row>
    <row r="103" spans="1:26" s="24" customFormat="1" hidden="1" outlineLevel="1" x14ac:dyDescent="0.25">
      <c r="A103" s="44"/>
      <c r="B103" s="11" t="str">
        <f>CONCATENATE("          ", "9151", " - ", "MISC. INCOME")</f>
        <v xml:space="preserve">          9151 - MISC. INCOME</v>
      </c>
      <c r="C103" s="11"/>
      <c r="D103" s="2">
        <f>0</f>
        <v>0</v>
      </c>
      <c r="E103" s="2"/>
      <c r="F103" s="19">
        <f t="shared" si="88"/>
        <v>0</v>
      </c>
      <c r="G103" s="2"/>
      <c r="H103" s="2">
        <v>15475</v>
      </c>
      <c r="I103" s="2"/>
      <c r="J103" s="19">
        <f t="shared" si="89"/>
        <v>0</v>
      </c>
      <c r="K103" s="2"/>
      <c r="L103" s="2">
        <f t="shared" si="90"/>
        <v>-15475</v>
      </c>
      <c r="M103" s="2"/>
      <c r="N103" s="19">
        <f t="shared" si="91"/>
        <v>-1</v>
      </c>
      <c r="O103" s="11"/>
      <c r="P103" s="2">
        <f>0</f>
        <v>0</v>
      </c>
      <c r="Q103" s="2"/>
      <c r="R103" s="19">
        <f t="shared" si="92"/>
        <v>0</v>
      </c>
      <c r="S103" s="2"/>
      <c r="T103" s="2">
        <v>183600</v>
      </c>
      <c r="U103" s="2"/>
      <c r="V103" s="19">
        <f t="shared" si="93"/>
        <v>0</v>
      </c>
      <c r="W103" s="2"/>
      <c r="X103" s="2">
        <f t="shared" si="94"/>
        <v>-183600</v>
      </c>
      <c r="Y103" s="2"/>
      <c r="Z103" s="19">
        <f t="shared" si="95"/>
        <v>-1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8" t="s">
        <v>277</v>
      </c>
      <c r="C105" s="28"/>
      <c r="D105" s="20">
        <f>+D17-D19+D101</f>
        <v>-125446.13</v>
      </c>
      <c r="E105" s="14"/>
      <c r="F105" s="22">
        <f>IF(D$12=0,0,D105/D$12)</f>
        <v>0</v>
      </c>
      <c r="G105" s="14"/>
      <c r="H105" s="20">
        <f>+H17-H19+H101</f>
        <v>-83407.120193001538</v>
      </c>
      <c r="I105" s="14"/>
      <c r="J105" s="22">
        <f>IF(H$12=0,0,H105/H$12)</f>
        <v>0</v>
      </c>
      <c r="K105" s="16"/>
      <c r="L105" s="20">
        <f>+D105-H105</f>
        <v>-42039.009806998467</v>
      </c>
      <c r="M105" s="16"/>
      <c r="N105" s="22">
        <f>IF(H105=0,0,L105/H105)</f>
        <v>0.50402183542270107</v>
      </c>
      <c r="O105" s="29"/>
      <c r="P105" s="20">
        <f>+P17-P19+P101</f>
        <v>-1202830.4099999997</v>
      </c>
      <c r="Q105" s="14"/>
      <c r="R105" s="22">
        <f>IF(P$12=0,0,P105/P$12)</f>
        <v>0</v>
      </c>
      <c r="S105" s="14"/>
      <c r="T105" s="20">
        <f>+T17-T19+T101</f>
        <v>-1441708.37156031</v>
      </c>
      <c r="U105" s="14"/>
      <c r="V105" s="22">
        <f>IF(T$12=0,0,T105/T$12)</f>
        <v>0</v>
      </c>
      <c r="W105" s="16"/>
      <c r="X105" s="20">
        <f>+P105-T105</f>
        <v>238877.96156031033</v>
      </c>
      <c r="Y105" s="16"/>
      <c r="Z105" s="22">
        <f>IF(T105=0,0,X105/T105)</f>
        <v>-0.16569090273213935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2"/>
      <c r="B107" s="10" t="s">
        <v>128</v>
      </c>
      <c r="C107" s="10"/>
      <c r="D107" s="4"/>
      <c r="E107" s="4"/>
      <c r="F107" s="12">
        <f>IF(D$12=0,0,D107/D$12)</f>
        <v>0</v>
      </c>
      <c r="G107" s="4"/>
      <c r="H107" s="4"/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/>
      <c r="Q107" s="4"/>
      <c r="R107" s="12">
        <f>IF(P$12=0,0,P107/P$12)</f>
        <v>0</v>
      </c>
      <c r="S107" s="4"/>
      <c r="T107" s="4"/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126</v>
      </c>
      <c r="C109" s="28"/>
      <c r="D109" s="34">
        <f>+D105-D107</f>
        <v>-125446.13</v>
      </c>
      <c r="E109" s="14"/>
      <c r="F109" s="35">
        <f>IF(D$12=0,0,D109/D$12)</f>
        <v>0</v>
      </c>
      <c r="G109" s="14"/>
      <c r="H109" s="34">
        <f>+H105-H107</f>
        <v>-83407.120193001538</v>
      </c>
      <c r="I109" s="14"/>
      <c r="J109" s="35">
        <f>IF(H$12=0,0,H109/H$12)</f>
        <v>0</v>
      </c>
      <c r="K109" s="16"/>
      <c r="L109" s="34">
        <f>D109-H109</f>
        <v>-42039.009806998467</v>
      </c>
      <c r="M109" s="16"/>
      <c r="N109" s="35">
        <f>IF(H109=0,0,L109/H109)</f>
        <v>0.50402183542270107</v>
      </c>
      <c r="O109" s="29"/>
      <c r="P109" s="34">
        <f>+P105-P107</f>
        <v>-1202830.4099999997</v>
      </c>
      <c r="Q109" s="14"/>
      <c r="R109" s="35">
        <f>IF(P$12=0,0,P109/P$12)</f>
        <v>0</v>
      </c>
      <c r="S109" s="14"/>
      <c r="T109" s="34">
        <f>+T105-T107</f>
        <v>-1441708.37156031</v>
      </c>
      <c r="U109" s="14"/>
      <c r="V109" s="35">
        <f>IF(T$12=0,0,T109/T$12)</f>
        <v>0</v>
      </c>
      <c r="W109" s="16"/>
      <c r="X109" s="34">
        <f>P109-T109</f>
        <v>238877.96156031033</v>
      </c>
      <c r="Y109" s="16"/>
      <c r="Z109" s="35">
        <f>IF(T109=0,0,X109/T109)</f>
        <v>-0.16569090273213935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294</v>
      </c>
      <c r="C112" s="28"/>
      <c r="D112" s="33">
        <f>SUM(D109:D111)</f>
        <v>-125446.13</v>
      </c>
      <c r="E112" s="14"/>
      <c r="F112" s="31">
        <f>IF(D$12=0,0,D112/D$12)</f>
        <v>0</v>
      </c>
      <c r="G112" s="14"/>
      <c r="H112" s="33">
        <f>SUM(H109:H111)</f>
        <v>-83407.120193001538</v>
      </c>
      <c r="I112" s="14"/>
      <c r="J112" s="31">
        <f>IF(H$12=0,0,H112/H$12)</f>
        <v>0</v>
      </c>
      <c r="K112" s="16"/>
      <c r="L112" s="33">
        <f>+D112-H112</f>
        <v>-42039.009806998467</v>
      </c>
      <c r="M112" s="16"/>
      <c r="N112" s="31">
        <f>IF(H112=0,0,L112/H112)</f>
        <v>0.50402183542270107</v>
      </c>
      <c r="O112" s="29"/>
      <c r="P112" s="33">
        <f>SUM(P109:P111)</f>
        <v>-1202830.4099999997</v>
      </c>
      <c r="Q112" s="14"/>
      <c r="R112" s="31">
        <f>IF(P$12=0,0,P112/P$12)</f>
        <v>0</v>
      </c>
      <c r="S112" s="14"/>
      <c r="T112" s="33">
        <f>SUM(T109:T111)</f>
        <v>-1441708.37156031</v>
      </c>
      <c r="U112" s="14"/>
      <c r="V112" s="31">
        <f>IF(T$12=0,0,T112/T$12)</f>
        <v>0</v>
      </c>
      <c r="W112" s="16"/>
      <c r="X112" s="33">
        <f>+P112-T112</f>
        <v>238877.96156031033</v>
      </c>
      <c r="Y112" s="16"/>
      <c r="Z112" s="31">
        <f>IF(T112=0,0,X112/T112)</f>
        <v>-0.16569090273213935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6">
        <v>44454.686112384261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55" t="s">
        <v>56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A116" s="9"/>
      <c r="B116" s="63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","306", " - ", "Warehouse")</f>
        <v>Department 306 - Warehouse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0</v>
      </c>
      <c r="E18" s="21"/>
      <c r="F18" s="30">
        <f t="shared" ref="F18:F28" si="0">IF(D$12=0,0,D18/D$12)</f>
        <v>0</v>
      </c>
      <c r="G18" s="21"/>
      <c r="H18" s="21">
        <f>SUM(OSRRefH22x_0)</f>
        <v>0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0</v>
      </c>
      <c r="M18" s="4"/>
      <c r="N18" s="30">
        <f t="shared" ref="N18:N28" si="3">IF(H18=0,0,L18/H18)</f>
        <v>0</v>
      </c>
      <c r="O18" s="10"/>
      <c r="P18" s="21">
        <f>SUM(OSRRefP22x_0)</f>
        <v>0.37000000000004318</v>
      </c>
      <c r="Q18" s="21"/>
      <c r="R18" s="30">
        <f t="shared" ref="R18:R28" si="4">IF(P$12=0,0,P18/P$12)</f>
        <v>0</v>
      </c>
      <c r="S18" s="21"/>
      <c r="T18" s="21">
        <f>SUM(OSRRefT22x_0)</f>
        <v>0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0.37000000000004318</v>
      </c>
      <c r="Y18" s="4"/>
      <c r="Z18" s="30">
        <f t="shared" ref="Z18:Z28" si="7">IF(T18=0,0,X18/T18)</f>
        <v>0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0.1400000000000432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402.04</v>
      </c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402.04</v>
      </c>
      <c r="Y20" s="2"/>
      <c r="Z20" s="7">
        <f t="shared" si="7"/>
        <v>0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0</v>
      </c>
      <c r="Y21" s="2"/>
      <c r="Z21" s="7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0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0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-401.9</v>
      </c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0</v>
      </c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/>
      <c r="Q28" s="2"/>
      <c r="R28" s="7">
        <f t="shared" si="4"/>
        <v>0</v>
      </c>
      <c r="S28" s="2"/>
      <c r="T28" s="6">
        <v>0</v>
      </c>
      <c r="U28" s="2"/>
      <c r="V28" s="7">
        <f t="shared" si="5"/>
        <v>0</v>
      </c>
      <c r="W28" s="2"/>
      <c r="X28" s="6">
        <f t="shared" si="6"/>
        <v>0</v>
      </c>
      <c r="Y28" s="2"/>
      <c r="Z28" s="7">
        <f t="shared" si="7"/>
        <v>0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0</v>
      </c>
      <c r="M29" s="1"/>
      <c r="N29" s="5">
        <f t="shared" ref="N29:N39" si="11">IF(H29=0,0,L29/H29)</f>
        <v>0</v>
      </c>
      <c r="O29" s="13"/>
      <c r="P29" s="1">
        <f>SUM(OSRRefP22_1x_0)</f>
        <v>0.23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0.23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0.23</v>
      </c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0.23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0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0" si="16">IF(D$12=0,0,D40/D$12)</f>
        <v>0</v>
      </c>
      <c r="G40" s="1"/>
      <c r="H40" s="1">
        <f>SUM(OSRRefH22_2x_0)</f>
        <v>0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0</v>
      </c>
      <c r="M40" s="1"/>
      <c r="N40" s="5">
        <f t="shared" ref="N40:N50" si="19">IF(H40=0,0,L40/H40)</f>
        <v>0</v>
      </c>
      <c r="O40" s="13"/>
      <c r="P40" s="1">
        <f>SUM(OSRRefP22_2x_0)</f>
        <v>0</v>
      </c>
      <c r="Q40" s="1"/>
      <c r="R40" s="5">
        <f t="shared" ref="R40:R50" si="20">IF(P$12=0,0,P40/P$12)</f>
        <v>0</v>
      </c>
      <c r="S40" s="1"/>
      <c r="T40" s="1">
        <f>SUM(OSRRefT22_2x_0)</f>
        <v>0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0</v>
      </c>
      <c r="Y40" s="1"/>
      <c r="Z40" s="5">
        <f t="shared" ref="Z40:Z50" si="23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0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0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7" customFormat="1" outlineLevel="1" collapsed="1" x14ac:dyDescent="0.25">
      <c r="A44" s="25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6"/>
      <c r="B45" s="11" t="str">
        <f>CONCATENATE("          ", "6351", " - ", "EQUIPMENT RENTAL")</f>
        <v xml:space="preserve">          6351 - EQUIPMENT RENTAL</v>
      </c>
      <c r="C45" s="11"/>
      <c r="D45" s="6"/>
      <c r="E45" s="2"/>
      <c r="F45" s="7">
        <f t="shared" si="16"/>
        <v>0</v>
      </c>
      <c r="G45" s="2"/>
      <c r="H45" s="6">
        <v>0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0</v>
      </c>
      <c r="Q45" s="2"/>
      <c r="R45" s="7">
        <f t="shared" si="20"/>
        <v>0</v>
      </c>
      <c r="S45" s="2"/>
      <c r="T45" s="6">
        <v>0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7" customFormat="1" outlineLevel="1" collapsed="1" x14ac:dyDescent="0.25">
      <c r="A46" s="25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6"/>
      <c r="E47" s="2"/>
      <c r="F47" s="7">
        <f t="shared" si="16"/>
        <v>0</v>
      </c>
      <c r="G47" s="2"/>
      <c r="H47" s="6">
        <v>0</v>
      </c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0</v>
      </c>
      <c r="Q47" s="2"/>
      <c r="R47" s="7">
        <f t="shared" si="20"/>
        <v>0</v>
      </c>
      <c r="S47" s="2"/>
      <c r="T47" s="6">
        <v>0</v>
      </c>
      <c r="U47" s="2"/>
      <c r="V47" s="7">
        <f t="shared" si="21"/>
        <v>0</v>
      </c>
      <c r="W47" s="2"/>
      <c r="X47" s="6">
        <f t="shared" si="22"/>
        <v>0</v>
      </c>
      <c r="Y47" s="2"/>
      <c r="Z47" s="7">
        <f t="shared" si="23"/>
        <v>0</v>
      </c>
    </row>
    <row r="48" spans="1:26" s="27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0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/>
      <c r="Q50" s="2"/>
      <c r="R50" s="7">
        <f t="shared" si="20"/>
        <v>0</v>
      </c>
      <c r="S50" s="2"/>
      <c r="T50" s="6">
        <v>0</v>
      </c>
      <c r="U50" s="2"/>
      <c r="V50" s="7">
        <f t="shared" si="21"/>
        <v>0</v>
      </c>
      <c r="W50" s="2"/>
      <c r="X50" s="6">
        <f t="shared" si="22"/>
        <v>0</v>
      </c>
      <c r="Y50" s="2"/>
      <c r="Z50" s="7">
        <f t="shared" si="23"/>
        <v>0</v>
      </c>
    </row>
    <row r="51" spans="1:26" s="27" customFormat="1" outlineLevel="1" collapsed="1" x14ac:dyDescent="0.25">
      <c r="A51" s="25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ref="F51:F53" si="24">IF(D$12=0,0,D51/D$12)</f>
        <v>0</v>
      </c>
      <c r="G51" s="1"/>
      <c r="H51" s="1">
        <f>SUM(OSRRefH22_7x_0)</f>
        <v>0</v>
      </c>
      <c r="I51" s="1"/>
      <c r="J51" s="5">
        <f t="shared" ref="J51:J53" si="25">IF(H$12=0,0,H51/H$12)</f>
        <v>0</v>
      </c>
      <c r="K51" s="1"/>
      <c r="L51" s="1">
        <f t="shared" ref="L51:L53" si="26">+D51-H51</f>
        <v>0</v>
      </c>
      <c r="M51" s="1"/>
      <c r="N51" s="5">
        <f t="shared" ref="N51:N53" si="27">IF(H51=0,0,L51/H51)</f>
        <v>0</v>
      </c>
      <c r="O51" s="13"/>
      <c r="P51" s="1">
        <f>SUM(OSRRefP22_7x_0)</f>
        <v>0</v>
      </c>
      <c r="Q51" s="1"/>
      <c r="R51" s="5">
        <f t="shared" ref="R51:R53" si="28">IF(P$12=0,0,P51/P$12)</f>
        <v>0</v>
      </c>
      <c r="S51" s="1"/>
      <c r="T51" s="1">
        <f>SUM(OSRRefT22_7x_0)</f>
        <v>0</v>
      </c>
      <c r="U51" s="1"/>
      <c r="V51" s="5">
        <f t="shared" ref="V51:V53" si="29">IF(T$12=0,0,T51/T$12)</f>
        <v>0</v>
      </c>
      <c r="W51" s="1"/>
      <c r="X51" s="1">
        <f t="shared" ref="X51:X53" si="30">+P51-T51</f>
        <v>0</v>
      </c>
      <c r="Y51" s="1"/>
      <c r="Z51" s="5">
        <f t="shared" ref="Z51:Z53" si="31">IF(T51=0,0,X51/T51)</f>
        <v>0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0</v>
      </c>
      <c r="U52" s="2"/>
      <c r="V52" s="7">
        <f t="shared" si="29"/>
        <v>0</v>
      </c>
      <c r="W52" s="2"/>
      <c r="X52" s="6">
        <f t="shared" si="30"/>
        <v>0</v>
      </c>
      <c r="Y52" s="2"/>
      <c r="Z52" s="7">
        <f t="shared" si="31"/>
        <v>0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0</v>
      </c>
      <c r="U53" s="2"/>
      <c r="V53" s="7">
        <f t="shared" si="29"/>
        <v>0</v>
      </c>
      <c r="W53" s="2"/>
      <c r="X53" s="6">
        <f t="shared" si="30"/>
        <v>0</v>
      </c>
      <c r="Y53" s="2"/>
      <c r="Z53" s="7">
        <f t="shared" si="31"/>
        <v>0</v>
      </c>
    </row>
    <row r="54" spans="1:26" s="27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0</v>
      </c>
      <c r="E54" s="1"/>
      <c r="F54" s="5">
        <f t="shared" ref="F54:F59" si="32">IF(D$12=0,0,D54/D$12)</f>
        <v>0</v>
      </c>
      <c r="G54" s="1"/>
      <c r="H54" s="1">
        <f>SUM(OSRRefH22_8x_0)</f>
        <v>0</v>
      </c>
      <c r="I54" s="1"/>
      <c r="J54" s="5">
        <f t="shared" ref="J54:J59" si="33">IF(H$12=0,0,H54/H$12)</f>
        <v>0</v>
      </c>
      <c r="K54" s="1"/>
      <c r="L54" s="1">
        <f t="shared" ref="L54:L59" si="34">+D54-H54</f>
        <v>0</v>
      </c>
      <c r="M54" s="1"/>
      <c r="N54" s="5">
        <f t="shared" ref="N54:N59" si="35">IF(H54=0,0,L54/H54)</f>
        <v>0</v>
      </c>
      <c r="O54" s="13"/>
      <c r="P54" s="1">
        <f>SUM(OSRRefP22_8x_0)</f>
        <v>0</v>
      </c>
      <c r="Q54" s="1"/>
      <c r="R54" s="5">
        <f t="shared" ref="R54:R59" si="36">IF(P$12=0,0,P54/P$12)</f>
        <v>0</v>
      </c>
      <c r="S54" s="1"/>
      <c r="T54" s="1">
        <f>SUM(OSRRefT22_8x_0)</f>
        <v>0</v>
      </c>
      <c r="U54" s="1"/>
      <c r="V54" s="5">
        <f t="shared" ref="V54:V59" si="37">IF(T$12=0,0,T54/T$12)</f>
        <v>0</v>
      </c>
      <c r="W54" s="1"/>
      <c r="X54" s="1">
        <f t="shared" ref="X54:X59" si="38">+P54-T54</f>
        <v>0</v>
      </c>
      <c r="Y54" s="1"/>
      <c r="Z54" s="5">
        <f t="shared" ref="Z54:Z59" si="39">IF(T54=0,0,X54/T54)</f>
        <v>0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/>
      <c r="E55" s="2"/>
      <c r="F55" s="7">
        <f t="shared" si="32"/>
        <v>0</v>
      </c>
      <c r="G55" s="2"/>
      <c r="H55" s="6">
        <v>0</v>
      </c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0</v>
      </c>
      <c r="Q55" s="2"/>
      <c r="R55" s="7">
        <f t="shared" si="36"/>
        <v>0</v>
      </c>
      <c r="S55" s="2"/>
      <c r="T55" s="6">
        <v>0</v>
      </c>
      <c r="U55" s="2"/>
      <c r="V55" s="7">
        <f t="shared" si="37"/>
        <v>0</v>
      </c>
      <c r="W55" s="2"/>
      <c r="X55" s="6">
        <f t="shared" si="38"/>
        <v>0</v>
      </c>
      <c r="Y55" s="2"/>
      <c r="Z55" s="7">
        <f t="shared" si="39"/>
        <v>0</v>
      </c>
    </row>
    <row r="56" spans="1:26" s="27" customFormat="1" outlineLevel="1" collapsed="1" x14ac:dyDescent="0.25">
      <c r="A56" s="25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0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0</v>
      </c>
      <c r="Y56" s="1"/>
      <c r="Z56" s="5">
        <f t="shared" si="39"/>
        <v>0</v>
      </c>
    </row>
    <row r="57" spans="1:26" s="24" customFormat="1" hidden="1" outlineLevel="2" x14ac:dyDescent="0.25">
      <c r="A57" s="26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0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7" customFormat="1" outlineLevel="1" collapsed="1" x14ac:dyDescent="0.25">
      <c r="A58" s="25"/>
      <c r="B58" s="13" t="str">
        <f>CONCATENATE("     ","Utilities                                         ")</f>
        <v xml:space="preserve">     Utilities                                         </v>
      </c>
      <c r="C58" s="13"/>
      <c r="D58" s="1">
        <f>SUM(OSRRefD22_10x_0)</f>
        <v>0</v>
      </c>
      <c r="E58" s="1"/>
      <c r="F58" s="5">
        <f t="shared" si="32"/>
        <v>0</v>
      </c>
      <c r="G58" s="1"/>
      <c r="H58" s="1">
        <f>SUM(OSRRefH22_10x_0)</f>
        <v>0</v>
      </c>
      <c r="I58" s="1"/>
      <c r="J58" s="5">
        <f t="shared" si="33"/>
        <v>0</v>
      </c>
      <c r="K58" s="1"/>
      <c r="L58" s="1">
        <f t="shared" si="34"/>
        <v>0</v>
      </c>
      <c r="M58" s="1"/>
      <c r="N58" s="5">
        <f t="shared" si="35"/>
        <v>0</v>
      </c>
      <c r="O58" s="13"/>
      <c r="P58" s="1">
        <f>SUM(OSRRefP22_10x_0)</f>
        <v>0</v>
      </c>
      <c r="Q58" s="1"/>
      <c r="R58" s="5">
        <f t="shared" si="36"/>
        <v>0</v>
      </c>
      <c r="S58" s="1"/>
      <c r="T58" s="1">
        <f>SUM(OSRRefT22_10x_0)</f>
        <v>0</v>
      </c>
      <c r="U58" s="1"/>
      <c r="V58" s="5">
        <f t="shared" si="37"/>
        <v>0</v>
      </c>
      <c r="W58" s="1"/>
      <c r="X58" s="1">
        <f t="shared" si="38"/>
        <v>0</v>
      </c>
      <c r="Y58" s="1"/>
      <c r="Z58" s="5">
        <f t="shared" si="39"/>
        <v>0</v>
      </c>
    </row>
    <row r="59" spans="1:26" s="24" customFormat="1" hidden="1" outlineLevel="2" x14ac:dyDescent="0.25">
      <c r="A59" s="26"/>
      <c r="B59" s="11" t="str">
        <f>CONCATENATE("          ", "6274", " - ", "UTILITIES")</f>
        <v xml:space="preserve">          6274 - UTILITIES</v>
      </c>
      <c r="C59" s="11"/>
      <c r="D59" s="6"/>
      <c r="E59" s="2"/>
      <c r="F59" s="7">
        <f t="shared" si="32"/>
        <v>0</v>
      </c>
      <c r="G59" s="2"/>
      <c r="H59" s="6">
        <v>0</v>
      </c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0</v>
      </c>
      <c r="U59" s="2"/>
      <c r="V59" s="7">
        <f t="shared" si="37"/>
        <v>0</v>
      </c>
      <c r="W59" s="2"/>
      <c r="X59" s="6">
        <f t="shared" si="38"/>
        <v>0</v>
      </c>
      <c r="Y59" s="2"/>
      <c r="Z59" s="7">
        <f t="shared" si="39"/>
        <v>0</v>
      </c>
    </row>
    <row r="60" spans="1:26" s="61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293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277</v>
      </c>
      <c r="C63" s="28"/>
      <c r="D63" s="20">
        <f>+D16-D18+D61</f>
        <v>0</v>
      </c>
      <c r="E63" s="14"/>
      <c r="F63" s="22">
        <f>IF(D$12=0,0,D63/D$12)</f>
        <v>0</v>
      </c>
      <c r="G63" s="14"/>
      <c r="H63" s="20">
        <f>+H16-H18+H61</f>
        <v>0</v>
      </c>
      <c r="I63" s="14"/>
      <c r="J63" s="22">
        <f>IF(H$12=0,0,H63/H$12)</f>
        <v>0</v>
      </c>
      <c r="K63" s="16"/>
      <c r="L63" s="20">
        <f>+D63-H63</f>
        <v>0</v>
      </c>
      <c r="M63" s="16"/>
      <c r="N63" s="22">
        <f>IF(H63=0,0,L63/H63)</f>
        <v>0</v>
      </c>
      <c r="O63" s="29"/>
      <c r="P63" s="20">
        <f>+P16-P18+P61</f>
        <v>-0.37000000000004318</v>
      </c>
      <c r="Q63" s="14"/>
      <c r="R63" s="22">
        <f>IF(P$12=0,0,P63/P$12)</f>
        <v>0</v>
      </c>
      <c r="S63" s="14"/>
      <c r="T63" s="20">
        <f>+T16-T18+T61</f>
        <v>0</v>
      </c>
      <c r="U63" s="14"/>
      <c r="V63" s="22">
        <f>IF(T$12=0,0,T63/T$12)</f>
        <v>0</v>
      </c>
      <c r="W63" s="16"/>
      <c r="X63" s="20">
        <f>+P63-T63</f>
        <v>-0.37000000000004318</v>
      </c>
      <c r="Y63" s="16"/>
      <c r="Z63" s="22">
        <f>IF(T63=0,0,X63/T63)</f>
        <v>0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128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126</v>
      </c>
      <c r="C67" s="28"/>
      <c r="D67" s="34">
        <f>+D63-D65</f>
        <v>0</v>
      </c>
      <c r="E67" s="14"/>
      <c r="F67" s="35">
        <f>IF(D$12=0,0,D67/D$12)</f>
        <v>0</v>
      </c>
      <c r="G67" s="14"/>
      <c r="H67" s="34">
        <f>+H63-H65</f>
        <v>0</v>
      </c>
      <c r="I67" s="14"/>
      <c r="J67" s="35">
        <f>IF(H$12=0,0,H67/H$12)</f>
        <v>0</v>
      </c>
      <c r="K67" s="16"/>
      <c r="L67" s="34">
        <f>D67-H67</f>
        <v>0</v>
      </c>
      <c r="M67" s="16"/>
      <c r="N67" s="35">
        <f>IF(H67=0,0,L67/H67)</f>
        <v>0</v>
      </c>
      <c r="O67" s="29"/>
      <c r="P67" s="34">
        <f>+P63-P65</f>
        <v>-0.37000000000004318</v>
      </c>
      <c r="Q67" s="14"/>
      <c r="R67" s="35">
        <f>IF(P$12=0,0,P67/P$12)</f>
        <v>0</v>
      </c>
      <c r="S67" s="14"/>
      <c r="T67" s="34">
        <f>+T63-T65</f>
        <v>0</v>
      </c>
      <c r="U67" s="14"/>
      <c r="V67" s="35">
        <f>IF(T$12=0,0,T67/T$12)</f>
        <v>0</v>
      </c>
      <c r="W67" s="16"/>
      <c r="X67" s="34">
        <f>P67-T67</f>
        <v>-0.37000000000004318</v>
      </c>
      <c r="Y67" s="16"/>
      <c r="Z67" s="35">
        <f>IF(T67=0,0,X67/T67)</f>
        <v>0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294</v>
      </c>
      <c r="C70" s="28"/>
      <c r="D70" s="33">
        <f>SUM(D67:D69)</f>
        <v>0</v>
      </c>
      <c r="E70" s="14"/>
      <c r="F70" s="31">
        <f>IF(D$12=0,0,D70/D$12)</f>
        <v>0</v>
      </c>
      <c r="G70" s="14"/>
      <c r="H70" s="33">
        <f>SUM(H67:H69)</f>
        <v>0</v>
      </c>
      <c r="I70" s="14"/>
      <c r="J70" s="31">
        <f>IF(H$12=0,0,H70/H$12)</f>
        <v>0</v>
      </c>
      <c r="K70" s="16"/>
      <c r="L70" s="33">
        <f>+D70-H70</f>
        <v>0</v>
      </c>
      <c r="M70" s="16"/>
      <c r="N70" s="31">
        <f>IF(H70=0,0,L70/H70)</f>
        <v>0</v>
      </c>
      <c r="O70" s="29"/>
      <c r="P70" s="33">
        <f>SUM(P67:P69)</f>
        <v>-0.37000000000004318</v>
      </c>
      <c r="Q70" s="14"/>
      <c r="R70" s="31">
        <f>IF(P$12=0,0,P70/P$12)</f>
        <v>0</v>
      </c>
      <c r="S70" s="14"/>
      <c r="T70" s="33">
        <f>SUM(T67:T69)</f>
        <v>0</v>
      </c>
      <c r="U70" s="14"/>
      <c r="V70" s="31">
        <f>IF(T$12=0,0,T70/T$12)</f>
        <v>0</v>
      </c>
      <c r="W70" s="16"/>
      <c r="X70" s="33">
        <f>+P70-T70</f>
        <v>-0.37000000000004318</v>
      </c>
      <c r="Y70" s="16"/>
      <c r="Z70" s="31">
        <f>IF(T70=0,0,X70/T70)</f>
        <v>0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>
        <v>44454.686112384261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5" t="s">
        <v>56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63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819</v>
      </c>
      <c r="I12" s="4"/>
      <c r="J12" s="12"/>
      <c r="K12" s="4"/>
      <c r="L12" s="4">
        <f t="shared" ref="L12:L26" si="0">+D12-H12</f>
        <v>-819</v>
      </c>
      <c r="M12" s="4"/>
      <c r="N12" s="12">
        <f t="shared" ref="N12:N26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161549</v>
      </c>
      <c r="U12" s="4"/>
      <c r="V12" s="12"/>
      <c r="W12" s="4"/>
      <c r="X12" s="4">
        <f t="shared" ref="X12:X26" si="2">+P12-T12</f>
        <v>-140237.08000000002</v>
      </c>
      <c r="Y12" s="4"/>
      <c r="Z12" s="12">
        <f t="shared" ref="Z12:Z26" si="3">IF(T12=0,0,X12/T12)</f>
        <v>-0.86807767302799776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819</v>
      </c>
      <c r="I20" s="2"/>
      <c r="J20" s="19"/>
      <c r="K20" s="2"/>
      <c r="L20" s="2">
        <f t="shared" si="0"/>
        <v>-819</v>
      </c>
      <c r="M20" s="2"/>
      <c r="N20" s="19">
        <f t="shared" si="1"/>
        <v>-1</v>
      </c>
      <c r="O20" s="11"/>
      <c r="P20" s="2">
        <f t="shared" ref="P20:P21" si="5">0</f>
        <v>0</v>
      </c>
      <c r="Q20" s="2"/>
      <c r="R20" s="19"/>
      <c r="S20" s="2"/>
      <c r="T20" s="2">
        <v>161549</v>
      </c>
      <c r="U20" s="2"/>
      <c r="V20" s="19"/>
      <c r="W20" s="2"/>
      <c r="X20" s="2">
        <f t="shared" si="2"/>
        <v>-161549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--1847.16</f>
        <v>1847.16</v>
      </c>
      <c r="Q22" s="2"/>
      <c r="R22" s="19"/>
      <c r="S22" s="2"/>
      <c r="T22" s="2"/>
      <c r="U22" s="2"/>
      <c r="V22" s="19"/>
      <c r="W22" s="2"/>
      <c r="X22" s="2">
        <f t="shared" si="2"/>
        <v>1847.16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/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"4226", " - ", "SALES RETURN TAXABLE-WRITING I")</f>
        <v xml:space="preserve">          4226 - SALES RETURN TAXABLE-WRITING I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6"/>
        <v>0</v>
      </c>
      <c r="Q24" s="2"/>
      <c r="R24" s="19"/>
      <c r="S24" s="2"/>
      <c r="T24" s="2"/>
      <c r="U24" s="2"/>
      <c r="V24" s="19"/>
      <c r="W24" s="2"/>
      <c r="X24" s="2">
        <f t="shared" si="2"/>
        <v>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"4227", " - ", "SALES RETURN TAXABLE-SCHOOL SU")</f>
        <v xml:space="preserve">          4227 - SALES RETURN TAXABLE-SCHOOL SU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-159.97</f>
        <v>-159.97</v>
      </c>
      <c r="Q25" s="2"/>
      <c r="R25" s="19"/>
      <c r="S25" s="2"/>
      <c r="T25" s="2"/>
      <c r="U25" s="2"/>
      <c r="V25" s="19"/>
      <c r="W25" s="2"/>
      <c r="X25" s="2">
        <f t="shared" si="2"/>
        <v>-159.97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"4228", " - ", "SALES RETURN TAXABLE-ART/TECH")</f>
        <v xml:space="preserve">          4228 - SALES RETURN TAXABLE-ART/TECH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-222.2</f>
        <v>-222.2</v>
      </c>
      <c r="Q26" s="2"/>
      <c r="R26" s="19"/>
      <c r="S26" s="2"/>
      <c r="T26" s="2"/>
      <c r="U26" s="2"/>
      <c r="V26" s="19"/>
      <c r="W26" s="2"/>
      <c r="X26" s="2">
        <f t="shared" si="2"/>
        <v>-222.2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collapsed="1" x14ac:dyDescent="0.25">
      <c r="A28" s="10"/>
      <c r="B28" s="29" t="s">
        <v>257</v>
      </c>
      <c r="C28" s="10"/>
      <c r="D28" s="4">
        <f>SUM(OSRRefD16x_0)</f>
        <v>174968.99000000002</v>
      </c>
      <c r="E28" s="4"/>
      <c r="F28" s="12">
        <f t="shared" ref="F28:F48" si="7">IF(D$12=0,0,D28/D$12)</f>
        <v>0</v>
      </c>
      <c r="G28" s="4"/>
      <c r="H28" s="4">
        <f>SUM(OSRRefH16x_0)</f>
        <v>650</v>
      </c>
      <c r="I28" s="4"/>
      <c r="J28" s="12">
        <f t="shared" ref="J28:J48" si="8">IF(H$12=0,0,H28/H$12)</f>
        <v>0.79365079365079361</v>
      </c>
      <c r="K28" s="4"/>
      <c r="L28" s="4">
        <f t="shared" ref="L28:L48" si="9">+D28-H28</f>
        <v>174318.99000000002</v>
      </c>
      <c r="M28" s="4"/>
      <c r="N28" s="12">
        <f t="shared" ref="N28:N48" si="10">IF(H28=0,0,L28/H28)</f>
        <v>268.18306153846157</v>
      </c>
      <c r="O28" s="10"/>
      <c r="P28" s="4">
        <f>SUM(OSRRefP16x_0)</f>
        <v>188790.50999999998</v>
      </c>
      <c r="Q28" s="4"/>
      <c r="R28" s="12">
        <f t="shared" ref="R28:R48" si="11">IF(P$12=0,0,P28/P$12)</f>
        <v>8.8584468222478314</v>
      </c>
      <c r="S28" s="4"/>
      <c r="T28" s="4">
        <f>SUM(OSRRefT16x_0)</f>
        <v>82136</v>
      </c>
      <c r="U28" s="4"/>
      <c r="V28" s="12">
        <f t="shared" ref="V28:V48" si="12">IF(T$12=0,0,T28/T$12)</f>
        <v>0.50842778352078932</v>
      </c>
      <c r="W28" s="4"/>
      <c r="X28" s="4">
        <f t="shared" ref="X28:X48" si="13">+P28-T28</f>
        <v>106654.50999999998</v>
      </c>
      <c r="Y28" s="4"/>
      <c r="Z28" s="12">
        <f t="shared" ref="Z28:Z48" si="14">IF(T28=0,0,X28/T28)</f>
        <v>1.298511127885458</v>
      </c>
    </row>
    <row r="29" spans="1:26" s="24" customFormat="1" hidden="1" outlineLevel="1" x14ac:dyDescent="0.25">
      <c r="A29" s="44"/>
      <c r="B29" s="11" t="str">
        <f>CONCATENATE("          ", "5000", " - ", "PURCHASES @ COST")</f>
        <v xml:space="preserve">          5000 - PURCHASES @ COST</v>
      </c>
      <c r="C29" s="11"/>
      <c r="D29" s="2"/>
      <c r="E29" s="2"/>
      <c r="F29" s="19">
        <f t="shared" si="7"/>
        <v>0</v>
      </c>
      <c r="G29" s="2"/>
      <c r="H29" s="2">
        <v>650</v>
      </c>
      <c r="I29" s="2"/>
      <c r="J29" s="19">
        <f t="shared" si="8"/>
        <v>0.79365079365079361</v>
      </c>
      <c r="K29" s="2"/>
      <c r="L29" s="2">
        <f t="shared" si="9"/>
        <v>-650</v>
      </c>
      <c r="M29" s="2"/>
      <c r="N29" s="19">
        <f t="shared" si="10"/>
        <v>-1</v>
      </c>
      <c r="O29" s="11"/>
      <c r="P29" s="2"/>
      <c r="Q29" s="2"/>
      <c r="R29" s="19">
        <f t="shared" si="11"/>
        <v>0</v>
      </c>
      <c r="S29" s="2"/>
      <c r="T29" s="2">
        <v>82136</v>
      </c>
      <c r="U29" s="2"/>
      <c r="V29" s="19">
        <f t="shared" si="12"/>
        <v>0.50842778352078932</v>
      </c>
      <c r="W29" s="2"/>
      <c r="X29" s="2">
        <f t="shared" si="13"/>
        <v>-82136</v>
      </c>
      <c r="Y29" s="2"/>
      <c r="Z29" s="19">
        <f t="shared" si="14"/>
        <v>-1</v>
      </c>
    </row>
    <row r="30" spans="1:26" s="24" customFormat="1" hidden="1" outlineLevel="1" x14ac:dyDescent="0.25">
      <c r="A30" s="44"/>
      <c r="B30" s="11" t="str">
        <f>CONCATENATE("          ", "5025", " - ", "PURCHASES @ COST-TEST FORMS")</f>
        <v xml:space="preserve">          5025 - PURCHASES @ COST-TEST FORMS</v>
      </c>
      <c r="C30" s="11"/>
      <c r="D30" s="2">
        <v>161</v>
      </c>
      <c r="E30" s="2"/>
      <c r="F30" s="19">
        <f t="shared" si="7"/>
        <v>0</v>
      </c>
      <c r="G30" s="2"/>
      <c r="H30" s="2"/>
      <c r="I30" s="2"/>
      <c r="J30" s="19">
        <f t="shared" si="8"/>
        <v>0</v>
      </c>
      <c r="K30" s="2"/>
      <c r="L30" s="2">
        <f t="shared" si="9"/>
        <v>161</v>
      </c>
      <c r="M30" s="2"/>
      <c r="N30" s="19">
        <f t="shared" si="10"/>
        <v>0</v>
      </c>
      <c r="O30" s="11"/>
      <c r="P30" s="2">
        <v>161</v>
      </c>
      <c r="Q30" s="2"/>
      <c r="R30" s="19">
        <f t="shared" si="11"/>
        <v>7.5544577870037058E-3</v>
      </c>
      <c r="S30" s="2"/>
      <c r="T30" s="2"/>
      <c r="U30" s="2"/>
      <c r="V30" s="19">
        <f t="shared" si="12"/>
        <v>0</v>
      </c>
      <c r="W30" s="2"/>
      <c r="X30" s="2">
        <f t="shared" si="13"/>
        <v>161</v>
      </c>
      <c r="Y30" s="2"/>
      <c r="Z30" s="19">
        <f t="shared" si="14"/>
        <v>0</v>
      </c>
    </row>
    <row r="31" spans="1:26" s="24" customFormat="1" hidden="1" outlineLevel="1" x14ac:dyDescent="0.25">
      <c r="A31" s="44"/>
      <c r="B31" s="11" t="str">
        <f>CONCATENATE("          ", "5026", " - ", "PURCHASES @ COST-WRITING INSTR")</f>
        <v xml:space="preserve">          5026 - PURCHASES @ COST-WRITING INSTR</v>
      </c>
      <c r="C31" s="11"/>
      <c r="D31" s="2">
        <v>1610.02</v>
      </c>
      <c r="E31" s="2"/>
      <c r="F31" s="19">
        <f t="shared" si="7"/>
        <v>0</v>
      </c>
      <c r="G31" s="2"/>
      <c r="H31" s="2"/>
      <c r="I31" s="2"/>
      <c r="J31" s="19">
        <f t="shared" si="8"/>
        <v>0</v>
      </c>
      <c r="K31" s="2"/>
      <c r="L31" s="2">
        <f t="shared" si="9"/>
        <v>1610.02</v>
      </c>
      <c r="M31" s="2"/>
      <c r="N31" s="19">
        <f t="shared" si="10"/>
        <v>0</v>
      </c>
      <c r="O31" s="11"/>
      <c r="P31" s="2">
        <v>1974.93</v>
      </c>
      <c r="Q31" s="2"/>
      <c r="R31" s="19">
        <f t="shared" si="11"/>
        <v>9.2667859113585271E-2</v>
      </c>
      <c r="S31" s="2"/>
      <c r="T31" s="2"/>
      <c r="U31" s="2"/>
      <c r="V31" s="19">
        <f t="shared" si="12"/>
        <v>0</v>
      </c>
      <c r="W31" s="2"/>
      <c r="X31" s="2">
        <f t="shared" si="13"/>
        <v>1974.93</v>
      </c>
      <c r="Y31" s="2"/>
      <c r="Z31" s="19">
        <f t="shared" si="14"/>
        <v>0</v>
      </c>
    </row>
    <row r="32" spans="1:26" s="24" customFormat="1" hidden="1" outlineLevel="1" x14ac:dyDescent="0.25">
      <c r="A32" s="44"/>
      <c r="B32" s="11" t="str">
        <f>CONCATENATE("          ", "5027", " - ", "PURCHASES @ COST-SCHOOL SUPPLI")</f>
        <v xml:space="preserve">          5027 - PURCHASES @ COST-SCHOOL SUPPLI</v>
      </c>
      <c r="C32" s="11"/>
      <c r="D32" s="2">
        <v>1842.47</v>
      </c>
      <c r="E32" s="2"/>
      <c r="F32" s="19">
        <f t="shared" si="7"/>
        <v>0</v>
      </c>
      <c r="G32" s="2"/>
      <c r="H32" s="2"/>
      <c r="I32" s="2"/>
      <c r="J32" s="19">
        <f t="shared" si="8"/>
        <v>0</v>
      </c>
      <c r="K32" s="2"/>
      <c r="L32" s="2">
        <f t="shared" si="9"/>
        <v>1842.47</v>
      </c>
      <c r="M32" s="2"/>
      <c r="N32" s="19">
        <f t="shared" si="10"/>
        <v>0</v>
      </c>
      <c r="O32" s="11"/>
      <c r="P32" s="2">
        <v>2737.94</v>
      </c>
      <c r="Q32" s="2"/>
      <c r="R32" s="19">
        <f t="shared" si="11"/>
        <v>0.12846988915123556</v>
      </c>
      <c r="S32" s="2"/>
      <c r="T32" s="2"/>
      <c r="U32" s="2"/>
      <c r="V32" s="19">
        <f t="shared" si="12"/>
        <v>0</v>
      </c>
      <c r="W32" s="2"/>
      <c r="X32" s="2">
        <f t="shared" si="13"/>
        <v>2737.94</v>
      </c>
      <c r="Y32" s="2"/>
      <c r="Z32" s="19">
        <f t="shared" si="14"/>
        <v>0</v>
      </c>
    </row>
    <row r="33" spans="1:26" s="24" customFormat="1" hidden="1" outlineLevel="1" x14ac:dyDescent="0.25">
      <c r="A33" s="44"/>
      <c r="B33" s="11" t="str">
        <f>CONCATENATE("          ", "5028", " - ", "PURCHASES @ COST-ART/TECH")</f>
        <v xml:space="preserve">          5028 - PURCHASES @ COST-ART/TECH</v>
      </c>
      <c r="C33" s="11"/>
      <c r="D33" s="2">
        <v>92180.17</v>
      </c>
      <c r="E33" s="2"/>
      <c r="F33" s="19">
        <f t="shared" si="7"/>
        <v>0</v>
      </c>
      <c r="G33" s="2"/>
      <c r="H33" s="2"/>
      <c r="I33" s="2"/>
      <c r="J33" s="19">
        <f t="shared" si="8"/>
        <v>0</v>
      </c>
      <c r="K33" s="2"/>
      <c r="L33" s="2">
        <f t="shared" si="9"/>
        <v>92180.17</v>
      </c>
      <c r="M33" s="2"/>
      <c r="N33" s="19">
        <f t="shared" si="10"/>
        <v>0</v>
      </c>
      <c r="O33" s="11"/>
      <c r="P33" s="2">
        <v>133622.01999999999</v>
      </c>
      <c r="Q33" s="2"/>
      <c r="R33" s="19">
        <f t="shared" si="11"/>
        <v>6.2698255248705888</v>
      </c>
      <c r="S33" s="2"/>
      <c r="T33" s="2"/>
      <c r="U33" s="2"/>
      <c r="V33" s="19">
        <f t="shared" si="12"/>
        <v>0</v>
      </c>
      <c r="W33" s="2"/>
      <c r="X33" s="2">
        <f t="shared" si="13"/>
        <v>133622.01999999999</v>
      </c>
      <c r="Y33" s="2"/>
      <c r="Z33" s="19">
        <f t="shared" si="14"/>
        <v>0</v>
      </c>
    </row>
    <row r="34" spans="1:26" s="24" customFormat="1" hidden="1" outlineLevel="1" x14ac:dyDescent="0.25">
      <c r="A34" s="44"/>
      <c r="B34" s="11" t="str">
        <f>CONCATENATE("          ", "5031", " - ", "PURCHASES @ COST-FOOD")</f>
        <v xml:space="preserve">          5031 - PURCHASES @ COST-FOOD</v>
      </c>
      <c r="C34" s="11"/>
      <c r="D34" s="2">
        <v>74968.09</v>
      </c>
      <c r="E34" s="2"/>
      <c r="F34" s="19">
        <f t="shared" si="7"/>
        <v>0</v>
      </c>
      <c r="G34" s="2"/>
      <c r="H34" s="2"/>
      <c r="I34" s="2"/>
      <c r="J34" s="19">
        <f t="shared" si="8"/>
        <v>0</v>
      </c>
      <c r="K34" s="2"/>
      <c r="L34" s="2">
        <f t="shared" si="9"/>
        <v>74968.09</v>
      </c>
      <c r="M34" s="2"/>
      <c r="N34" s="19">
        <f t="shared" si="10"/>
        <v>0</v>
      </c>
      <c r="O34" s="11"/>
      <c r="P34" s="2">
        <v>77409.66</v>
      </c>
      <c r="Q34" s="2"/>
      <c r="R34" s="19">
        <f t="shared" si="11"/>
        <v>3.63222365699571</v>
      </c>
      <c r="S34" s="2"/>
      <c r="T34" s="2"/>
      <c r="U34" s="2"/>
      <c r="V34" s="19">
        <f t="shared" si="12"/>
        <v>0</v>
      </c>
      <c r="W34" s="2"/>
      <c r="X34" s="2">
        <f t="shared" si="13"/>
        <v>77409.66</v>
      </c>
      <c r="Y34" s="2"/>
      <c r="Z34" s="19">
        <f t="shared" si="14"/>
        <v>0</v>
      </c>
    </row>
    <row r="35" spans="1:26" s="24" customFormat="1" hidden="1" outlineLevel="1" x14ac:dyDescent="0.25">
      <c r="A35" s="44"/>
      <c r="B35" s="11" t="str">
        <f>CONCATENATE("          ", "5032", " - ", "PURCHASES @ COST-JUICE")</f>
        <v xml:space="preserve">          5032 - PURCHASES @ COST-JUICE</v>
      </c>
      <c r="C35" s="11"/>
      <c r="D35" s="2">
        <v>291</v>
      </c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291</v>
      </c>
      <c r="M35" s="2"/>
      <c r="N35" s="19">
        <f t="shared" si="10"/>
        <v>0</v>
      </c>
      <c r="O35" s="11"/>
      <c r="P35" s="2">
        <v>291</v>
      </c>
      <c r="Q35" s="2"/>
      <c r="R35" s="19">
        <f t="shared" si="11"/>
        <v>1.3654330534273779E-2</v>
      </c>
      <c r="S35" s="2"/>
      <c r="T35" s="2"/>
      <c r="U35" s="2"/>
      <c r="V35" s="19">
        <f t="shared" si="12"/>
        <v>0</v>
      </c>
      <c r="W35" s="2"/>
      <c r="X35" s="2">
        <f t="shared" si="13"/>
        <v>291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"5033", " - ", "PURCHASES @ COST-CANDY")</f>
        <v xml:space="preserve">          5033 - PURCHASES @ COST-CANDY</v>
      </c>
      <c r="C36" s="11"/>
      <c r="D36" s="2">
        <v>1266</v>
      </c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1266</v>
      </c>
      <c r="M36" s="2"/>
      <c r="N36" s="19">
        <f t="shared" si="10"/>
        <v>0</v>
      </c>
      <c r="O36" s="11"/>
      <c r="P36" s="2">
        <v>1266</v>
      </c>
      <c r="Q36" s="2"/>
      <c r="R36" s="19">
        <f t="shared" si="11"/>
        <v>5.9403376138799327E-2</v>
      </c>
      <c r="S36" s="2"/>
      <c r="T36" s="2"/>
      <c r="U36" s="2"/>
      <c r="V36" s="19">
        <f t="shared" si="12"/>
        <v>0</v>
      </c>
      <c r="W36" s="2"/>
      <c r="X36" s="2">
        <f t="shared" si="13"/>
        <v>1266</v>
      </c>
      <c r="Y36" s="2"/>
      <c r="Z36" s="19">
        <f t="shared" si="14"/>
        <v>0</v>
      </c>
    </row>
    <row r="37" spans="1:26" s="24" customFormat="1" hidden="1" outlineLevel="1" x14ac:dyDescent="0.25">
      <c r="A37" s="44"/>
      <c r="B37" s="11" t="str">
        <f>CONCATENATE("          ", "5034", " - ", "PURCHASES @ COST-SODA")</f>
        <v xml:space="preserve">          5034 - PURCHASES @ COST-SODA</v>
      </c>
      <c r="C37" s="11"/>
      <c r="D37" s="2">
        <v>567</v>
      </c>
      <c r="E37" s="2"/>
      <c r="F37" s="19">
        <f t="shared" si="7"/>
        <v>0</v>
      </c>
      <c r="G37" s="2"/>
      <c r="H37" s="2"/>
      <c r="I37" s="2"/>
      <c r="J37" s="19">
        <f t="shared" si="8"/>
        <v>0</v>
      </c>
      <c r="K37" s="2"/>
      <c r="L37" s="2">
        <f t="shared" si="9"/>
        <v>567</v>
      </c>
      <c r="M37" s="2"/>
      <c r="N37" s="19">
        <f t="shared" si="10"/>
        <v>0</v>
      </c>
      <c r="O37" s="11"/>
      <c r="P37" s="2">
        <v>567</v>
      </c>
      <c r="Q37" s="2"/>
      <c r="R37" s="19">
        <f t="shared" si="11"/>
        <v>2.6604829597708702E-2</v>
      </c>
      <c r="S37" s="2"/>
      <c r="T37" s="2"/>
      <c r="U37" s="2"/>
      <c r="V37" s="19">
        <f t="shared" si="12"/>
        <v>0</v>
      </c>
      <c r="W37" s="2"/>
      <c r="X37" s="2">
        <f t="shared" si="13"/>
        <v>567</v>
      </c>
      <c r="Y37" s="2"/>
      <c r="Z37" s="19">
        <f t="shared" si="14"/>
        <v>0</v>
      </c>
    </row>
    <row r="38" spans="1:26" s="24" customFormat="1" hidden="1" outlineLevel="1" x14ac:dyDescent="0.25">
      <c r="A38" s="44"/>
      <c r="B38" s="11" t="str">
        <f>CONCATENATE("          ", "5035", " - ", "PURCHASES @ COST-HEALTH &amp; BEAU")</f>
        <v xml:space="preserve">          5035 - PURCHASES @ COST-HEALTH &amp; BEAU</v>
      </c>
      <c r="C38" s="11"/>
      <c r="D38" s="2">
        <v>339</v>
      </c>
      <c r="E38" s="2"/>
      <c r="F38" s="19">
        <f t="shared" si="7"/>
        <v>0</v>
      </c>
      <c r="G38" s="2"/>
      <c r="H38" s="2"/>
      <c r="I38" s="2"/>
      <c r="J38" s="19">
        <f t="shared" si="8"/>
        <v>0</v>
      </c>
      <c r="K38" s="2"/>
      <c r="L38" s="2">
        <f t="shared" si="9"/>
        <v>339</v>
      </c>
      <c r="M38" s="2"/>
      <c r="N38" s="19">
        <f t="shared" si="10"/>
        <v>0</v>
      </c>
      <c r="O38" s="11"/>
      <c r="P38" s="2">
        <v>339</v>
      </c>
      <c r="Q38" s="2"/>
      <c r="R38" s="19">
        <f t="shared" si="11"/>
        <v>1.5906591240958112E-2</v>
      </c>
      <c r="S38" s="2"/>
      <c r="T38" s="2"/>
      <c r="U38" s="2"/>
      <c r="V38" s="19">
        <f t="shared" si="12"/>
        <v>0</v>
      </c>
      <c r="W38" s="2"/>
      <c r="X38" s="2">
        <f t="shared" si="13"/>
        <v>339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"5037", " - ", "PURCHASES @ COST-WATER")</f>
        <v xml:space="preserve">          5037 - PURCHASES @ COST-WATER</v>
      </c>
      <c r="C39" s="11"/>
      <c r="D39" s="2">
        <v>179.95</v>
      </c>
      <c r="E39" s="2"/>
      <c r="F39" s="19">
        <f t="shared" si="7"/>
        <v>0</v>
      </c>
      <c r="G39" s="2"/>
      <c r="H39" s="2"/>
      <c r="I39" s="2"/>
      <c r="J39" s="19">
        <f t="shared" si="8"/>
        <v>0</v>
      </c>
      <c r="K39" s="2"/>
      <c r="L39" s="2">
        <f t="shared" si="9"/>
        <v>179.95</v>
      </c>
      <c r="M39" s="2"/>
      <c r="N39" s="19">
        <f t="shared" si="10"/>
        <v>0</v>
      </c>
      <c r="O39" s="11"/>
      <c r="P39" s="2">
        <v>179.95</v>
      </c>
      <c r="Q39" s="2"/>
      <c r="R39" s="19">
        <f t="shared" si="11"/>
        <v>8.4436315451634578E-3</v>
      </c>
      <c r="S39" s="2"/>
      <c r="T39" s="2"/>
      <c r="U39" s="2"/>
      <c r="V39" s="19">
        <f t="shared" si="12"/>
        <v>0</v>
      </c>
      <c r="W39" s="2"/>
      <c r="X39" s="2">
        <f t="shared" si="13"/>
        <v>179.95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-6</v>
      </c>
      <c r="E40" s="2"/>
      <c r="F40" s="19">
        <f t="shared" si="7"/>
        <v>0</v>
      </c>
      <c r="G40" s="2"/>
      <c r="H40" s="2"/>
      <c r="I40" s="2"/>
      <c r="J40" s="19">
        <f t="shared" si="8"/>
        <v>0</v>
      </c>
      <c r="K40" s="2"/>
      <c r="L40" s="2">
        <f t="shared" si="9"/>
        <v>-6</v>
      </c>
      <c r="M40" s="2"/>
      <c r="N40" s="19">
        <f t="shared" si="10"/>
        <v>0</v>
      </c>
      <c r="O40" s="11"/>
      <c r="P40" s="2">
        <v>-6</v>
      </c>
      <c r="Q40" s="2"/>
      <c r="R40" s="19">
        <f t="shared" si="11"/>
        <v>-2.8153258833554183E-4</v>
      </c>
      <c r="S40" s="2"/>
      <c r="T40" s="2"/>
      <c r="U40" s="2"/>
      <c r="V40" s="19">
        <f t="shared" si="12"/>
        <v>0</v>
      </c>
      <c r="W40" s="2"/>
      <c r="X40" s="2">
        <f t="shared" si="13"/>
        <v>-6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"5081", " - ", "PURCHASES @ COST-ELECTRONICS")</f>
        <v xml:space="preserve">          5081 - PURCHASES @ COST-ELECTRONICS</v>
      </c>
      <c r="C41" s="11"/>
      <c r="D41" s="2">
        <v>227</v>
      </c>
      <c r="E41" s="2"/>
      <c r="F41" s="19">
        <f t="shared" si="7"/>
        <v>0</v>
      </c>
      <c r="G41" s="2"/>
      <c r="H41" s="2"/>
      <c r="I41" s="2"/>
      <c r="J41" s="19">
        <f t="shared" si="8"/>
        <v>0</v>
      </c>
      <c r="K41" s="2"/>
      <c r="L41" s="2">
        <f t="shared" si="9"/>
        <v>227</v>
      </c>
      <c r="M41" s="2"/>
      <c r="N41" s="19">
        <f t="shared" si="10"/>
        <v>0</v>
      </c>
      <c r="O41" s="11"/>
      <c r="P41" s="2">
        <v>227</v>
      </c>
      <c r="Q41" s="2"/>
      <c r="R41" s="19">
        <f t="shared" si="11"/>
        <v>1.0651316258694666E-2</v>
      </c>
      <c r="S41" s="2"/>
      <c r="T41" s="2"/>
      <c r="U41" s="2"/>
      <c r="V41" s="19">
        <f t="shared" si="12"/>
        <v>0</v>
      </c>
      <c r="W41" s="2"/>
      <c r="X41" s="2">
        <f t="shared" si="13"/>
        <v>227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"5082", " - ", "PURCHASES @ COST-COMPUTER HARD")</f>
        <v xml:space="preserve">          5082 - PURCHASES @ COST-COMPUTER HARD</v>
      </c>
      <c r="C42" s="11"/>
      <c r="D42" s="2">
        <v>972</v>
      </c>
      <c r="E42" s="2"/>
      <c r="F42" s="19">
        <f t="shared" si="7"/>
        <v>0</v>
      </c>
      <c r="G42" s="2"/>
      <c r="H42" s="2"/>
      <c r="I42" s="2"/>
      <c r="J42" s="19">
        <f t="shared" si="8"/>
        <v>0</v>
      </c>
      <c r="K42" s="2"/>
      <c r="L42" s="2">
        <f t="shared" si="9"/>
        <v>972</v>
      </c>
      <c r="M42" s="2"/>
      <c r="N42" s="19">
        <f t="shared" si="10"/>
        <v>0</v>
      </c>
      <c r="O42" s="11"/>
      <c r="P42" s="2">
        <v>972</v>
      </c>
      <c r="Q42" s="2"/>
      <c r="R42" s="19">
        <f t="shared" si="11"/>
        <v>4.5608279310357776E-2</v>
      </c>
      <c r="S42" s="2"/>
      <c r="T42" s="2"/>
      <c r="U42" s="2"/>
      <c r="V42" s="19">
        <f t="shared" si="12"/>
        <v>0</v>
      </c>
      <c r="W42" s="2"/>
      <c r="X42" s="2">
        <f t="shared" si="13"/>
        <v>972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"5083", " - ", "PURCHASES @ COST-COMPUTER EQUI")</f>
        <v xml:space="preserve">          5083 - PURCHASES @ COST-COMPUTER EQUI</v>
      </c>
      <c r="C43" s="11"/>
      <c r="D43" s="2">
        <v>170</v>
      </c>
      <c r="E43" s="2"/>
      <c r="F43" s="19">
        <f t="shared" si="7"/>
        <v>0</v>
      </c>
      <c r="G43" s="2"/>
      <c r="H43" s="2"/>
      <c r="I43" s="2"/>
      <c r="J43" s="19">
        <f t="shared" si="8"/>
        <v>0</v>
      </c>
      <c r="K43" s="2"/>
      <c r="L43" s="2">
        <f t="shared" si="9"/>
        <v>170</v>
      </c>
      <c r="M43" s="2"/>
      <c r="N43" s="19">
        <f t="shared" si="10"/>
        <v>0</v>
      </c>
      <c r="O43" s="11"/>
      <c r="P43" s="2">
        <v>170</v>
      </c>
      <c r="Q43" s="2"/>
      <c r="R43" s="19">
        <f t="shared" si="11"/>
        <v>7.976756669507019E-3</v>
      </c>
      <c r="S43" s="2"/>
      <c r="T43" s="2"/>
      <c r="U43" s="2"/>
      <c r="V43" s="19">
        <f t="shared" si="12"/>
        <v>0</v>
      </c>
      <c r="W43" s="2"/>
      <c r="X43" s="2">
        <f t="shared" si="13"/>
        <v>170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143</v>
      </c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143</v>
      </c>
      <c r="M44" s="2"/>
      <c r="N44" s="19">
        <f t="shared" si="10"/>
        <v>0</v>
      </c>
      <c r="O44" s="11"/>
      <c r="P44" s="2">
        <v>143</v>
      </c>
      <c r="Q44" s="2"/>
      <c r="R44" s="19">
        <f t="shared" si="11"/>
        <v>6.7098600219970802E-3</v>
      </c>
      <c r="S44" s="2"/>
      <c r="T44" s="2"/>
      <c r="U44" s="2"/>
      <c r="V44" s="19">
        <f t="shared" si="12"/>
        <v>0</v>
      </c>
      <c r="W44" s="2"/>
      <c r="X44" s="2">
        <f t="shared" si="13"/>
        <v>143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"5200", " - ", "PURCHASES OFFSET")</f>
        <v xml:space="preserve">          5200 - PURCHASES OFFSET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-45863.33</v>
      </c>
      <c r="Q45" s="2"/>
      <c r="R45" s="19">
        <f t="shared" si="11"/>
        <v>-2.1520036674311842</v>
      </c>
      <c r="S45" s="2"/>
      <c r="T45" s="2"/>
      <c r="U45" s="2"/>
      <c r="V45" s="19">
        <f t="shared" si="12"/>
        <v>0</v>
      </c>
      <c r="W45" s="2"/>
      <c r="X45" s="2">
        <f t="shared" si="13"/>
        <v>-45863.33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"5300", " - ", "COG$ OFFSET")</f>
        <v xml:space="preserve">          5300 - COG$ OFFSET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14145</v>
      </c>
      <c r="Q46" s="2"/>
      <c r="R46" s="19">
        <f t="shared" si="11"/>
        <v>0.66371307700103988</v>
      </c>
      <c r="S46" s="2"/>
      <c r="T46" s="2"/>
      <c r="U46" s="2"/>
      <c r="V46" s="19">
        <f t="shared" si="12"/>
        <v>0</v>
      </c>
      <c r="W46" s="2"/>
      <c r="X46" s="2">
        <f t="shared" si="13"/>
        <v>14145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"5527", " - ", "FREIGHT-IN-SCHOOL SUPPLIES")</f>
        <v xml:space="preserve">          5527 - FREIGHT-IN-SCHOOL SUPPLIES</v>
      </c>
      <c r="C47" s="11"/>
      <c r="D47" s="2">
        <v>58.29</v>
      </c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58.29</v>
      </c>
      <c r="M47" s="2"/>
      <c r="N47" s="19">
        <f t="shared" si="10"/>
        <v>0</v>
      </c>
      <c r="O47" s="11"/>
      <c r="P47" s="2">
        <v>58.29</v>
      </c>
      <c r="Q47" s="2"/>
      <c r="R47" s="19">
        <f t="shared" si="11"/>
        <v>2.7350890956797888E-3</v>
      </c>
      <c r="S47" s="2"/>
      <c r="T47" s="2"/>
      <c r="U47" s="2"/>
      <c r="V47" s="19">
        <f t="shared" si="12"/>
        <v>0</v>
      </c>
      <c r="W47" s="2"/>
      <c r="X47" s="2">
        <f t="shared" si="13"/>
        <v>58.29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"5528", " - ", "FREIGHT-IN-ART/TECH")</f>
        <v xml:space="preserve">          5528 - FREIGHT-IN-ART/TECH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396.05</v>
      </c>
      <c r="Q48" s="2"/>
      <c r="R48" s="19">
        <f t="shared" si="11"/>
        <v>1.8583496935048557E-2</v>
      </c>
      <c r="S48" s="2"/>
      <c r="T48" s="2"/>
      <c r="U48" s="2"/>
      <c r="V48" s="19">
        <f t="shared" si="12"/>
        <v>0</v>
      </c>
      <c r="W48" s="2"/>
      <c r="X48" s="2">
        <f t="shared" si="13"/>
        <v>396.05</v>
      </c>
      <c r="Y48" s="2"/>
      <c r="Z48" s="19">
        <f t="shared" si="14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108</v>
      </c>
      <c r="C50" s="28"/>
      <c r="D50" s="20">
        <f>D12-D28</f>
        <v>-174968.99000000002</v>
      </c>
      <c r="E50" s="14"/>
      <c r="F50" s="22">
        <f>IF(D$12=0,0,D50/D$12)</f>
        <v>0</v>
      </c>
      <c r="G50" s="14"/>
      <c r="H50" s="20">
        <f>H12-H28</f>
        <v>169</v>
      </c>
      <c r="I50" s="14"/>
      <c r="J50" s="22">
        <f>IF(H$12=0,0,H50/H$12)</f>
        <v>0.20634920634920634</v>
      </c>
      <c r="K50" s="16"/>
      <c r="L50" s="20">
        <f>+D50-H50</f>
        <v>-175137.99000000002</v>
      </c>
      <c r="M50" s="16"/>
      <c r="N50" s="22">
        <f>IF(H50=0,0,L50/H50)</f>
        <v>-1036.3194674556214</v>
      </c>
      <c r="O50" s="29"/>
      <c r="P50" s="20">
        <f>P12-P28</f>
        <v>-167478.58999999997</v>
      </c>
      <c r="Q50" s="14"/>
      <c r="R50" s="22">
        <f>IF(P$12=0,0,P50/P$12)</f>
        <v>-7.8584468222478305</v>
      </c>
      <c r="S50" s="14"/>
      <c r="T50" s="20">
        <f>T12-T28</f>
        <v>79413</v>
      </c>
      <c r="U50" s="14"/>
      <c r="V50" s="22">
        <f>IF(T$12=0,0,T50/T$12)</f>
        <v>0.49157221647921062</v>
      </c>
      <c r="W50" s="16"/>
      <c r="X50" s="20">
        <f>+P50-T50</f>
        <v>-246891.58999999997</v>
      </c>
      <c r="Y50" s="16"/>
      <c r="Z50" s="22">
        <f>IF(T50=0,0,X50/T50)</f>
        <v>-3.1089568458564716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295</v>
      </c>
      <c r="C52" s="10"/>
      <c r="D52" s="21">
        <f>SUM(OSRRefD22x_0)</f>
        <v>114.11</v>
      </c>
      <c r="E52" s="21"/>
      <c r="F52" s="30">
        <f t="shared" ref="F52:F62" si="15">IF(D$12=0,0,D52/D$12)</f>
        <v>0</v>
      </c>
      <c r="G52" s="21"/>
      <c r="H52" s="21">
        <f>SUM(OSRRefH22x_0)</f>
        <v>8065.0878627000002</v>
      </c>
      <c r="I52" s="21"/>
      <c r="J52" s="30">
        <f t="shared" ref="J52:J62" si="16">IF(H$12=0,0,H52/H$12)</f>
        <v>9.8474821278388287</v>
      </c>
      <c r="K52" s="4"/>
      <c r="L52" s="21">
        <f t="shared" ref="L52:L62" si="17">+D52-H52</f>
        <v>-7950.9778627000005</v>
      </c>
      <c r="M52" s="4"/>
      <c r="N52" s="30">
        <f t="shared" ref="N52:N62" si="18">IF(H52=0,0,L52/H52)</f>
        <v>-0.98585136306725885</v>
      </c>
      <c r="O52" s="10"/>
      <c r="P52" s="21">
        <f>SUM(OSRRefP22x_0)</f>
        <v>12867.969999999998</v>
      </c>
      <c r="Q52" s="21"/>
      <c r="R52" s="30">
        <f t="shared" ref="R52:R62" si="19">IF(P$12=0,0,P52/P$12)</f>
        <v>0.60379215012068355</v>
      </c>
      <c r="S52" s="21"/>
      <c r="T52" s="21">
        <f>SUM(OSRRefT22x_0)</f>
        <v>153498.4052867</v>
      </c>
      <c r="U52" s="21"/>
      <c r="V52" s="30">
        <f t="shared" ref="V52:V62" si="20">IF(T$12=0,0,T52/T$12)</f>
        <v>0.9501662361679738</v>
      </c>
      <c r="W52" s="4"/>
      <c r="X52" s="21">
        <f t="shared" ref="X52:X62" si="21">+P52-T52</f>
        <v>-140630.4352867</v>
      </c>
      <c r="Y52" s="4"/>
      <c r="Z52" s="30">
        <f t="shared" ref="Z52:Z62" si="22">IF(T52=0,0,X52/T52)</f>
        <v>-0.91616870562293096</v>
      </c>
    </row>
    <row r="53" spans="1:26" s="27" customFormat="1" outlineLevel="1" collapsed="1" x14ac:dyDescent="0.25">
      <c r="A53" s="25"/>
      <c r="B53" s="13" t="str">
        <f>CONCATENATE("     ","*Benefits                                         ")</f>
        <v xml:space="preserve">     *Benefits                                         </v>
      </c>
      <c r="C53" s="13"/>
      <c r="D53" s="1">
        <f>SUM(OSRRefD22_0x_0)</f>
        <v>0</v>
      </c>
      <c r="E53" s="1"/>
      <c r="F53" s="5">
        <f t="shared" si="15"/>
        <v>0</v>
      </c>
      <c r="G53" s="1"/>
      <c r="H53" s="1">
        <f>SUM(OSRRefH22_0x_0)</f>
        <v>1781.7978627</v>
      </c>
      <c r="I53" s="1"/>
      <c r="J53" s="5">
        <f t="shared" si="16"/>
        <v>2.1755773659340658</v>
      </c>
      <c r="K53" s="1"/>
      <c r="L53" s="1">
        <f t="shared" si="17"/>
        <v>-1781.7978627</v>
      </c>
      <c r="M53" s="1"/>
      <c r="N53" s="5">
        <f t="shared" si="18"/>
        <v>-1</v>
      </c>
      <c r="O53" s="13"/>
      <c r="P53" s="1">
        <f>SUM(OSRRefP22_0x_0)</f>
        <v>778.2</v>
      </c>
      <c r="Q53" s="1"/>
      <c r="R53" s="5">
        <f t="shared" si="19"/>
        <v>3.6514776707119778E-2</v>
      </c>
      <c r="S53" s="1"/>
      <c r="T53" s="1">
        <f>SUM(OSRRefT22_0x_0)</f>
        <v>24460.185286700002</v>
      </c>
      <c r="U53" s="1"/>
      <c r="V53" s="5">
        <f t="shared" si="20"/>
        <v>0.15141031691127771</v>
      </c>
      <c r="W53" s="1"/>
      <c r="X53" s="1">
        <f t="shared" si="21"/>
        <v>-23681.985286700001</v>
      </c>
      <c r="Y53" s="1"/>
      <c r="Z53" s="5">
        <f t="shared" si="22"/>
        <v>-0.96818503249756083</v>
      </c>
    </row>
    <row r="54" spans="1:26" s="24" customFormat="1" hidden="1" outlineLevel="2" x14ac:dyDescent="0.25">
      <c r="A54" s="26"/>
      <c r="B54" s="11" t="str">
        <f>CONCATENATE("          ", "6111", " - ", "F.I.C.A.")</f>
        <v xml:space="preserve">          6111 - F.I.C.A.</v>
      </c>
      <c r="C54" s="11"/>
      <c r="D54" s="6"/>
      <c r="E54" s="2"/>
      <c r="F54" s="7">
        <f t="shared" si="15"/>
        <v>0</v>
      </c>
      <c r="G54" s="2"/>
      <c r="H54" s="6">
        <v>405.24854370000003</v>
      </c>
      <c r="I54" s="2"/>
      <c r="J54" s="7">
        <f t="shared" si="16"/>
        <v>0.49480896666666668</v>
      </c>
      <c r="K54" s="2"/>
      <c r="L54" s="6">
        <f t="shared" si="17"/>
        <v>-405.24854370000003</v>
      </c>
      <c r="M54" s="2"/>
      <c r="N54" s="7">
        <f t="shared" si="18"/>
        <v>-1</v>
      </c>
      <c r="O54" s="11"/>
      <c r="P54" s="6">
        <v>484.61</v>
      </c>
      <c r="Q54" s="2"/>
      <c r="R54" s="7">
        <f t="shared" si="19"/>
        <v>2.2738917938881154E-2</v>
      </c>
      <c r="S54" s="2"/>
      <c r="T54" s="6">
        <v>5500.7460447000003</v>
      </c>
      <c r="U54" s="2"/>
      <c r="V54" s="7">
        <f t="shared" si="20"/>
        <v>3.4050016061380757E-2</v>
      </c>
      <c r="W54" s="2"/>
      <c r="X54" s="6">
        <f t="shared" si="21"/>
        <v>-5016.1360447000006</v>
      </c>
      <c r="Y54" s="2"/>
      <c r="Z54" s="7">
        <f t="shared" si="22"/>
        <v>-0.91190104104752767</v>
      </c>
    </row>
    <row r="55" spans="1:26" s="24" customFormat="1" hidden="1" outlineLevel="2" x14ac:dyDescent="0.25">
      <c r="A55" s="26"/>
      <c r="B55" s="11" t="str">
        <f>CONCATENATE("          ", "6112", " - ", "COMPENSATION INSURANCE")</f>
        <v xml:space="preserve">          6112 - COMPENSATION INSURANCE</v>
      </c>
      <c r="C55" s="11"/>
      <c r="D55" s="6"/>
      <c r="E55" s="2"/>
      <c r="F55" s="7">
        <f t="shared" si="15"/>
        <v>0</v>
      </c>
      <c r="G55" s="2"/>
      <c r="H55" s="6">
        <v>97.962864999999994</v>
      </c>
      <c r="I55" s="2"/>
      <c r="J55" s="7">
        <f t="shared" si="16"/>
        <v>0.11961277777777778</v>
      </c>
      <c r="K55" s="2"/>
      <c r="L55" s="6">
        <f t="shared" si="17"/>
        <v>-97.962864999999994</v>
      </c>
      <c r="M55" s="2"/>
      <c r="N55" s="7">
        <f t="shared" si="18"/>
        <v>-1</v>
      </c>
      <c r="O55" s="11"/>
      <c r="P55" s="6">
        <v>255.57</v>
      </c>
      <c r="Q55" s="2"/>
      <c r="R55" s="7">
        <f t="shared" si="19"/>
        <v>1.1991880600152403E-2</v>
      </c>
      <c r="S55" s="2"/>
      <c r="T55" s="6">
        <v>1899.5840700000001</v>
      </c>
      <c r="U55" s="2"/>
      <c r="V55" s="7">
        <f t="shared" si="20"/>
        <v>1.1758562850899728E-2</v>
      </c>
      <c r="W55" s="2"/>
      <c r="X55" s="6">
        <f t="shared" si="21"/>
        <v>-1644.0140700000002</v>
      </c>
      <c r="Y55" s="2"/>
      <c r="Z55" s="7">
        <f t="shared" si="22"/>
        <v>-0.86546002146669931</v>
      </c>
    </row>
    <row r="56" spans="1:26" s="24" customFormat="1" hidden="1" outlineLevel="2" x14ac:dyDescent="0.25">
      <c r="A56" s="26"/>
      <c r="B56" s="11" t="str">
        <f>CONCATENATE("          ", "6113", " - ", "GROUP INSURANCE")</f>
        <v xml:space="preserve">          6113 - GROUP INSURANCE</v>
      </c>
      <c r="C56" s="11"/>
      <c r="D56" s="6"/>
      <c r="E56" s="2"/>
      <c r="F56" s="7">
        <f t="shared" si="15"/>
        <v>0</v>
      </c>
      <c r="G56" s="2"/>
      <c r="H56" s="6">
        <v>665</v>
      </c>
      <c r="I56" s="2"/>
      <c r="J56" s="7">
        <f t="shared" si="16"/>
        <v>0.81196581196581197</v>
      </c>
      <c r="K56" s="2"/>
      <c r="L56" s="6">
        <f t="shared" si="17"/>
        <v>-665</v>
      </c>
      <c r="M56" s="2"/>
      <c r="N56" s="7">
        <f t="shared" si="18"/>
        <v>-1</v>
      </c>
      <c r="O56" s="11"/>
      <c r="P56" s="6">
        <v>0</v>
      </c>
      <c r="Q56" s="2"/>
      <c r="R56" s="7">
        <f t="shared" si="19"/>
        <v>0</v>
      </c>
      <c r="S56" s="2"/>
      <c r="T56" s="6">
        <v>7980</v>
      </c>
      <c r="U56" s="2"/>
      <c r="V56" s="7">
        <f t="shared" si="20"/>
        <v>4.939677744832837E-2</v>
      </c>
      <c r="W56" s="2"/>
      <c r="X56" s="6">
        <f t="shared" si="21"/>
        <v>-7980</v>
      </c>
      <c r="Y56" s="2"/>
      <c r="Z56" s="7">
        <f t="shared" si="22"/>
        <v>-1</v>
      </c>
    </row>
    <row r="57" spans="1:26" s="24" customFormat="1" hidden="1" outlineLevel="2" x14ac:dyDescent="0.25">
      <c r="A57" s="26"/>
      <c r="B57" s="11" t="str">
        <f>CONCATENATE("          ", "6114", " - ", "STATE UNEMPLOYMENT INSURANCE")</f>
        <v xml:space="preserve">          6114 - STATE UNEMPLOYMENT INSURANCE</v>
      </c>
      <c r="C57" s="11"/>
      <c r="D57" s="6"/>
      <c r="E57" s="2"/>
      <c r="F57" s="7">
        <f t="shared" si="15"/>
        <v>0</v>
      </c>
      <c r="G57" s="2"/>
      <c r="H57" s="6">
        <v>13.767754</v>
      </c>
      <c r="I57" s="2"/>
      <c r="J57" s="7">
        <f t="shared" si="16"/>
        <v>1.6810444444444444E-2</v>
      </c>
      <c r="K57" s="2"/>
      <c r="L57" s="6">
        <f t="shared" si="17"/>
        <v>-13.767754</v>
      </c>
      <c r="M57" s="2"/>
      <c r="N57" s="7">
        <f t="shared" si="18"/>
        <v>-1</v>
      </c>
      <c r="O57" s="11"/>
      <c r="P57" s="6">
        <v>38.020000000000003</v>
      </c>
      <c r="Q57" s="2"/>
      <c r="R57" s="7">
        <f t="shared" si="19"/>
        <v>1.7839781680862169E-3</v>
      </c>
      <c r="S57" s="2"/>
      <c r="T57" s="6">
        <v>266.96857199999999</v>
      </c>
      <c r="U57" s="2"/>
      <c r="V57" s="7">
        <f t="shared" si="20"/>
        <v>1.6525547790453669E-3</v>
      </c>
      <c r="W57" s="2"/>
      <c r="X57" s="6">
        <f t="shared" si="21"/>
        <v>-228.94857199999998</v>
      </c>
      <c r="Y57" s="2"/>
      <c r="Z57" s="7">
        <f t="shared" si="22"/>
        <v>-0.85758623303420145</v>
      </c>
    </row>
    <row r="58" spans="1:26" s="24" customFormat="1" hidden="1" outlineLevel="2" x14ac:dyDescent="0.25">
      <c r="A58" s="26"/>
      <c r="B58" s="11" t="str">
        <f>CONCATENATE("          ", "6115", " - ", "P.E.R.S.")</f>
        <v xml:space="preserve">          6115 - P.E.R.S.</v>
      </c>
      <c r="C58" s="11"/>
      <c r="D58" s="6"/>
      <c r="E58" s="2"/>
      <c r="F58" s="7">
        <f t="shared" si="15"/>
        <v>0</v>
      </c>
      <c r="G58" s="2"/>
      <c r="H58" s="6">
        <v>357.76</v>
      </c>
      <c r="I58" s="2"/>
      <c r="J58" s="7">
        <f t="shared" si="16"/>
        <v>0.43682539682539684</v>
      </c>
      <c r="K58" s="2"/>
      <c r="L58" s="6">
        <f t="shared" si="17"/>
        <v>-357.76</v>
      </c>
      <c r="M58" s="2"/>
      <c r="N58" s="7">
        <f t="shared" si="18"/>
        <v>-1</v>
      </c>
      <c r="O58" s="11"/>
      <c r="P58" s="6"/>
      <c r="Q58" s="2"/>
      <c r="R58" s="7">
        <f t="shared" si="19"/>
        <v>0</v>
      </c>
      <c r="S58" s="2"/>
      <c r="T58" s="6">
        <v>4650.88</v>
      </c>
      <c r="U58" s="2"/>
      <c r="V58" s="7">
        <f t="shared" si="20"/>
        <v>2.8789283746726999E-2</v>
      </c>
      <c r="W58" s="2"/>
      <c r="X58" s="6">
        <f t="shared" si="21"/>
        <v>-4650.88</v>
      </c>
      <c r="Y58" s="2"/>
      <c r="Z58" s="7">
        <f t="shared" si="22"/>
        <v>-1</v>
      </c>
    </row>
    <row r="59" spans="1:26" s="24" customFormat="1" hidden="1" outlineLevel="2" x14ac:dyDescent="0.25">
      <c r="A59" s="26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5"/>
        <v>0</v>
      </c>
      <c r="G59" s="2"/>
      <c r="H59" s="6">
        <v>0</v>
      </c>
      <c r="I59" s="2"/>
      <c r="J59" s="7">
        <f t="shared" si="16"/>
        <v>0</v>
      </c>
      <c r="K59" s="2"/>
      <c r="L59" s="6">
        <f t="shared" si="17"/>
        <v>0</v>
      </c>
      <c r="M59" s="2"/>
      <c r="N59" s="7">
        <f t="shared" si="18"/>
        <v>0</v>
      </c>
      <c r="O59" s="11"/>
      <c r="P59" s="6"/>
      <c r="Q59" s="2"/>
      <c r="R59" s="7">
        <f t="shared" si="19"/>
        <v>0</v>
      </c>
      <c r="S59" s="2"/>
      <c r="T59" s="6">
        <v>0</v>
      </c>
      <c r="U59" s="2"/>
      <c r="V59" s="7">
        <f t="shared" si="20"/>
        <v>0</v>
      </c>
      <c r="W59" s="2"/>
      <c r="X59" s="6">
        <f t="shared" si="21"/>
        <v>0</v>
      </c>
      <c r="Y59" s="2"/>
      <c r="Z59" s="7">
        <f t="shared" si="22"/>
        <v>0</v>
      </c>
    </row>
    <row r="60" spans="1:26" s="24" customFormat="1" hidden="1" outlineLevel="2" x14ac:dyDescent="0.25">
      <c r="A60" s="26"/>
      <c r="B60" s="11" t="str">
        <f>CONCATENATE("          ", "6117", " - ", "RETIREMENT STAFF HOURLY")</f>
        <v xml:space="preserve">          6117 - RETIREMENT STAFF HOURLY</v>
      </c>
      <c r="C60" s="11"/>
      <c r="D60" s="6"/>
      <c r="E60" s="2"/>
      <c r="F60" s="7">
        <f t="shared" si="15"/>
        <v>0</v>
      </c>
      <c r="G60" s="2"/>
      <c r="H60" s="6"/>
      <c r="I60" s="2"/>
      <c r="J60" s="7">
        <f t="shared" si="16"/>
        <v>0</v>
      </c>
      <c r="K60" s="2"/>
      <c r="L60" s="6">
        <f t="shared" si="17"/>
        <v>0</v>
      </c>
      <c r="M60" s="2"/>
      <c r="N60" s="7">
        <f t="shared" si="18"/>
        <v>0</v>
      </c>
      <c r="O60" s="11"/>
      <c r="P60" s="6">
        <v>0</v>
      </c>
      <c r="Q60" s="2"/>
      <c r="R60" s="7">
        <f t="shared" si="19"/>
        <v>0</v>
      </c>
      <c r="S60" s="2"/>
      <c r="T60" s="6"/>
      <c r="U60" s="2"/>
      <c r="V60" s="7">
        <f t="shared" si="20"/>
        <v>0</v>
      </c>
      <c r="W60" s="2"/>
      <c r="X60" s="6">
        <f t="shared" si="21"/>
        <v>0</v>
      </c>
      <c r="Y60" s="2"/>
      <c r="Z60" s="7">
        <f t="shared" si="22"/>
        <v>0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/>
      <c r="E61" s="2"/>
      <c r="F61" s="7">
        <f t="shared" si="15"/>
        <v>0</v>
      </c>
      <c r="G61" s="2"/>
      <c r="H61" s="6">
        <v>124.8</v>
      </c>
      <c r="I61" s="2"/>
      <c r="J61" s="7">
        <f t="shared" si="16"/>
        <v>0.15238095238095237</v>
      </c>
      <c r="K61" s="2"/>
      <c r="L61" s="6">
        <f t="shared" si="17"/>
        <v>-124.8</v>
      </c>
      <c r="M61" s="2"/>
      <c r="N61" s="7">
        <f t="shared" si="18"/>
        <v>-1</v>
      </c>
      <c r="O61" s="11"/>
      <c r="P61" s="6"/>
      <c r="Q61" s="2"/>
      <c r="R61" s="7">
        <f t="shared" si="19"/>
        <v>0</v>
      </c>
      <c r="S61" s="2"/>
      <c r="T61" s="6">
        <v>1622.4</v>
      </c>
      <c r="U61" s="2"/>
      <c r="V61" s="7">
        <f t="shared" si="20"/>
        <v>1.0042773400021047E-2</v>
      </c>
      <c r="W61" s="2"/>
      <c r="X61" s="6">
        <f t="shared" si="21"/>
        <v>-1622.4</v>
      </c>
      <c r="Y61" s="2"/>
      <c r="Z61" s="7">
        <f t="shared" si="22"/>
        <v>-1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/>
      <c r="E62" s="2"/>
      <c r="F62" s="7">
        <f t="shared" si="15"/>
        <v>0</v>
      </c>
      <c r="G62" s="2"/>
      <c r="H62" s="6">
        <v>117.2587</v>
      </c>
      <c r="I62" s="2"/>
      <c r="J62" s="7">
        <f t="shared" si="16"/>
        <v>0.14317301587301587</v>
      </c>
      <c r="K62" s="2"/>
      <c r="L62" s="6">
        <f t="shared" si="17"/>
        <v>-117.2587</v>
      </c>
      <c r="M62" s="2"/>
      <c r="N62" s="7">
        <f t="shared" si="18"/>
        <v>-1</v>
      </c>
      <c r="O62" s="11"/>
      <c r="P62" s="6"/>
      <c r="Q62" s="2"/>
      <c r="R62" s="7">
        <f t="shared" si="19"/>
        <v>0</v>
      </c>
      <c r="S62" s="2"/>
      <c r="T62" s="6">
        <v>2539.6066000000001</v>
      </c>
      <c r="U62" s="2"/>
      <c r="V62" s="7">
        <f t="shared" si="20"/>
        <v>1.5720348624875424E-2</v>
      </c>
      <c r="W62" s="2"/>
      <c r="X62" s="6">
        <f t="shared" si="21"/>
        <v>-2539.6066000000001</v>
      </c>
      <c r="Y62" s="2"/>
      <c r="Z62" s="7">
        <f t="shared" si="22"/>
        <v>-1</v>
      </c>
    </row>
    <row r="63" spans="1:26" s="27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0</v>
      </c>
      <c r="E63" s="1"/>
      <c r="F63" s="5">
        <f t="shared" ref="F63:F73" si="23">IF(D$12=0,0,D63/D$12)</f>
        <v>0</v>
      </c>
      <c r="G63" s="1"/>
      <c r="H63" s="1">
        <f>SUM(OSRRefH22_1x_0)</f>
        <v>5087.29</v>
      </c>
      <c r="I63" s="1"/>
      <c r="J63" s="5">
        <f t="shared" ref="J63:J73" si="24">IF(H$12=0,0,H63/H$12)</f>
        <v>6.2115873015873015</v>
      </c>
      <c r="K63" s="1"/>
      <c r="L63" s="1">
        <f t="shared" ref="L63:L73" si="25">+D63-H63</f>
        <v>-5087.29</v>
      </c>
      <c r="M63" s="1"/>
      <c r="N63" s="5">
        <f t="shared" ref="N63:N73" si="26">IF(H63=0,0,L63/H63)</f>
        <v>-1</v>
      </c>
      <c r="O63" s="13"/>
      <c r="P63" s="1">
        <f>SUM(OSRRefP22_1x_0)</f>
        <v>8152.5399999999991</v>
      </c>
      <c r="Q63" s="1"/>
      <c r="R63" s="5">
        <f t="shared" ref="R63:R73" si="27">IF(P$12=0,0,P63/P$12)</f>
        <v>0.38253428128483963</v>
      </c>
      <c r="S63" s="1"/>
      <c r="T63" s="1">
        <f>SUM(OSRRefT22_1x_0)</f>
        <v>99976.219999999987</v>
      </c>
      <c r="U63" s="1"/>
      <c r="V63" s="5">
        <f t="shared" ref="V63:V73" si="28">IF(T$12=0,0,T63/T$12)</f>
        <v>0.61886003627382391</v>
      </c>
      <c r="W63" s="1"/>
      <c r="X63" s="1">
        <f t="shared" ref="X63:X73" si="29">+P63-T63</f>
        <v>-91823.679999999993</v>
      </c>
      <c r="Y63" s="1"/>
      <c r="Z63" s="5">
        <f t="shared" ref="Z63:Z73" si="30">IF(T63=0,0,X63/T63)</f>
        <v>-0.91845520864861674</v>
      </c>
    </row>
    <row r="64" spans="1:26" s="24" customFormat="1" hidden="1" outlineLevel="2" x14ac:dyDescent="0.25">
      <c r="A64" s="26"/>
      <c r="B64" s="11" t="str">
        <f>CONCATENATE("          ", "6001", " - ", "ADMINISTRATIVE SALARIES")</f>
        <v xml:space="preserve">          6001 - ADMINISTRATIVE SALARIES</v>
      </c>
      <c r="C64" s="11"/>
      <c r="D64" s="6"/>
      <c r="E64" s="2"/>
      <c r="F64" s="7">
        <f t="shared" si="23"/>
        <v>0</v>
      </c>
      <c r="G64" s="2"/>
      <c r="H64" s="6">
        <v>3952</v>
      </c>
      <c r="I64" s="2"/>
      <c r="J64" s="7">
        <f t="shared" si="24"/>
        <v>4.8253968253968251</v>
      </c>
      <c r="K64" s="2"/>
      <c r="L64" s="6">
        <f t="shared" si="25"/>
        <v>-3952</v>
      </c>
      <c r="M64" s="2"/>
      <c r="N64" s="7">
        <f t="shared" si="26"/>
        <v>-1</v>
      </c>
      <c r="O64" s="11"/>
      <c r="P64" s="6"/>
      <c r="Q64" s="2"/>
      <c r="R64" s="7">
        <f t="shared" si="27"/>
        <v>0</v>
      </c>
      <c r="S64" s="2"/>
      <c r="T64" s="6">
        <v>51376</v>
      </c>
      <c r="U64" s="2"/>
      <c r="V64" s="7">
        <f t="shared" si="28"/>
        <v>0.31802115766733313</v>
      </c>
      <c r="W64" s="2"/>
      <c r="X64" s="6">
        <f t="shared" si="29"/>
        <v>-51376</v>
      </c>
      <c r="Y64" s="2"/>
      <c r="Z64" s="7">
        <f t="shared" si="30"/>
        <v>-1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6"/>
      <c r="E65" s="2"/>
      <c r="F65" s="7">
        <f t="shared" si="23"/>
        <v>0</v>
      </c>
      <c r="G65" s="2"/>
      <c r="H65" s="6">
        <v>0</v>
      </c>
      <c r="I65" s="2"/>
      <c r="J65" s="7">
        <f t="shared" si="24"/>
        <v>0</v>
      </c>
      <c r="K65" s="2"/>
      <c r="L65" s="6">
        <f t="shared" si="25"/>
        <v>0</v>
      </c>
      <c r="M65" s="2"/>
      <c r="N65" s="7">
        <f t="shared" si="26"/>
        <v>0</v>
      </c>
      <c r="O65" s="11"/>
      <c r="P65" s="6"/>
      <c r="Q65" s="2"/>
      <c r="R65" s="7">
        <f t="shared" si="27"/>
        <v>0</v>
      </c>
      <c r="S65" s="2"/>
      <c r="T65" s="6">
        <v>0</v>
      </c>
      <c r="U65" s="2"/>
      <c r="V65" s="7">
        <f t="shared" si="28"/>
        <v>0</v>
      </c>
      <c r="W65" s="2"/>
      <c r="X65" s="6">
        <f t="shared" si="29"/>
        <v>0</v>
      </c>
      <c r="Y65" s="2"/>
      <c r="Z65" s="7">
        <f t="shared" si="30"/>
        <v>0</v>
      </c>
    </row>
    <row r="66" spans="1:26" s="24" customFormat="1" hidden="1" outlineLevel="2" x14ac:dyDescent="0.25">
      <c r="A66" s="26"/>
      <c r="B66" s="11" t="str">
        <f>CONCATENATE("          ", "6003", " - ", "STAFF HOURLY-9 MONTH")</f>
        <v xml:space="preserve">          6003 - STAFF HOURLY-9 MONTH</v>
      </c>
      <c r="C66" s="11"/>
      <c r="D66" s="6"/>
      <c r="E66" s="2"/>
      <c r="F66" s="7">
        <f t="shared" si="23"/>
        <v>0</v>
      </c>
      <c r="G66" s="2"/>
      <c r="H66" s="6">
        <v>0</v>
      </c>
      <c r="I66" s="2"/>
      <c r="J66" s="7">
        <f t="shared" si="24"/>
        <v>0</v>
      </c>
      <c r="K66" s="2"/>
      <c r="L66" s="6">
        <f t="shared" si="25"/>
        <v>0</v>
      </c>
      <c r="M66" s="2"/>
      <c r="N66" s="7">
        <f t="shared" si="26"/>
        <v>0</v>
      </c>
      <c r="O66" s="11"/>
      <c r="P66" s="6"/>
      <c r="Q66" s="2"/>
      <c r="R66" s="7">
        <f t="shared" si="27"/>
        <v>0</v>
      </c>
      <c r="S66" s="2"/>
      <c r="T66" s="6">
        <v>0</v>
      </c>
      <c r="U66" s="2"/>
      <c r="V66" s="7">
        <f t="shared" si="28"/>
        <v>0</v>
      </c>
      <c r="W66" s="2"/>
      <c r="X66" s="6">
        <f t="shared" si="29"/>
        <v>0</v>
      </c>
      <c r="Y66" s="2"/>
      <c r="Z66" s="7">
        <f t="shared" si="30"/>
        <v>0</v>
      </c>
    </row>
    <row r="67" spans="1:26" s="24" customFormat="1" hidden="1" outlineLevel="2" x14ac:dyDescent="0.25">
      <c r="A67" s="26"/>
      <c r="B67" s="11" t="str">
        <f>CONCATENATE("          ", "6004", " - ", "STAFF HOURLY")</f>
        <v xml:space="preserve">          6004 - STAFF HOURLY</v>
      </c>
      <c r="C67" s="11"/>
      <c r="D67" s="6"/>
      <c r="E67" s="2"/>
      <c r="F67" s="7">
        <f t="shared" si="23"/>
        <v>0</v>
      </c>
      <c r="G67" s="2"/>
      <c r="H67" s="6">
        <v>596.70000000000005</v>
      </c>
      <c r="I67" s="2"/>
      <c r="J67" s="7">
        <f t="shared" si="24"/>
        <v>0.72857142857142865</v>
      </c>
      <c r="K67" s="2"/>
      <c r="L67" s="6">
        <f t="shared" si="25"/>
        <v>-596.70000000000005</v>
      </c>
      <c r="M67" s="2"/>
      <c r="N67" s="7">
        <f t="shared" si="26"/>
        <v>-1</v>
      </c>
      <c r="O67" s="11"/>
      <c r="P67" s="6"/>
      <c r="Q67" s="2"/>
      <c r="R67" s="7">
        <f t="shared" si="27"/>
        <v>0</v>
      </c>
      <c r="S67" s="2"/>
      <c r="T67" s="6">
        <v>17258.400000000001</v>
      </c>
      <c r="U67" s="2"/>
      <c r="V67" s="7">
        <f t="shared" si="28"/>
        <v>0.10683074485140732</v>
      </c>
      <c r="W67" s="2"/>
      <c r="X67" s="6">
        <f t="shared" si="29"/>
        <v>-17258.400000000001</v>
      </c>
      <c r="Y67" s="2"/>
      <c r="Z67" s="7">
        <f t="shared" si="30"/>
        <v>-1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6"/>
      <c r="E68" s="2"/>
      <c r="F68" s="7">
        <f t="shared" si="23"/>
        <v>0</v>
      </c>
      <c r="G68" s="2"/>
      <c r="H68" s="6">
        <v>0</v>
      </c>
      <c r="I68" s="2"/>
      <c r="J68" s="7">
        <f t="shared" si="24"/>
        <v>0</v>
      </c>
      <c r="K68" s="2"/>
      <c r="L68" s="6">
        <f t="shared" si="25"/>
        <v>0</v>
      </c>
      <c r="M68" s="2"/>
      <c r="N68" s="7">
        <f t="shared" si="26"/>
        <v>0</v>
      </c>
      <c r="O68" s="11"/>
      <c r="P68" s="6">
        <v>5379.19</v>
      </c>
      <c r="Q68" s="2"/>
      <c r="R68" s="7">
        <f t="shared" si="27"/>
        <v>0.25240288064144384</v>
      </c>
      <c r="S68" s="2"/>
      <c r="T68" s="6">
        <v>11704</v>
      </c>
      <c r="U68" s="2"/>
      <c r="V68" s="7">
        <f t="shared" si="28"/>
        <v>7.2448606924214939E-2</v>
      </c>
      <c r="W68" s="2"/>
      <c r="X68" s="6">
        <f t="shared" si="29"/>
        <v>-6324.81</v>
      </c>
      <c r="Y68" s="2"/>
      <c r="Z68" s="7">
        <f t="shared" si="30"/>
        <v>-0.54039730006835274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6"/>
      <c r="E69" s="2"/>
      <c r="F69" s="7">
        <f t="shared" si="23"/>
        <v>0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0</v>
      </c>
      <c r="M69" s="2"/>
      <c r="N69" s="7">
        <f t="shared" si="26"/>
        <v>0</v>
      </c>
      <c r="O69" s="11"/>
      <c r="P69" s="6"/>
      <c r="Q69" s="2"/>
      <c r="R69" s="7">
        <f t="shared" si="27"/>
        <v>0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0</v>
      </c>
      <c r="Y69" s="2"/>
      <c r="Z69" s="7">
        <f t="shared" si="30"/>
        <v>0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6"/>
      <c r="E70" s="2"/>
      <c r="F70" s="7">
        <f t="shared" si="23"/>
        <v>0</v>
      </c>
      <c r="G70" s="2"/>
      <c r="H70" s="6">
        <v>538.59</v>
      </c>
      <c r="I70" s="2"/>
      <c r="J70" s="7">
        <f t="shared" si="24"/>
        <v>0.65761904761904766</v>
      </c>
      <c r="K70" s="2"/>
      <c r="L70" s="6">
        <f t="shared" si="25"/>
        <v>-538.59</v>
      </c>
      <c r="M70" s="2"/>
      <c r="N70" s="7">
        <f t="shared" si="26"/>
        <v>-1</v>
      </c>
      <c r="O70" s="11"/>
      <c r="P70" s="6">
        <v>2773.35</v>
      </c>
      <c r="Q70" s="2"/>
      <c r="R70" s="7">
        <f t="shared" si="27"/>
        <v>0.13013140064339582</v>
      </c>
      <c r="S70" s="2"/>
      <c r="T70" s="6">
        <v>538.59</v>
      </c>
      <c r="U70" s="2"/>
      <c r="V70" s="7">
        <f t="shared" si="28"/>
        <v>3.3339110734204483E-3</v>
      </c>
      <c r="W70" s="2"/>
      <c r="X70" s="6">
        <f t="shared" si="29"/>
        <v>2234.7599999999998</v>
      </c>
      <c r="Y70" s="2"/>
      <c r="Z70" s="7">
        <f t="shared" si="30"/>
        <v>4.1492786720882293</v>
      </c>
    </row>
    <row r="71" spans="1:26" s="24" customFormat="1" hidden="1" outlineLevel="2" x14ac:dyDescent="0.25">
      <c r="A71" s="26"/>
      <c r="B71" s="11" t="str">
        <f>CONCATENATE("          ", "6008", " - ", "STUDENT HOURLY-FICA EXEMPT")</f>
        <v xml:space="preserve">          6008 - STUDENT HOURLY-FICA EXEMPT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/>
      <c r="Q71" s="2"/>
      <c r="R71" s="7">
        <f t="shared" si="27"/>
        <v>0</v>
      </c>
      <c r="S71" s="2"/>
      <c r="T71" s="6">
        <v>19099.23</v>
      </c>
      <c r="U71" s="2"/>
      <c r="V71" s="7">
        <f t="shared" si="28"/>
        <v>0.11822561575744821</v>
      </c>
      <c r="W71" s="2"/>
      <c r="X71" s="6">
        <f t="shared" si="29"/>
        <v>-19099.23</v>
      </c>
      <c r="Y71" s="2"/>
      <c r="Z71" s="7">
        <f t="shared" si="30"/>
        <v>-1</v>
      </c>
    </row>
    <row r="72" spans="1:26" s="24" customFormat="1" hidden="1" outlineLevel="2" x14ac:dyDescent="0.25">
      <c r="A72" s="26"/>
      <c r="B72" s="11" t="str">
        <f>CONCATENATE("          ", "6009", " - ", "TEMPORARY-SEASONAL")</f>
        <v xml:space="preserve">          6009 - TEMPORARY-SEASONAL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/>
      <c r="Q72" s="2"/>
      <c r="R72" s="7">
        <f t="shared" si="27"/>
        <v>0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0</v>
      </c>
      <c r="Y72" s="2"/>
      <c r="Z72" s="7">
        <f t="shared" si="30"/>
        <v>0</v>
      </c>
    </row>
    <row r="73" spans="1:26" s="24" customFormat="1" hidden="1" outlineLevel="2" x14ac:dyDescent="0.25">
      <c r="A73" s="26"/>
      <c r="B73" s="11" t="str">
        <f>CONCATENATE("          ", "6010", " - ", "GRATUITY")</f>
        <v xml:space="preserve">          6010 - GRATUITY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7" customFormat="1" outlineLevel="1" collapsed="1" x14ac:dyDescent="0.25">
      <c r="A74" s="25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0</v>
      </c>
      <c r="E74" s="1"/>
      <c r="F74" s="5">
        <f t="shared" ref="F74:F82" si="31">IF(D$12=0,0,D74/D$12)</f>
        <v>0</v>
      </c>
      <c r="G74" s="1"/>
      <c r="H74" s="1">
        <f>SUM(OSRRefH22_2x_0)</f>
        <v>100</v>
      </c>
      <c r="I74" s="1"/>
      <c r="J74" s="5">
        <f t="shared" ref="J74:J82" si="32">IF(H$12=0,0,H74/H$12)</f>
        <v>0.1221001221001221</v>
      </c>
      <c r="K74" s="1"/>
      <c r="L74" s="1">
        <f t="shared" ref="L74:L82" si="33">+D74-H74</f>
        <v>-100</v>
      </c>
      <c r="M74" s="1"/>
      <c r="N74" s="5">
        <f t="shared" ref="N74:N82" si="34">IF(H74=0,0,L74/H74)</f>
        <v>-1</v>
      </c>
      <c r="O74" s="13"/>
      <c r="P74" s="1">
        <f>SUM(OSRRefP22_2x_0)</f>
        <v>124.72</v>
      </c>
      <c r="Q74" s="1"/>
      <c r="R74" s="5">
        <f t="shared" ref="R74:R82" si="35">IF(P$12=0,0,P74/P$12)</f>
        <v>5.8521240695347957E-3</v>
      </c>
      <c r="S74" s="1"/>
      <c r="T74" s="1">
        <f>SUM(OSRRefT22_2x_0)</f>
        <v>1100</v>
      </c>
      <c r="U74" s="1"/>
      <c r="V74" s="5">
        <f t="shared" ref="V74:V82" si="36">IF(T$12=0,0,T74/T$12)</f>
        <v>6.8090795981405024E-3</v>
      </c>
      <c r="W74" s="1"/>
      <c r="X74" s="1">
        <f t="shared" ref="X74:X82" si="37">+P74-T74</f>
        <v>-975.28</v>
      </c>
      <c r="Y74" s="1"/>
      <c r="Z74" s="5">
        <f t="shared" ref="Z74:Z82" si="38">IF(T74=0,0,X74/T74)</f>
        <v>-0.88661818181818175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6"/>
      <c r="E75" s="2"/>
      <c r="F75" s="7">
        <f t="shared" si="31"/>
        <v>0</v>
      </c>
      <c r="G75" s="2"/>
      <c r="H75" s="6">
        <v>100</v>
      </c>
      <c r="I75" s="2"/>
      <c r="J75" s="7">
        <f t="shared" si="32"/>
        <v>0.1221001221001221</v>
      </c>
      <c r="K75" s="2"/>
      <c r="L75" s="6">
        <f t="shared" si="33"/>
        <v>-100</v>
      </c>
      <c r="M75" s="2"/>
      <c r="N75" s="7">
        <f t="shared" si="34"/>
        <v>-1</v>
      </c>
      <c r="O75" s="11"/>
      <c r="P75" s="6">
        <v>124.72</v>
      </c>
      <c r="Q75" s="2"/>
      <c r="R75" s="7">
        <f t="shared" si="35"/>
        <v>5.8521240695347957E-3</v>
      </c>
      <c r="S75" s="2"/>
      <c r="T75" s="6">
        <v>1100</v>
      </c>
      <c r="U75" s="2"/>
      <c r="V75" s="7">
        <f t="shared" si="36"/>
        <v>6.8090795981405024E-3</v>
      </c>
      <c r="W75" s="2"/>
      <c r="X75" s="6">
        <f t="shared" si="37"/>
        <v>-975.28</v>
      </c>
      <c r="Y75" s="2"/>
      <c r="Z75" s="7">
        <f t="shared" si="38"/>
        <v>-0.88661818181818175</v>
      </c>
    </row>
    <row r="76" spans="1:26" s="27" customFormat="1" outlineLevel="1" collapsed="1" x14ac:dyDescent="0.25">
      <c r="A76" s="25"/>
      <c r="B76" s="13" t="str">
        <f>CONCATENATE("     ","Bad Debts/Over/Short                              ")</f>
        <v xml:space="preserve">     Bad Debts/Over/Short                              </v>
      </c>
      <c r="C76" s="13"/>
      <c r="D76" s="1">
        <f>SUM(OSRRefD22_3x_0)</f>
        <v>0</v>
      </c>
      <c r="E76" s="1"/>
      <c r="F76" s="5">
        <f t="shared" si="31"/>
        <v>0</v>
      </c>
      <c r="G76" s="1"/>
      <c r="H76" s="1">
        <f>SUM(OSRRefH22_3x_0)</f>
        <v>0</v>
      </c>
      <c r="I76" s="1"/>
      <c r="J76" s="5">
        <f t="shared" si="32"/>
        <v>0</v>
      </c>
      <c r="K76" s="1"/>
      <c r="L76" s="1">
        <f t="shared" si="33"/>
        <v>0</v>
      </c>
      <c r="M76" s="1"/>
      <c r="N76" s="5">
        <f t="shared" si="34"/>
        <v>0</v>
      </c>
      <c r="O76" s="13"/>
      <c r="P76" s="1">
        <f>SUM(OSRRefP22_3x_0)</f>
        <v>1.1000000000000001</v>
      </c>
      <c r="Q76" s="1"/>
      <c r="R76" s="5">
        <f t="shared" si="35"/>
        <v>5.1614307861516002E-5</v>
      </c>
      <c r="S76" s="1"/>
      <c r="T76" s="1">
        <f>SUM(OSRRefT22_3x_0)</f>
        <v>0</v>
      </c>
      <c r="U76" s="1"/>
      <c r="V76" s="5">
        <f t="shared" si="36"/>
        <v>0</v>
      </c>
      <c r="W76" s="1"/>
      <c r="X76" s="1">
        <f t="shared" si="37"/>
        <v>1.1000000000000001</v>
      </c>
      <c r="Y76" s="1"/>
      <c r="Z76" s="5">
        <f t="shared" si="38"/>
        <v>0</v>
      </c>
    </row>
    <row r="77" spans="1:26" s="24" customFormat="1" hidden="1" outlineLevel="2" x14ac:dyDescent="0.25">
      <c r="A77" s="26"/>
      <c r="B77" s="11" t="str">
        <f>CONCATENATE("          ", "6272", " - ", "CASH (OVER/SHORT)")</f>
        <v xml:space="preserve">          6272 - CASH (OVER/SHORT)</v>
      </c>
      <c r="C77" s="11"/>
      <c r="D77" s="6"/>
      <c r="E77" s="2"/>
      <c r="F77" s="7">
        <f t="shared" si="31"/>
        <v>0</v>
      </c>
      <c r="G77" s="2"/>
      <c r="H77" s="6"/>
      <c r="I77" s="2"/>
      <c r="J77" s="7">
        <f t="shared" si="32"/>
        <v>0</v>
      </c>
      <c r="K77" s="2"/>
      <c r="L77" s="6">
        <f t="shared" si="33"/>
        <v>0</v>
      </c>
      <c r="M77" s="2"/>
      <c r="N77" s="7">
        <f t="shared" si="34"/>
        <v>0</v>
      </c>
      <c r="O77" s="11"/>
      <c r="P77" s="6">
        <v>1.1000000000000001</v>
      </c>
      <c r="Q77" s="2"/>
      <c r="R77" s="7">
        <f t="shared" si="35"/>
        <v>5.1614307861516002E-5</v>
      </c>
      <c r="S77" s="2"/>
      <c r="T77" s="6"/>
      <c r="U77" s="2"/>
      <c r="V77" s="7">
        <f t="shared" si="36"/>
        <v>0</v>
      </c>
      <c r="W77" s="2"/>
      <c r="X77" s="6">
        <f t="shared" si="37"/>
        <v>1.1000000000000001</v>
      </c>
      <c r="Y77" s="2"/>
      <c r="Z77" s="7">
        <f t="shared" si="38"/>
        <v>0</v>
      </c>
    </row>
    <row r="78" spans="1:26" s="27" customFormat="1" outlineLevel="1" collapsed="1" x14ac:dyDescent="0.25">
      <c r="A78" s="25"/>
      <c r="B78" s="13" t="str">
        <f>CONCATENATE("     ","Bank/card Fees                                    ")</f>
        <v xml:space="preserve">     Bank/card Fees                                    </v>
      </c>
      <c r="C78" s="13"/>
      <c r="D78" s="1">
        <f>SUM(OSRRefD22_4x_0)</f>
        <v>0</v>
      </c>
      <c r="E78" s="1"/>
      <c r="F78" s="5">
        <f t="shared" si="31"/>
        <v>0</v>
      </c>
      <c r="G78" s="1"/>
      <c r="H78" s="1">
        <f>SUM(OSRRefH22_4x_0)</f>
        <v>56</v>
      </c>
      <c r="I78" s="1"/>
      <c r="J78" s="5">
        <f t="shared" si="32"/>
        <v>6.8376068376068383E-2</v>
      </c>
      <c r="K78" s="1"/>
      <c r="L78" s="1">
        <f t="shared" si="33"/>
        <v>-56</v>
      </c>
      <c r="M78" s="1"/>
      <c r="N78" s="5">
        <f t="shared" si="34"/>
        <v>-1</v>
      </c>
      <c r="O78" s="13"/>
      <c r="P78" s="1">
        <f>SUM(OSRRefP22_4x_0)</f>
        <v>0</v>
      </c>
      <c r="Q78" s="1"/>
      <c r="R78" s="5">
        <f t="shared" si="35"/>
        <v>0</v>
      </c>
      <c r="S78" s="1"/>
      <c r="T78" s="1">
        <f>SUM(OSRRefT22_4x_0)</f>
        <v>10617</v>
      </c>
      <c r="U78" s="1"/>
      <c r="V78" s="5">
        <f t="shared" si="36"/>
        <v>6.5719998266779739E-2</v>
      </c>
      <c r="W78" s="1"/>
      <c r="X78" s="1">
        <f t="shared" si="37"/>
        <v>-10617</v>
      </c>
      <c r="Y78" s="1"/>
      <c r="Z78" s="5">
        <f t="shared" si="38"/>
        <v>-1</v>
      </c>
    </row>
    <row r="79" spans="1:26" s="24" customFormat="1" hidden="1" outlineLevel="2" x14ac:dyDescent="0.25">
      <c r="A79" s="26"/>
      <c r="B79" s="11" t="str">
        <f>CONCATENATE("          ", "6381", " - ", "BANK/CREDIT CARD FEES")</f>
        <v xml:space="preserve">          6381 - BANK/CREDIT CARD FEES</v>
      </c>
      <c r="C79" s="11"/>
      <c r="D79" s="6"/>
      <c r="E79" s="2"/>
      <c r="F79" s="7">
        <f t="shared" si="31"/>
        <v>0</v>
      </c>
      <c r="G79" s="2"/>
      <c r="H79" s="6">
        <v>56</v>
      </c>
      <c r="I79" s="2"/>
      <c r="J79" s="7">
        <f t="shared" si="32"/>
        <v>6.8376068376068383E-2</v>
      </c>
      <c r="K79" s="2"/>
      <c r="L79" s="6">
        <f t="shared" si="33"/>
        <v>-56</v>
      </c>
      <c r="M79" s="2"/>
      <c r="N79" s="7">
        <f t="shared" si="34"/>
        <v>-1</v>
      </c>
      <c r="O79" s="11"/>
      <c r="P79" s="6"/>
      <c r="Q79" s="2"/>
      <c r="R79" s="7">
        <f t="shared" si="35"/>
        <v>0</v>
      </c>
      <c r="S79" s="2"/>
      <c r="T79" s="6">
        <v>10617</v>
      </c>
      <c r="U79" s="2"/>
      <c r="V79" s="7">
        <f t="shared" si="36"/>
        <v>6.5719998266779739E-2</v>
      </c>
      <c r="W79" s="2"/>
      <c r="X79" s="6">
        <f t="shared" si="37"/>
        <v>-10617</v>
      </c>
      <c r="Y79" s="2"/>
      <c r="Z79" s="7">
        <f t="shared" si="38"/>
        <v>-1</v>
      </c>
    </row>
    <row r="80" spans="1:26" s="27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SUM(OSRRefD22_5x_0)</f>
        <v>0</v>
      </c>
      <c r="E80" s="1"/>
      <c r="F80" s="5">
        <f t="shared" si="31"/>
        <v>0</v>
      </c>
      <c r="G80" s="1"/>
      <c r="H80" s="1">
        <f>SUM(OSRRefH22_5x_0)</f>
        <v>18</v>
      </c>
      <c r="I80" s="1"/>
      <c r="J80" s="5">
        <f t="shared" si="32"/>
        <v>2.197802197802198E-2</v>
      </c>
      <c r="K80" s="1"/>
      <c r="L80" s="1">
        <f t="shared" si="33"/>
        <v>-18</v>
      </c>
      <c r="M80" s="1"/>
      <c r="N80" s="5">
        <f t="shared" si="34"/>
        <v>-1</v>
      </c>
      <c r="O80" s="13"/>
      <c r="P80" s="1">
        <f>SUM(OSRRefP22_5x_0)</f>
        <v>0</v>
      </c>
      <c r="Q80" s="1"/>
      <c r="R80" s="5">
        <f t="shared" si="35"/>
        <v>0</v>
      </c>
      <c r="S80" s="1"/>
      <c r="T80" s="1">
        <f>SUM(OSRRefT22_5x_0)</f>
        <v>3536</v>
      </c>
      <c r="U80" s="1"/>
      <c r="V80" s="5">
        <f t="shared" si="36"/>
        <v>2.1888095871840742E-2</v>
      </c>
      <c r="W80" s="1"/>
      <c r="X80" s="1">
        <f t="shared" si="37"/>
        <v>-3536</v>
      </c>
      <c r="Y80" s="1"/>
      <c r="Z80" s="5">
        <f t="shared" si="38"/>
        <v>-1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1"/>
        <v>0</v>
      </c>
      <c r="G81" s="2"/>
      <c r="H81" s="6">
        <v>18</v>
      </c>
      <c r="I81" s="2"/>
      <c r="J81" s="7">
        <f t="shared" si="32"/>
        <v>2.197802197802198E-2</v>
      </c>
      <c r="K81" s="2"/>
      <c r="L81" s="6">
        <f t="shared" si="33"/>
        <v>-18</v>
      </c>
      <c r="M81" s="2"/>
      <c r="N81" s="7">
        <f t="shared" si="34"/>
        <v>-1</v>
      </c>
      <c r="O81" s="11"/>
      <c r="P81" s="6">
        <v>0</v>
      </c>
      <c r="Q81" s="2"/>
      <c r="R81" s="7">
        <f t="shared" si="35"/>
        <v>0</v>
      </c>
      <c r="S81" s="2"/>
      <c r="T81" s="6">
        <v>3536</v>
      </c>
      <c r="U81" s="2"/>
      <c r="V81" s="7">
        <f t="shared" si="36"/>
        <v>2.1888095871840742E-2</v>
      </c>
      <c r="W81" s="2"/>
      <c r="X81" s="6">
        <f t="shared" si="37"/>
        <v>-3536</v>
      </c>
      <c r="Y81" s="2"/>
      <c r="Z81" s="7">
        <f t="shared" si="38"/>
        <v>-1</v>
      </c>
    </row>
    <row r="82" spans="1:26" s="24" customFormat="1" hidden="1" outlineLevel="2" x14ac:dyDescent="0.25">
      <c r="A82" s="26"/>
      <c r="B82" s="11" t="str">
        <f>CONCATENATE("          ", "9175", " - ", "EARNED DISCOUNTS")</f>
        <v xml:space="preserve">          9175 - EARNED DISCOUNTS</v>
      </c>
      <c r="C82" s="11"/>
      <c r="D82" s="6">
        <v>0</v>
      </c>
      <c r="E82" s="2"/>
      <c r="F82" s="7">
        <f t="shared" si="31"/>
        <v>0</v>
      </c>
      <c r="G82" s="2"/>
      <c r="H82" s="6"/>
      <c r="I82" s="2"/>
      <c r="J82" s="7">
        <f t="shared" si="32"/>
        <v>0</v>
      </c>
      <c r="K82" s="2"/>
      <c r="L82" s="6">
        <f t="shared" si="33"/>
        <v>0</v>
      </c>
      <c r="M82" s="2"/>
      <c r="N82" s="7">
        <f t="shared" si="34"/>
        <v>0</v>
      </c>
      <c r="O82" s="11"/>
      <c r="P82" s="6">
        <v>0</v>
      </c>
      <c r="Q82" s="2"/>
      <c r="R82" s="7">
        <f t="shared" si="35"/>
        <v>0</v>
      </c>
      <c r="S82" s="2"/>
      <c r="T82" s="6"/>
      <c r="U82" s="2"/>
      <c r="V82" s="7">
        <f t="shared" si="36"/>
        <v>0</v>
      </c>
      <c r="W82" s="2"/>
      <c r="X82" s="6">
        <f t="shared" si="37"/>
        <v>0</v>
      </c>
      <c r="Y82" s="2"/>
      <c r="Z82" s="7">
        <f t="shared" si="38"/>
        <v>0</v>
      </c>
    </row>
    <row r="83" spans="1:26" s="27" customFormat="1" outlineLevel="1" collapsed="1" x14ac:dyDescent="0.25">
      <c r="A83" s="25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SUM(OSRRefD22_6x_0)</f>
        <v>0</v>
      </c>
      <c r="E83" s="1"/>
      <c r="F83" s="5">
        <f t="shared" ref="F83:F91" si="39">IF(D$12=0,0,D83/D$12)</f>
        <v>0</v>
      </c>
      <c r="G83" s="1"/>
      <c r="H83" s="1">
        <f>SUM(OSRRefH22_6x_0)</f>
        <v>248</v>
      </c>
      <c r="I83" s="1"/>
      <c r="J83" s="5">
        <f t="shared" ref="J83:J91" si="40">IF(H$12=0,0,H83/H$12)</f>
        <v>0.30280830280830279</v>
      </c>
      <c r="K83" s="1"/>
      <c r="L83" s="1">
        <f t="shared" ref="L83:L91" si="41">+D83-H83</f>
        <v>-248</v>
      </c>
      <c r="M83" s="1"/>
      <c r="N83" s="5">
        <f t="shared" ref="N83:N91" si="42">IF(H83=0,0,L83/H83)</f>
        <v>-1</v>
      </c>
      <c r="O83" s="13"/>
      <c r="P83" s="1">
        <f>SUM(OSRRefP22_6x_0)</f>
        <v>0</v>
      </c>
      <c r="Q83" s="1"/>
      <c r="R83" s="5">
        <f t="shared" ref="R83:R91" si="43">IF(P$12=0,0,P83/P$12)</f>
        <v>0</v>
      </c>
      <c r="S83" s="1"/>
      <c r="T83" s="1">
        <f>SUM(OSRRefT22_6x_0)</f>
        <v>2975</v>
      </c>
      <c r="U83" s="1"/>
      <c r="V83" s="5">
        <f t="shared" ref="V83:V91" si="44">IF(T$12=0,0,T83/T$12)</f>
        <v>1.8415465276789087E-2</v>
      </c>
      <c r="W83" s="1"/>
      <c r="X83" s="1">
        <f t="shared" ref="X83:X91" si="45">+P83-T83</f>
        <v>-2975</v>
      </c>
      <c r="Y83" s="1"/>
      <c r="Z83" s="5">
        <f t="shared" ref="Z83:Z91" si="46">IF(T83=0,0,X83/T83)</f>
        <v>-1</v>
      </c>
    </row>
    <row r="84" spans="1:26" s="24" customFormat="1" hidden="1" outlineLevel="2" x14ac:dyDescent="0.25">
      <c r="A84" s="26"/>
      <c r="B84" s="11" t="str">
        <f>CONCATENATE("          ", "6305", " - ", "FREIGHT OUT")</f>
        <v xml:space="preserve">          6305 - FREIGHT OUT</v>
      </c>
      <c r="C84" s="11"/>
      <c r="D84" s="6"/>
      <c r="E84" s="2"/>
      <c r="F84" s="7">
        <f t="shared" si="39"/>
        <v>0</v>
      </c>
      <c r="G84" s="2"/>
      <c r="H84" s="6">
        <v>248</v>
      </c>
      <c r="I84" s="2"/>
      <c r="J84" s="7">
        <f t="shared" si="40"/>
        <v>0.30280830280830279</v>
      </c>
      <c r="K84" s="2"/>
      <c r="L84" s="6">
        <f t="shared" si="41"/>
        <v>-248</v>
      </c>
      <c r="M84" s="2"/>
      <c r="N84" s="7">
        <f t="shared" si="42"/>
        <v>-1</v>
      </c>
      <c r="O84" s="11"/>
      <c r="P84" s="6">
        <v>0</v>
      </c>
      <c r="Q84" s="2"/>
      <c r="R84" s="7">
        <f t="shared" si="43"/>
        <v>0</v>
      </c>
      <c r="S84" s="2"/>
      <c r="T84" s="6">
        <v>2975</v>
      </c>
      <c r="U84" s="2"/>
      <c r="V84" s="7">
        <f t="shared" si="44"/>
        <v>1.8415465276789087E-2</v>
      </c>
      <c r="W84" s="2"/>
      <c r="X84" s="6">
        <f t="shared" si="45"/>
        <v>-2975</v>
      </c>
      <c r="Y84" s="2"/>
      <c r="Z84" s="7">
        <f t="shared" si="46"/>
        <v>-1</v>
      </c>
    </row>
    <row r="85" spans="1:26" s="27" customFormat="1" outlineLevel="1" collapsed="1" x14ac:dyDescent="0.25">
      <c r="A85" s="25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0</v>
      </c>
      <c r="E85" s="1"/>
      <c r="F85" s="5">
        <f t="shared" si="39"/>
        <v>0</v>
      </c>
      <c r="G85" s="1"/>
      <c r="H85" s="1">
        <f>SUM(OSRRefH22_7x_0)</f>
        <v>0</v>
      </c>
      <c r="I85" s="1"/>
      <c r="J85" s="5">
        <f t="shared" si="40"/>
        <v>0</v>
      </c>
      <c r="K85" s="1"/>
      <c r="L85" s="1">
        <f t="shared" si="41"/>
        <v>0</v>
      </c>
      <c r="M85" s="1"/>
      <c r="N85" s="5">
        <f t="shared" si="42"/>
        <v>0</v>
      </c>
      <c r="O85" s="13"/>
      <c r="P85" s="1">
        <f>SUM(OSRRefP22_7x_0)</f>
        <v>879.55</v>
      </c>
      <c r="Q85" s="1"/>
      <c r="R85" s="5">
        <f t="shared" si="43"/>
        <v>4.1270331345087632E-2</v>
      </c>
      <c r="S85" s="1"/>
      <c r="T85" s="1">
        <f>SUM(OSRRefT22_7x_0)</f>
        <v>1000</v>
      </c>
      <c r="U85" s="1"/>
      <c r="V85" s="5">
        <f t="shared" si="44"/>
        <v>6.1900723619459112E-3</v>
      </c>
      <c r="W85" s="1"/>
      <c r="X85" s="1">
        <f t="shared" si="45"/>
        <v>-120.45000000000005</v>
      </c>
      <c r="Y85" s="1"/>
      <c r="Z85" s="5">
        <f t="shared" si="46"/>
        <v>-0.12045000000000004</v>
      </c>
    </row>
    <row r="86" spans="1:26" s="24" customFormat="1" hidden="1" outlineLevel="2" x14ac:dyDescent="0.25">
      <c r="A86" s="26"/>
      <c r="B86" s="11" t="str">
        <f>CONCATENATE("          ", "6279", " - ", "GENERAL EXPENSE")</f>
        <v xml:space="preserve">          6279 - GENERAL EXPENSE</v>
      </c>
      <c r="C86" s="11"/>
      <c r="D86" s="6"/>
      <c r="E86" s="2"/>
      <c r="F86" s="7">
        <f t="shared" si="39"/>
        <v>0</v>
      </c>
      <c r="G86" s="2"/>
      <c r="H86" s="6"/>
      <c r="I86" s="2"/>
      <c r="J86" s="7">
        <f t="shared" si="40"/>
        <v>0</v>
      </c>
      <c r="K86" s="2"/>
      <c r="L86" s="6">
        <f t="shared" si="41"/>
        <v>0</v>
      </c>
      <c r="M86" s="2"/>
      <c r="N86" s="7">
        <f t="shared" si="42"/>
        <v>0</v>
      </c>
      <c r="O86" s="11"/>
      <c r="P86" s="6">
        <v>879.55</v>
      </c>
      <c r="Q86" s="2"/>
      <c r="R86" s="7">
        <f t="shared" si="43"/>
        <v>4.1270331345087632E-2</v>
      </c>
      <c r="S86" s="2"/>
      <c r="T86" s="6">
        <v>1000</v>
      </c>
      <c r="U86" s="2"/>
      <c r="V86" s="7">
        <f t="shared" si="44"/>
        <v>6.1900723619459112E-3</v>
      </c>
      <c r="W86" s="2"/>
      <c r="X86" s="6">
        <f t="shared" si="45"/>
        <v>-120.45000000000005</v>
      </c>
      <c r="Y86" s="2"/>
      <c r="Z86" s="7">
        <f t="shared" si="46"/>
        <v>-0.12045000000000004</v>
      </c>
    </row>
    <row r="87" spans="1:26" s="27" customFormat="1" outlineLevel="1" collapsed="1" x14ac:dyDescent="0.25">
      <c r="A87" s="25"/>
      <c r="B87" s="13" t="str">
        <f>CONCATENATE("     ","Professional Services                             ")</f>
        <v xml:space="preserve">     Professional Services                             </v>
      </c>
      <c r="C87" s="13"/>
      <c r="D87" s="1">
        <f>SUM(OSRRefD22_8x_0)</f>
        <v>0</v>
      </c>
      <c r="E87" s="1"/>
      <c r="F87" s="5">
        <f t="shared" si="39"/>
        <v>0</v>
      </c>
      <c r="G87" s="1"/>
      <c r="H87" s="1">
        <f>SUM(OSRRefH22_8x_0)</f>
        <v>0</v>
      </c>
      <c r="I87" s="1"/>
      <c r="J87" s="5">
        <f t="shared" si="40"/>
        <v>0</v>
      </c>
      <c r="K87" s="1"/>
      <c r="L87" s="1">
        <f t="shared" si="41"/>
        <v>0</v>
      </c>
      <c r="M87" s="1"/>
      <c r="N87" s="5">
        <f t="shared" si="42"/>
        <v>0</v>
      </c>
      <c r="O87" s="13"/>
      <c r="P87" s="1">
        <f>SUM(OSRRefP22_8x_0)</f>
        <v>0</v>
      </c>
      <c r="Q87" s="1"/>
      <c r="R87" s="5">
        <f t="shared" si="43"/>
        <v>0</v>
      </c>
      <c r="S87" s="1"/>
      <c r="T87" s="1">
        <f>SUM(OSRRefT22_8x_0)</f>
        <v>800</v>
      </c>
      <c r="U87" s="1"/>
      <c r="V87" s="5">
        <f t="shared" si="44"/>
        <v>4.9520578895567288E-3</v>
      </c>
      <c r="W87" s="1"/>
      <c r="X87" s="1">
        <f t="shared" si="45"/>
        <v>-800</v>
      </c>
      <c r="Y87" s="1"/>
      <c r="Z87" s="5">
        <f t="shared" si="46"/>
        <v>-1</v>
      </c>
    </row>
    <row r="88" spans="1:26" s="24" customFormat="1" hidden="1" outlineLevel="2" x14ac:dyDescent="0.25">
      <c r="A88" s="26"/>
      <c r="B88" s="11" t="str">
        <f>CONCATENATE("          ", "6336", " - ", "PROFESSIONAL SERVICES")</f>
        <v xml:space="preserve">          6336 - PROFESSIONAL SERVICES</v>
      </c>
      <c r="C88" s="11"/>
      <c r="D88" s="6"/>
      <c r="E88" s="2"/>
      <c r="F88" s="7">
        <f t="shared" si="39"/>
        <v>0</v>
      </c>
      <c r="G88" s="2"/>
      <c r="H88" s="6"/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/>
      <c r="Q88" s="2"/>
      <c r="R88" s="7">
        <f t="shared" si="43"/>
        <v>0</v>
      </c>
      <c r="S88" s="2"/>
      <c r="T88" s="6">
        <v>800</v>
      </c>
      <c r="U88" s="2"/>
      <c r="V88" s="7">
        <f t="shared" si="44"/>
        <v>4.9520578895567288E-3</v>
      </c>
      <c r="W88" s="2"/>
      <c r="X88" s="6">
        <f t="shared" si="45"/>
        <v>-800</v>
      </c>
      <c r="Y88" s="2"/>
      <c r="Z88" s="7">
        <f t="shared" si="46"/>
        <v>-1</v>
      </c>
    </row>
    <row r="89" spans="1:26" s="27" customFormat="1" outlineLevel="1" collapsed="1" x14ac:dyDescent="0.25">
      <c r="A89" s="25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SUM(OSRRefD22_9x_0)</f>
        <v>61.11</v>
      </c>
      <c r="E89" s="1"/>
      <c r="F89" s="5">
        <f t="shared" si="39"/>
        <v>0</v>
      </c>
      <c r="G89" s="1"/>
      <c r="H89" s="1">
        <f>SUM(OSRRefH22_9x_0)</f>
        <v>100</v>
      </c>
      <c r="I89" s="1"/>
      <c r="J89" s="5">
        <f t="shared" si="40"/>
        <v>0.1221001221001221</v>
      </c>
      <c r="K89" s="1"/>
      <c r="L89" s="1">
        <f t="shared" si="41"/>
        <v>-38.89</v>
      </c>
      <c r="M89" s="1"/>
      <c r="N89" s="5">
        <f t="shared" si="42"/>
        <v>-0.38890000000000002</v>
      </c>
      <c r="O89" s="13"/>
      <c r="P89" s="1">
        <f>SUM(OSRRefP22_9x_0)</f>
        <v>323.04000000000002</v>
      </c>
      <c r="Q89" s="1"/>
      <c r="R89" s="5">
        <f t="shared" si="43"/>
        <v>1.5157714555985573E-2</v>
      </c>
      <c r="S89" s="1"/>
      <c r="T89" s="1">
        <f>SUM(OSRRefT22_9x_0)</f>
        <v>1200</v>
      </c>
      <c r="U89" s="1"/>
      <c r="V89" s="5">
        <f t="shared" si="44"/>
        <v>7.4280868343350936E-3</v>
      </c>
      <c r="W89" s="1"/>
      <c r="X89" s="1">
        <f t="shared" si="45"/>
        <v>-876.96</v>
      </c>
      <c r="Y89" s="1"/>
      <c r="Z89" s="5">
        <f t="shared" si="46"/>
        <v>-0.73080000000000001</v>
      </c>
    </row>
    <row r="90" spans="1:26" s="24" customFormat="1" hidden="1" outlineLevel="2" x14ac:dyDescent="0.25">
      <c r="A90" s="26"/>
      <c r="B90" s="11" t="str">
        <f>CONCATENATE("          ", "6373", " - ", "MAINTENANCE CONTRACTS")</f>
        <v xml:space="preserve">          6373 - MAINTENANCE CONTRACTS</v>
      </c>
      <c r="C90" s="11"/>
      <c r="D90" s="6">
        <v>61.11</v>
      </c>
      <c r="E90" s="2"/>
      <c r="F90" s="7">
        <f t="shared" si="39"/>
        <v>0</v>
      </c>
      <c r="G90" s="2"/>
      <c r="H90" s="6"/>
      <c r="I90" s="2"/>
      <c r="J90" s="7">
        <f t="shared" si="40"/>
        <v>0</v>
      </c>
      <c r="K90" s="2"/>
      <c r="L90" s="6">
        <f t="shared" si="41"/>
        <v>61.11</v>
      </c>
      <c r="M90" s="2"/>
      <c r="N90" s="7">
        <f t="shared" si="42"/>
        <v>0</v>
      </c>
      <c r="O90" s="11"/>
      <c r="P90" s="6">
        <v>323.04000000000002</v>
      </c>
      <c r="Q90" s="2"/>
      <c r="R90" s="7">
        <f t="shared" si="43"/>
        <v>1.5157714555985573E-2</v>
      </c>
      <c r="S90" s="2"/>
      <c r="T90" s="6"/>
      <c r="U90" s="2"/>
      <c r="V90" s="7">
        <f t="shared" si="44"/>
        <v>0</v>
      </c>
      <c r="W90" s="2"/>
      <c r="X90" s="6">
        <f t="shared" si="45"/>
        <v>323.04000000000002</v>
      </c>
      <c r="Y90" s="2"/>
      <c r="Z90" s="7">
        <f t="shared" si="46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39"/>
        <v>0</v>
      </c>
      <c r="G91" s="2"/>
      <c r="H91" s="6">
        <v>100</v>
      </c>
      <c r="I91" s="2"/>
      <c r="J91" s="7">
        <f t="shared" si="40"/>
        <v>0.1221001221001221</v>
      </c>
      <c r="K91" s="2"/>
      <c r="L91" s="6">
        <f t="shared" si="41"/>
        <v>-100</v>
      </c>
      <c r="M91" s="2"/>
      <c r="N91" s="7">
        <f t="shared" si="42"/>
        <v>-1</v>
      </c>
      <c r="O91" s="11"/>
      <c r="P91" s="6"/>
      <c r="Q91" s="2"/>
      <c r="R91" s="7">
        <f t="shared" si="43"/>
        <v>0</v>
      </c>
      <c r="S91" s="2"/>
      <c r="T91" s="6">
        <v>1200</v>
      </c>
      <c r="U91" s="2"/>
      <c r="V91" s="7">
        <f t="shared" si="44"/>
        <v>7.4280868343350936E-3</v>
      </c>
      <c r="W91" s="2"/>
      <c r="X91" s="6">
        <f t="shared" si="45"/>
        <v>-1200</v>
      </c>
      <c r="Y91" s="2"/>
      <c r="Z91" s="7">
        <f t="shared" si="46"/>
        <v>-1</v>
      </c>
    </row>
    <row r="92" spans="1:26" s="27" customFormat="1" outlineLevel="1" collapsed="1" x14ac:dyDescent="0.25">
      <c r="A92" s="25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SUM(OSRRefD22_10x_0)</f>
        <v>0</v>
      </c>
      <c r="E92" s="1"/>
      <c r="F92" s="5">
        <f t="shared" ref="F92:F94" si="47">IF(D$12=0,0,D92/D$12)</f>
        <v>0</v>
      </c>
      <c r="G92" s="1"/>
      <c r="H92" s="1">
        <f>SUM(OSRRefH22_10x_0)</f>
        <v>274</v>
      </c>
      <c r="I92" s="1"/>
      <c r="J92" s="5">
        <f t="shared" ref="J92:J94" si="48">IF(H$12=0,0,H92/H$12)</f>
        <v>0.33455433455433453</v>
      </c>
      <c r="K92" s="1"/>
      <c r="L92" s="1">
        <f t="shared" ref="L92:L94" si="49">+D92-H92</f>
        <v>-274</v>
      </c>
      <c r="M92" s="1"/>
      <c r="N92" s="5">
        <f t="shared" ref="N92:N94" si="50">IF(H92=0,0,L92/H92)</f>
        <v>-1</v>
      </c>
      <c r="O92" s="13"/>
      <c r="P92" s="1">
        <f>SUM(OSRRefP22_10x_0)</f>
        <v>18.5</v>
      </c>
      <c r="Q92" s="1"/>
      <c r="R92" s="5">
        <f t="shared" ref="R92:R94" si="51">IF(P$12=0,0,P92/P$12)</f>
        <v>8.6805881403458724E-4</v>
      </c>
      <c r="S92" s="1"/>
      <c r="T92" s="1">
        <f>SUM(OSRRefT22_10x_0)</f>
        <v>3014</v>
      </c>
      <c r="U92" s="1"/>
      <c r="V92" s="5">
        <f t="shared" ref="V92:V94" si="52">IF(T$12=0,0,T92/T$12)</f>
        <v>1.8656878098904976E-2</v>
      </c>
      <c r="W92" s="1"/>
      <c r="X92" s="1">
        <f t="shared" ref="X92:X94" si="53">+P92-T92</f>
        <v>-2995.5</v>
      </c>
      <c r="Y92" s="1"/>
      <c r="Z92" s="5">
        <f t="shared" ref="Z92:Z94" si="54">IF(T92=0,0,X92/T92)</f>
        <v>-0.99386197743861981</v>
      </c>
    </row>
    <row r="93" spans="1:26" s="24" customFormat="1" hidden="1" outlineLevel="2" x14ac:dyDescent="0.25">
      <c r="A93" s="26"/>
      <c r="B93" s="11" t="str">
        <f>CONCATENATE("          ", "6282", " - ", "JANITORIAL/EXTERMINATOR EXPENS")</f>
        <v xml:space="preserve">          6282 - JANITORIAL/EXTERMINATOR EXPENS</v>
      </c>
      <c r="C93" s="11"/>
      <c r="D93" s="6"/>
      <c r="E93" s="2"/>
      <c r="F93" s="7">
        <f t="shared" si="47"/>
        <v>0</v>
      </c>
      <c r="G93" s="2"/>
      <c r="H93" s="6"/>
      <c r="I93" s="2"/>
      <c r="J93" s="7">
        <f t="shared" si="48"/>
        <v>0</v>
      </c>
      <c r="K93" s="2"/>
      <c r="L93" s="6">
        <f t="shared" si="49"/>
        <v>0</v>
      </c>
      <c r="M93" s="2"/>
      <c r="N93" s="7">
        <f t="shared" si="50"/>
        <v>0</v>
      </c>
      <c r="O93" s="11"/>
      <c r="P93" s="6">
        <v>176</v>
      </c>
      <c r="Q93" s="2"/>
      <c r="R93" s="7">
        <f t="shared" si="51"/>
        <v>8.2582892578425601E-3</v>
      </c>
      <c r="S93" s="2"/>
      <c r="T93" s="6"/>
      <c r="U93" s="2"/>
      <c r="V93" s="7">
        <f t="shared" si="52"/>
        <v>0</v>
      </c>
      <c r="W93" s="2"/>
      <c r="X93" s="6">
        <f t="shared" si="53"/>
        <v>176</v>
      </c>
      <c r="Y93" s="2"/>
      <c r="Z93" s="7">
        <f t="shared" si="54"/>
        <v>0</v>
      </c>
    </row>
    <row r="94" spans="1:26" s="24" customFormat="1" hidden="1" outlineLevel="2" x14ac:dyDescent="0.25">
      <c r="A94" s="26"/>
      <c r="B94" s="11" t="str">
        <f>CONCATENATE("          ", "6285", " - ", "JANITORIAL SERVICES")</f>
        <v xml:space="preserve">          6285 - JANITORIAL SERVICES</v>
      </c>
      <c r="C94" s="11"/>
      <c r="D94" s="6"/>
      <c r="E94" s="2"/>
      <c r="F94" s="7">
        <f t="shared" si="47"/>
        <v>0</v>
      </c>
      <c r="G94" s="2"/>
      <c r="H94" s="6">
        <v>274</v>
      </c>
      <c r="I94" s="2"/>
      <c r="J94" s="7">
        <f t="shared" si="48"/>
        <v>0.33455433455433453</v>
      </c>
      <c r="K94" s="2"/>
      <c r="L94" s="6">
        <f t="shared" si="49"/>
        <v>-274</v>
      </c>
      <c r="M94" s="2"/>
      <c r="N94" s="7">
        <f t="shared" si="50"/>
        <v>-1</v>
      </c>
      <c r="O94" s="11"/>
      <c r="P94" s="6">
        <v>-157.5</v>
      </c>
      <c r="Q94" s="2"/>
      <c r="R94" s="7">
        <f t="shared" si="51"/>
        <v>-7.3902304438079732E-3</v>
      </c>
      <c r="S94" s="2"/>
      <c r="T94" s="6">
        <v>3014</v>
      </c>
      <c r="U94" s="2"/>
      <c r="V94" s="7">
        <f t="shared" si="52"/>
        <v>1.8656878098904976E-2</v>
      </c>
      <c r="W94" s="2"/>
      <c r="X94" s="6">
        <f t="shared" si="53"/>
        <v>-3171.5</v>
      </c>
      <c r="Y94" s="2"/>
      <c r="Z94" s="7">
        <f t="shared" si="54"/>
        <v>-1.0522561380225615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SUM(OSRRefD22_11x_0)</f>
        <v>0</v>
      </c>
      <c r="E95" s="1"/>
      <c r="F95" s="5">
        <f t="shared" ref="F95:F99" si="55">IF(D$12=0,0,D95/D$12)</f>
        <v>0</v>
      </c>
      <c r="G95" s="1"/>
      <c r="H95" s="1">
        <f>SUM(OSRRefH22_11x_0)</f>
        <v>300</v>
      </c>
      <c r="I95" s="1"/>
      <c r="J95" s="5">
        <f t="shared" ref="J95:J99" si="56">IF(H$12=0,0,H95/H$12)</f>
        <v>0.36630036630036628</v>
      </c>
      <c r="K95" s="1"/>
      <c r="L95" s="1">
        <f t="shared" ref="L95:L99" si="57">+D95-H95</f>
        <v>-300</v>
      </c>
      <c r="M95" s="1"/>
      <c r="N95" s="5">
        <f t="shared" ref="N95:N99" si="58">IF(H95=0,0,L95/H95)</f>
        <v>-1</v>
      </c>
      <c r="O95" s="13"/>
      <c r="P95" s="1">
        <f>SUM(OSRRefP22_11x_0)</f>
        <v>1892.27</v>
      </c>
      <c r="Q95" s="1"/>
      <c r="R95" s="5">
        <f t="shared" ref="R95:R99" si="59">IF(P$12=0,0,P95/P$12)</f>
        <v>8.8789278488282622E-2</v>
      </c>
      <c r="S95" s="1"/>
      <c r="T95" s="1">
        <f>SUM(OSRRefT22_11x_0)</f>
        <v>3500</v>
      </c>
      <c r="U95" s="1"/>
      <c r="V95" s="5">
        <f t="shared" ref="V95:V99" si="60">IF(T$12=0,0,T95/T$12)</f>
        <v>2.166525326681069E-2</v>
      </c>
      <c r="W95" s="1"/>
      <c r="X95" s="1">
        <f t="shared" ref="X95:X99" si="61">+P95-T95</f>
        <v>-1607.73</v>
      </c>
      <c r="Y95" s="1"/>
      <c r="Z95" s="5">
        <f t="shared" ref="Z95:Z99" si="62">IF(T95=0,0,X95/T95)</f>
        <v>-0.45935142857142858</v>
      </c>
    </row>
    <row r="96" spans="1:26" s="24" customFormat="1" hidden="1" outlineLevel="2" x14ac:dyDescent="0.25">
      <c r="A96" s="26"/>
      <c r="B96" s="11" t="str">
        <f>CONCATENATE("          ", "6235", " - ", "COVID-19 EXPENSES")</f>
        <v xml:space="preserve">          6235 - COVID-19 EXPENSES</v>
      </c>
      <c r="C96" s="11"/>
      <c r="D96" s="6"/>
      <c r="E96" s="2"/>
      <c r="F96" s="7">
        <f t="shared" si="55"/>
        <v>0</v>
      </c>
      <c r="G96" s="2"/>
      <c r="H96" s="6">
        <v>200</v>
      </c>
      <c r="I96" s="2"/>
      <c r="J96" s="7">
        <f t="shared" si="56"/>
        <v>0.24420024420024419</v>
      </c>
      <c r="K96" s="2"/>
      <c r="L96" s="6">
        <f t="shared" si="57"/>
        <v>-200</v>
      </c>
      <c r="M96" s="2"/>
      <c r="N96" s="7">
        <f t="shared" si="58"/>
        <v>-1</v>
      </c>
      <c r="O96" s="11"/>
      <c r="P96" s="6">
        <v>444.3</v>
      </c>
      <c r="Q96" s="2"/>
      <c r="R96" s="7">
        <f t="shared" si="59"/>
        <v>2.0847488166246871E-2</v>
      </c>
      <c r="S96" s="2"/>
      <c r="T96" s="6">
        <v>2200</v>
      </c>
      <c r="U96" s="2"/>
      <c r="V96" s="7">
        <f t="shared" si="60"/>
        <v>1.3618159196281005E-2</v>
      </c>
      <c r="W96" s="2"/>
      <c r="X96" s="6">
        <f t="shared" si="61"/>
        <v>-1755.7</v>
      </c>
      <c r="Y96" s="2"/>
      <c r="Z96" s="7">
        <f t="shared" si="62"/>
        <v>-0.79804545454545461</v>
      </c>
    </row>
    <row r="97" spans="1:26" s="24" customFormat="1" hidden="1" outlineLevel="2" x14ac:dyDescent="0.25">
      <c r="A97" s="26"/>
      <c r="B97" s="11" t="str">
        <f>CONCATENATE("          ", "6241", " - ", "OFFICE EXPENSE")</f>
        <v xml:space="preserve">          6241 - OFFICE EXPENSE</v>
      </c>
      <c r="C97" s="11"/>
      <c r="D97" s="6"/>
      <c r="E97" s="2"/>
      <c r="F97" s="7">
        <f t="shared" si="55"/>
        <v>0</v>
      </c>
      <c r="G97" s="2"/>
      <c r="H97" s="6"/>
      <c r="I97" s="2"/>
      <c r="J97" s="7">
        <f t="shared" si="56"/>
        <v>0</v>
      </c>
      <c r="K97" s="2"/>
      <c r="L97" s="6">
        <f t="shared" si="57"/>
        <v>0</v>
      </c>
      <c r="M97" s="2"/>
      <c r="N97" s="7">
        <f t="shared" si="58"/>
        <v>0</v>
      </c>
      <c r="O97" s="11"/>
      <c r="P97" s="6">
        <v>225.24</v>
      </c>
      <c r="Q97" s="2"/>
      <c r="R97" s="7">
        <f t="shared" si="59"/>
        <v>1.056873336611624E-2</v>
      </c>
      <c r="S97" s="2"/>
      <c r="T97" s="6"/>
      <c r="U97" s="2"/>
      <c r="V97" s="7">
        <f t="shared" si="60"/>
        <v>0</v>
      </c>
      <c r="W97" s="2"/>
      <c r="X97" s="6">
        <f t="shared" si="61"/>
        <v>225.24</v>
      </c>
      <c r="Y97" s="2"/>
      <c r="Z97" s="7">
        <f t="shared" si="62"/>
        <v>0</v>
      </c>
    </row>
    <row r="98" spans="1:26" s="24" customFormat="1" hidden="1" outlineLevel="2" x14ac:dyDescent="0.25">
      <c r="A98" s="26"/>
      <c r="B98" s="11" t="str">
        <f>CONCATENATE("          ", "6247", " - ", "STORE SUPPLIES")</f>
        <v xml:space="preserve">          6247 - STORE SUPPLIES</v>
      </c>
      <c r="C98" s="11"/>
      <c r="D98" s="6"/>
      <c r="E98" s="2"/>
      <c r="F98" s="7">
        <f t="shared" si="55"/>
        <v>0</v>
      </c>
      <c r="G98" s="2"/>
      <c r="H98" s="6">
        <v>100</v>
      </c>
      <c r="I98" s="2"/>
      <c r="J98" s="7">
        <f t="shared" si="56"/>
        <v>0.1221001221001221</v>
      </c>
      <c r="K98" s="2"/>
      <c r="L98" s="6">
        <f t="shared" si="57"/>
        <v>-100</v>
      </c>
      <c r="M98" s="2"/>
      <c r="N98" s="7">
        <f t="shared" si="58"/>
        <v>-1</v>
      </c>
      <c r="O98" s="11"/>
      <c r="P98" s="6">
        <v>1222.73</v>
      </c>
      <c r="Q98" s="2"/>
      <c r="R98" s="7">
        <f t="shared" si="59"/>
        <v>5.7373056955919509E-2</v>
      </c>
      <c r="S98" s="2"/>
      <c r="T98" s="6">
        <v>1100</v>
      </c>
      <c r="U98" s="2"/>
      <c r="V98" s="7">
        <f t="shared" si="60"/>
        <v>6.8090795981405024E-3</v>
      </c>
      <c r="W98" s="2"/>
      <c r="X98" s="6">
        <f t="shared" si="61"/>
        <v>122.73000000000002</v>
      </c>
      <c r="Y98" s="2"/>
      <c r="Z98" s="7">
        <f t="shared" si="62"/>
        <v>0.1115727272727273</v>
      </c>
    </row>
    <row r="99" spans="1:26" s="24" customFormat="1" hidden="1" outlineLevel="2" x14ac:dyDescent="0.25">
      <c r="A99" s="26"/>
      <c r="B99" s="11" t="str">
        <f>CONCATENATE("          ", "6248", " - ", "UNIFORMS")</f>
        <v xml:space="preserve">          6248 - UNIFORMS</v>
      </c>
      <c r="C99" s="11"/>
      <c r="D99" s="6"/>
      <c r="E99" s="2"/>
      <c r="F99" s="7">
        <f t="shared" si="55"/>
        <v>0</v>
      </c>
      <c r="G99" s="2"/>
      <c r="H99" s="6"/>
      <c r="I99" s="2"/>
      <c r="J99" s="7">
        <f t="shared" si="56"/>
        <v>0</v>
      </c>
      <c r="K99" s="2"/>
      <c r="L99" s="6">
        <f t="shared" si="57"/>
        <v>0</v>
      </c>
      <c r="M99" s="2"/>
      <c r="N99" s="7">
        <f t="shared" si="58"/>
        <v>0</v>
      </c>
      <c r="O99" s="11"/>
      <c r="P99" s="6"/>
      <c r="Q99" s="2"/>
      <c r="R99" s="7">
        <f t="shared" si="59"/>
        <v>0</v>
      </c>
      <c r="S99" s="2"/>
      <c r="T99" s="6">
        <v>200</v>
      </c>
      <c r="U99" s="2"/>
      <c r="V99" s="7">
        <f t="shared" si="60"/>
        <v>1.2380144723891822E-3</v>
      </c>
      <c r="W99" s="2"/>
      <c r="X99" s="6">
        <f t="shared" si="61"/>
        <v>-200</v>
      </c>
      <c r="Y99" s="2"/>
      <c r="Z99" s="7">
        <f t="shared" si="62"/>
        <v>-1</v>
      </c>
    </row>
    <row r="100" spans="1:26" s="27" customFormat="1" outlineLevel="1" collapsed="1" x14ac:dyDescent="0.25">
      <c r="A100" s="25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SUM(OSRRefD22_12x_0)</f>
        <v>53</v>
      </c>
      <c r="E100" s="1"/>
      <c r="F100" s="5">
        <f t="shared" ref="F100:F102" si="63">IF(D$12=0,0,D100/D$12)</f>
        <v>0</v>
      </c>
      <c r="G100" s="1"/>
      <c r="H100" s="1">
        <f>SUM(OSRRefH22_12x_0)</f>
        <v>100</v>
      </c>
      <c r="I100" s="1"/>
      <c r="J100" s="5">
        <f t="shared" ref="J100:J102" si="64">IF(H$12=0,0,H100/H$12)</f>
        <v>0.1221001221001221</v>
      </c>
      <c r="K100" s="1"/>
      <c r="L100" s="1">
        <f t="shared" ref="L100:L102" si="65">+D100-H100</f>
        <v>-47</v>
      </c>
      <c r="M100" s="1"/>
      <c r="N100" s="5">
        <f t="shared" ref="N100:N102" si="66">IF(H100=0,0,L100/H100)</f>
        <v>-0.47</v>
      </c>
      <c r="O100" s="13"/>
      <c r="P100" s="1">
        <f>SUM(OSRRefP22_12x_0)</f>
        <v>684.05</v>
      </c>
      <c r="Q100" s="1"/>
      <c r="R100" s="5">
        <f t="shared" ref="R100:R102" si="67">IF(P$12=0,0,P100/P$12)</f>
        <v>3.2097061175154561E-2</v>
      </c>
      <c r="S100" s="1"/>
      <c r="T100" s="1">
        <f>SUM(OSRRefT22_12x_0)</f>
        <v>1200</v>
      </c>
      <c r="U100" s="1"/>
      <c r="V100" s="5">
        <f t="shared" ref="V100:V102" si="68">IF(T$12=0,0,T100/T$12)</f>
        <v>7.4280868343350936E-3</v>
      </c>
      <c r="W100" s="1"/>
      <c r="X100" s="1">
        <f t="shared" ref="X100:X102" si="69">+P100-T100</f>
        <v>-515.95000000000005</v>
      </c>
      <c r="Y100" s="1"/>
      <c r="Z100" s="5">
        <f t="shared" ref="Z100:Z102" si="70">IF(T100=0,0,X100/T100)</f>
        <v>-0.42995833333333339</v>
      </c>
    </row>
    <row r="101" spans="1:26" s="24" customFormat="1" hidden="1" outlineLevel="2" x14ac:dyDescent="0.25">
      <c r="A101" s="26"/>
      <c r="B101" s="11" t="str">
        <f>CONCATENATE("          ", "6303", " - ", "DATA PHONE LINES")</f>
        <v xml:space="preserve">          6303 - DATA PHONE LINES</v>
      </c>
      <c r="C101" s="11"/>
      <c r="D101" s="6"/>
      <c r="E101" s="2"/>
      <c r="F101" s="7">
        <f t="shared" si="63"/>
        <v>0</v>
      </c>
      <c r="G101" s="2"/>
      <c r="H101" s="6">
        <v>100</v>
      </c>
      <c r="I101" s="2"/>
      <c r="J101" s="7">
        <f t="shared" si="64"/>
        <v>0.1221001221001221</v>
      </c>
      <c r="K101" s="2"/>
      <c r="L101" s="6">
        <f t="shared" si="65"/>
        <v>-100</v>
      </c>
      <c r="M101" s="2"/>
      <c r="N101" s="7">
        <f t="shared" si="66"/>
        <v>-1</v>
      </c>
      <c r="O101" s="11"/>
      <c r="P101" s="6"/>
      <c r="Q101" s="2"/>
      <c r="R101" s="7">
        <f t="shared" si="67"/>
        <v>0</v>
      </c>
      <c r="S101" s="2"/>
      <c r="T101" s="6">
        <v>1200</v>
      </c>
      <c r="U101" s="2"/>
      <c r="V101" s="7">
        <f t="shared" si="68"/>
        <v>7.4280868343350936E-3</v>
      </c>
      <c r="W101" s="2"/>
      <c r="X101" s="6">
        <f t="shared" si="69"/>
        <v>-1200</v>
      </c>
      <c r="Y101" s="2"/>
      <c r="Z101" s="7">
        <f t="shared" si="70"/>
        <v>-1</v>
      </c>
    </row>
    <row r="102" spans="1:26" s="24" customFormat="1" hidden="1" outlineLevel="2" x14ac:dyDescent="0.25">
      <c r="A102" s="26"/>
      <c r="B102" s="11" t="str">
        <f>CONCATENATE("          ", "6309", " - ", "TELEPHONE")</f>
        <v xml:space="preserve">          6309 - TELEPHONE</v>
      </c>
      <c r="C102" s="11"/>
      <c r="D102" s="6">
        <v>53</v>
      </c>
      <c r="E102" s="2"/>
      <c r="F102" s="7">
        <f t="shared" si="63"/>
        <v>0</v>
      </c>
      <c r="G102" s="2"/>
      <c r="H102" s="6"/>
      <c r="I102" s="2"/>
      <c r="J102" s="7">
        <f t="shared" si="64"/>
        <v>0</v>
      </c>
      <c r="K102" s="2"/>
      <c r="L102" s="6">
        <f t="shared" si="65"/>
        <v>53</v>
      </c>
      <c r="M102" s="2"/>
      <c r="N102" s="7">
        <f t="shared" si="66"/>
        <v>0</v>
      </c>
      <c r="O102" s="11"/>
      <c r="P102" s="6">
        <v>684.05</v>
      </c>
      <c r="Q102" s="2"/>
      <c r="R102" s="7">
        <f t="shared" si="67"/>
        <v>3.2097061175154561E-2</v>
      </c>
      <c r="S102" s="2"/>
      <c r="T102" s="6"/>
      <c r="U102" s="2"/>
      <c r="V102" s="7">
        <f t="shared" si="68"/>
        <v>0</v>
      </c>
      <c r="W102" s="2"/>
      <c r="X102" s="6">
        <f t="shared" si="69"/>
        <v>684.05</v>
      </c>
      <c r="Y102" s="2"/>
      <c r="Z102" s="7">
        <f t="shared" si="70"/>
        <v>0</v>
      </c>
    </row>
    <row r="103" spans="1:26" s="27" customFormat="1" outlineLevel="1" collapsed="1" x14ac:dyDescent="0.25">
      <c r="A103" s="25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SUM(OSRRefD22_13x_0)</f>
        <v>0</v>
      </c>
      <c r="E103" s="1"/>
      <c r="F103" s="5">
        <f t="shared" ref="F103:F104" si="71">IF(D$12=0,0,D103/D$12)</f>
        <v>0</v>
      </c>
      <c r="G103" s="1"/>
      <c r="H103" s="1">
        <f>SUM(OSRRefH22_13x_0)</f>
        <v>0</v>
      </c>
      <c r="I103" s="1"/>
      <c r="J103" s="5">
        <f t="shared" ref="J103:J104" si="72">IF(H$12=0,0,H103/H$12)</f>
        <v>0</v>
      </c>
      <c r="K103" s="1"/>
      <c r="L103" s="1">
        <f t="shared" ref="L103:L104" si="73">+D103-H103</f>
        <v>0</v>
      </c>
      <c r="M103" s="1"/>
      <c r="N103" s="5">
        <f t="shared" ref="N103:N104" si="74">IF(H103=0,0,L103/H103)</f>
        <v>0</v>
      </c>
      <c r="O103" s="13"/>
      <c r="P103" s="1">
        <f>SUM(OSRRefP22_13x_0)</f>
        <v>14</v>
      </c>
      <c r="Q103" s="1"/>
      <c r="R103" s="5">
        <f t="shared" ref="R103:R104" si="75">IF(P$12=0,0,P103/P$12)</f>
        <v>6.5690937278293094E-4</v>
      </c>
      <c r="S103" s="1"/>
      <c r="T103" s="1">
        <f>SUM(OSRRefT22_13x_0)</f>
        <v>120</v>
      </c>
      <c r="U103" s="1"/>
      <c r="V103" s="5">
        <f t="shared" ref="V103:V104" si="76">IF(T$12=0,0,T103/T$12)</f>
        <v>7.428086834335093E-4</v>
      </c>
      <c r="W103" s="1"/>
      <c r="X103" s="1">
        <f t="shared" ref="X103:X104" si="77">+P103-T103</f>
        <v>-106</v>
      </c>
      <c r="Y103" s="1"/>
      <c r="Z103" s="5">
        <f t="shared" ref="Z103:Z104" si="78">IF(T103=0,0,X103/T103)</f>
        <v>-0.8833333333333333</v>
      </c>
    </row>
    <row r="104" spans="1:26" s="24" customFormat="1" hidden="1" outlineLevel="2" x14ac:dyDescent="0.25">
      <c r="A104" s="26"/>
      <c r="B104" s="11" t="str">
        <f>CONCATENATE("          ", "6376", " - ", "TRAINING")</f>
        <v xml:space="preserve">          6376 - TRAINING</v>
      </c>
      <c r="C104" s="11"/>
      <c r="D104" s="6"/>
      <c r="E104" s="2"/>
      <c r="F104" s="7">
        <f t="shared" si="71"/>
        <v>0</v>
      </c>
      <c r="G104" s="2"/>
      <c r="H104" s="6"/>
      <c r="I104" s="2"/>
      <c r="J104" s="7">
        <f t="shared" si="72"/>
        <v>0</v>
      </c>
      <c r="K104" s="2"/>
      <c r="L104" s="6">
        <f t="shared" si="73"/>
        <v>0</v>
      </c>
      <c r="M104" s="2"/>
      <c r="N104" s="7">
        <f t="shared" si="74"/>
        <v>0</v>
      </c>
      <c r="O104" s="11"/>
      <c r="P104" s="6">
        <v>14</v>
      </c>
      <c r="Q104" s="2"/>
      <c r="R104" s="7">
        <f t="shared" si="75"/>
        <v>6.5690937278293094E-4</v>
      </c>
      <c r="S104" s="2"/>
      <c r="T104" s="6">
        <v>120</v>
      </c>
      <c r="U104" s="2"/>
      <c r="V104" s="7">
        <f t="shared" si="76"/>
        <v>7.428086834335093E-4</v>
      </c>
      <c r="W104" s="2"/>
      <c r="X104" s="6">
        <f t="shared" si="77"/>
        <v>-106</v>
      </c>
      <c r="Y104" s="2"/>
      <c r="Z104" s="7">
        <f t="shared" si="78"/>
        <v>-0.8833333333333333</v>
      </c>
    </row>
    <row r="105" spans="1:26" s="61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x14ac:dyDescent="0.25">
      <c r="A106" s="10"/>
      <c r="B106" s="29" t="s">
        <v>293</v>
      </c>
      <c r="C106" s="10"/>
      <c r="D106" s="4">
        <f>SUM(0)</f>
        <v>0</v>
      </c>
      <c r="E106" s="4"/>
      <c r="F106" s="12">
        <f>IF(D$12=0,0,D106/D$12)</f>
        <v>0</v>
      </c>
      <c r="G106" s="4"/>
      <c r="H106" s="4">
        <f>SUM(0)</f>
        <v>0</v>
      </c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>
        <f>SUM(0)</f>
        <v>0</v>
      </c>
      <c r="Q106" s="4"/>
      <c r="R106" s="12">
        <f>IF(P$12=0,0,P106/P$12)</f>
        <v>0</v>
      </c>
      <c r="S106" s="4"/>
      <c r="T106" s="4">
        <f>SUM(0)</f>
        <v>0</v>
      </c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277</v>
      </c>
      <c r="C108" s="28"/>
      <c r="D108" s="20">
        <f>+D50-D52+D106</f>
        <v>-175083.1</v>
      </c>
      <c r="E108" s="14"/>
      <c r="F108" s="22">
        <f>IF(D$12=0,0,D108/D$12)</f>
        <v>0</v>
      </c>
      <c r="G108" s="14"/>
      <c r="H108" s="20">
        <f>+H50-H52+H106</f>
        <v>-7896.0878627000002</v>
      </c>
      <c r="I108" s="14"/>
      <c r="J108" s="22">
        <f>IF(H$12=0,0,H108/H$12)</f>
        <v>-9.6411329214896213</v>
      </c>
      <c r="K108" s="16"/>
      <c r="L108" s="20">
        <f>+D108-H108</f>
        <v>-167187.01213730001</v>
      </c>
      <c r="M108" s="16"/>
      <c r="N108" s="22">
        <f>IF(H108=0,0,L108/H108)</f>
        <v>21.173398149109733</v>
      </c>
      <c r="O108" s="29"/>
      <c r="P108" s="20">
        <f>+P50-P52+P106</f>
        <v>-180346.55999999997</v>
      </c>
      <c r="Q108" s="14"/>
      <c r="R108" s="22">
        <f>IF(P$12=0,0,P108/P$12)</f>
        <v>-8.4622389723685139</v>
      </c>
      <c r="S108" s="14"/>
      <c r="T108" s="20">
        <f>+T50-T52+T106</f>
        <v>-74085.405286699999</v>
      </c>
      <c r="U108" s="14"/>
      <c r="V108" s="22">
        <f>IF(T$12=0,0,T108/T$12)</f>
        <v>-0.45859401968876318</v>
      </c>
      <c r="W108" s="16"/>
      <c r="X108" s="20">
        <f>+P108-T108</f>
        <v>-106261.15471329997</v>
      </c>
      <c r="Y108" s="16"/>
      <c r="Z108" s="22">
        <f>IF(T108=0,0,X108/T108)</f>
        <v>1.4343061808474205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1344.87</v>
      </c>
      <c r="E110" s="4"/>
      <c r="F110" s="12">
        <f>IF(D$12=0,0,D110/D$12)</f>
        <v>0</v>
      </c>
      <c r="G110" s="4"/>
      <c r="H110" s="4">
        <v>-2526</v>
      </c>
      <c r="I110" s="4"/>
      <c r="J110" s="12">
        <f>IF(H$12=0,0,H110/H$12)</f>
        <v>-3.0842490842490844</v>
      </c>
      <c r="K110" s="4"/>
      <c r="L110" s="4">
        <f>+D110-H110</f>
        <v>3870.87</v>
      </c>
      <c r="M110" s="4"/>
      <c r="N110" s="12">
        <f>IF(H110=0,0,L110/H110)</f>
        <v>-1.5324109263657957</v>
      </c>
      <c r="O110" s="10"/>
      <c r="P110" s="4">
        <v>5899.03</v>
      </c>
      <c r="Q110" s="4"/>
      <c r="R110" s="12">
        <f>IF(P$12=0,0,P110/P$12)</f>
        <v>0.27679486409483522</v>
      </c>
      <c r="S110" s="4"/>
      <c r="T110" s="4">
        <v>27298</v>
      </c>
      <c r="U110" s="4"/>
      <c r="V110" s="12">
        <f>IF(T$12=0,0,T110/T$12)</f>
        <v>0.16897659533639947</v>
      </c>
      <c r="W110" s="4"/>
      <c r="X110" s="4">
        <f>+P110-T110</f>
        <v>-21398.97</v>
      </c>
      <c r="Y110" s="4"/>
      <c r="Z110" s="12">
        <f>IF(T110=0,0,X110/T110)</f>
        <v>-0.78390248369843951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126</v>
      </c>
      <c r="C112" s="28"/>
      <c r="D112" s="34">
        <f>+D108-D110</f>
        <v>-176427.97</v>
      </c>
      <c r="E112" s="14"/>
      <c r="F112" s="35">
        <f>IF(D$12=0,0,D112/D$12)</f>
        <v>0</v>
      </c>
      <c r="G112" s="14"/>
      <c r="H112" s="34">
        <f>+H108-H110</f>
        <v>-5370.0878627000002</v>
      </c>
      <c r="I112" s="14"/>
      <c r="J112" s="35">
        <f>IF(H$12=0,0,H112/H$12)</f>
        <v>-6.5568838372405374</v>
      </c>
      <c r="K112" s="16"/>
      <c r="L112" s="34">
        <f>D112-H112</f>
        <v>-171057.88213730001</v>
      </c>
      <c r="M112" s="16"/>
      <c r="N112" s="35">
        <f>IF(H112=0,0,L112/H112)</f>
        <v>31.853833030451508</v>
      </c>
      <c r="O112" s="29"/>
      <c r="P112" s="34">
        <f>+P108-P110</f>
        <v>-186245.58999999997</v>
      </c>
      <c r="Q112" s="14"/>
      <c r="R112" s="35">
        <f>IF(P$12=0,0,P112/P$12)</f>
        <v>-8.7390338364633493</v>
      </c>
      <c r="S112" s="14"/>
      <c r="T112" s="34">
        <f>+T108-T110</f>
        <v>-101383.4052867</v>
      </c>
      <c r="U112" s="14"/>
      <c r="V112" s="35">
        <f>IF(T$12=0,0,T112/T$12)</f>
        <v>-0.62757061502516265</v>
      </c>
      <c r="W112" s="16"/>
      <c r="X112" s="34">
        <f>P112-T112</f>
        <v>-84862.184713299968</v>
      </c>
      <c r="Y112" s="16"/>
      <c r="Z112" s="35">
        <f>IF(T112=0,0,X112/T112)</f>
        <v>0.83704216161727829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294</v>
      </c>
      <c r="C115" s="28"/>
      <c r="D115" s="33">
        <f>SUM(D112:D114)</f>
        <v>-176427.97</v>
      </c>
      <c r="E115" s="14"/>
      <c r="F115" s="31">
        <f>IF(D$12=0,0,D115/D$12)</f>
        <v>0</v>
      </c>
      <c r="G115" s="14"/>
      <c r="H115" s="33">
        <f>SUM(H112:H114)</f>
        <v>-5370.0878627000002</v>
      </c>
      <c r="I115" s="14"/>
      <c r="J115" s="31">
        <f>IF(H$12=0,0,H115/H$12)</f>
        <v>-6.5568838372405374</v>
      </c>
      <c r="K115" s="16"/>
      <c r="L115" s="33">
        <f>+D115-H115</f>
        <v>-171057.88213730001</v>
      </c>
      <c r="M115" s="16"/>
      <c r="N115" s="31">
        <f>IF(H115=0,0,L115/H115)</f>
        <v>31.853833030451508</v>
      </c>
      <c r="O115" s="29"/>
      <c r="P115" s="33">
        <f>SUM(P112:P114)</f>
        <v>-186245.58999999997</v>
      </c>
      <c r="Q115" s="14"/>
      <c r="R115" s="31">
        <f>IF(P$12=0,0,P115/P$12)</f>
        <v>-8.7390338364633493</v>
      </c>
      <c r="S115" s="14"/>
      <c r="T115" s="33">
        <f>SUM(T112:T114)</f>
        <v>-101383.4052867</v>
      </c>
      <c r="U115" s="14"/>
      <c r="V115" s="31">
        <f>IF(T$12=0,0,T115/T$12)</f>
        <v>-0.62757061502516265</v>
      </c>
      <c r="W115" s="16"/>
      <c r="X115" s="33">
        <f>+P115-T115</f>
        <v>-84862.184713299968</v>
      </c>
      <c r="Y115" s="16"/>
      <c r="Z115" s="31">
        <f>IF(T115=0,0,X115/T115)</f>
        <v>0.83704216161727829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6">
        <v>44454.686114004631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5" t="s">
        <v>56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3"/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819</v>
      </c>
      <c r="I12" s="4"/>
      <c r="J12" s="12"/>
      <c r="K12" s="4"/>
      <c r="L12" s="4">
        <f t="shared" ref="L12:L23" si="0">+D12-H12</f>
        <v>-819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161549</v>
      </c>
      <c r="U12" s="4"/>
      <c r="V12" s="12"/>
      <c r="W12" s="4"/>
      <c r="X12" s="4">
        <f t="shared" ref="X12:X23" si="2">+P12-T12</f>
        <v>-140237.08000000002</v>
      </c>
      <c r="Y12" s="4"/>
      <c r="Z12" s="12">
        <f t="shared" ref="Z12:Z23" si="3">IF(T12=0,0,X12/T12)</f>
        <v>-0.86807767302799776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819</v>
      </c>
      <c r="I20" s="2"/>
      <c r="J20" s="19"/>
      <c r="K20" s="2"/>
      <c r="L20" s="2">
        <f t="shared" si="0"/>
        <v>-819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161549</v>
      </c>
      <c r="U20" s="2"/>
      <c r="V20" s="19"/>
      <c r="W20" s="2"/>
      <c r="X20" s="2">
        <f t="shared" si="2"/>
        <v>-161549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--1847.16</f>
        <v>1847.16</v>
      </c>
      <c r="Q21" s="2"/>
      <c r="R21" s="19"/>
      <c r="S21" s="2"/>
      <c r="T21" s="2"/>
      <c r="U21" s="2"/>
      <c r="V21" s="19"/>
      <c r="W21" s="2"/>
      <c r="X21" s="2">
        <f t="shared" si="2"/>
        <v>1847.16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-159.97</f>
        <v>-159.97</v>
      </c>
      <c r="Q22" s="2"/>
      <c r="R22" s="19"/>
      <c r="S22" s="2"/>
      <c r="T22" s="2"/>
      <c r="U22" s="2"/>
      <c r="V22" s="19"/>
      <c r="W22" s="2"/>
      <c r="X22" s="2">
        <f t="shared" si="2"/>
        <v>-159.97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-222.2</f>
        <v>-222.2</v>
      </c>
      <c r="Q23" s="2"/>
      <c r="R23" s="19"/>
      <c r="S23" s="2"/>
      <c r="T23" s="2"/>
      <c r="U23" s="2"/>
      <c r="V23" s="19"/>
      <c r="W23" s="2"/>
      <c r="X23" s="2">
        <f t="shared" si="2"/>
        <v>-222.2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257</v>
      </c>
      <c r="C25" s="10"/>
      <c r="D25" s="4">
        <f>SUM(OSRRefD16x_0)</f>
        <v>174968.99000000002</v>
      </c>
      <c r="E25" s="4"/>
      <c r="F25" s="12">
        <f t="shared" ref="F25:F45" si="5">IF(D$12=0,0,D25/D$12)</f>
        <v>0</v>
      </c>
      <c r="G25" s="4"/>
      <c r="H25" s="4">
        <f>SUM(OSRRefH16x_0)</f>
        <v>650</v>
      </c>
      <c r="I25" s="4"/>
      <c r="J25" s="12">
        <f t="shared" ref="J25:J45" si="6">IF(H$12=0,0,H25/H$12)</f>
        <v>0.79365079365079361</v>
      </c>
      <c r="K25" s="4"/>
      <c r="L25" s="4">
        <f t="shared" ref="L25:L45" si="7">+D25-H25</f>
        <v>174318.99000000002</v>
      </c>
      <c r="M25" s="4"/>
      <c r="N25" s="12">
        <f t="shared" ref="N25:N45" si="8">IF(H25=0,0,L25/H25)</f>
        <v>268.18306153846157</v>
      </c>
      <c r="O25" s="10"/>
      <c r="P25" s="4">
        <f>SUM(OSRRefP16x_0)</f>
        <v>188790.50999999998</v>
      </c>
      <c r="Q25" s="4"/>
      <c r="R25" s="12">
        <f t="shared" ref="R25:R45" si="9">IF(P$12=0,0,P25/P$12)</f>
        <v>8.8584468222478314</v>
      </c>
      <c r="S25" s="4"/>
      <c r="T25" s="4">
        <f>SUM(OSRRefT16x_0)</f>
        <v>82136</v>
      </c>
      <c r="U25" s="4"/>
      <c r="V25" s="12">
        <f t="shared" ref="V25:V45" si="10">IF(T$12=0,0,T25/T$12)</f>
        <v>0.50842778352078932</v>
      </c>
      <c r="W25" s="4"/>
      <c r="X25" s="4">
        <f t="shared" ref="X25:X45" si="11">+P25-T25</f>
        <v>106654.50999999998</v>
      </c>
      <c r="Y25" s="4"/>
      <c r="Z25" s="12">
        <f t="shared" ref="Z25:Z45" si="12">IF(T25=0,0,X25/T25)</f>
        <v>1.298511127885458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5"/>
        <v>0</v>
      </c>
      <c r="G26" s="2"/>
      <c r="H26" s="2">
        <v>650</v>
      </c>
      <c r="I26" s="2"/>
      <c r="J26" s="19">
        <f t="shared" si="6"/>
        <v>0.79365079365079361</v>
      </c>
      <c r="K26" s="2"/>
      <c r="L26" s="2">
        <f t="shared" si="7"/>
        <v>-650</v>
      </c>
      <c r="M26" s="2"/>
      <c r="N26" s="19">
        <f t="shared" si="8"/>
        <v>-1</v>
      </c>
      <c r="O26" s="11"/>
      <c r="P26" s="2"/>
      <c r="Q26" s="2"/>
      <c r="R26" s="19">
        <f t="shared" si="9"/>
        <v>0</v>
      </c>
      <c r="S26" s="2"/>
      <c r="T26" s="2">
        <v>82136</v>
      </c>
      <c r="U26" s="2"/>
      <c r="V26" s="19">
        <f t="shared" si="10"/>
        <v>0.50842778352078932</v>
      </c>
      <c r="W26" s="2"/>
      <c r="X26" s="2">
        <f t="shared" si="11"/>
        <v>-82136</v>
      </c>
      <c r="Y26" s="2"/>
      <c r="Z26" s="19">
        <f t="shared" si="12"/>
        <v>-1</v>
      </c>
    </row>
    <row r="27" spans="1:26" s="24" customFormat="1" hidden="1" outlineLevel="1" x14ac:dyDescent="0.25">
      <c r="A27" s="44"/>
      <c r="B27" s="11" t="str">
        <f>CONCATENATE("          ", "5025", " - ", "PURCHASES @ COST-TEST FORMS")</f>
        <v xml:space="preserve">          5025 - PURCHASES @ COST-TEST FORMS</v>
      </c>
      <c r="C27" s="11"/>
      <c r="D27" s="2">
        <v>161</v>
      </c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161</v>
      </c>
      <c r="M27" s="2"/>
      <c r="N27" s="19">
        <f t="shared" si="8"/>
        <v>0</v>
      </c>
      <c r="O27" s="11"/>
      <c r="P27" s="2">
        <v>161</v>
      </c>
      <c r="Q27" s="2"/>
      <c r="R27" s="19">
        <f t="shared" si="9"/>
        <v>7.5544577870037058E-3</v>
      </c>
      <c r="S27" s="2"/>
      <c r="T27" s="2"/>
      <c r="U27" s="2"/>
      <c r="V27" s="19">
        <f t="shared" si="10"/>
        <v>0</v>
      </c>
      <c r="W27" s="2"/>
      <c r="X27" s="2">
        <f t="shared" si="11"/>
        <v>161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>
        <v>1610.02</v>
      </c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1610.02</v>
      </c>
      <c r="M28" s="2"/>
      <c r="N28" s="19">
        <f t="shared" si="8"/>
        <v>0</v>
      </c>
      <c r="O28" s="11"/>
      <c r="P28" s="2">
        <v>1974.93</v>
      </c>
      <c r="Q28" s="2"/>
      <c r="R28" s="19">
        <f t="shared" si="9"/>
        <v>9.2667859113585271E-2</v>
      </c>
      <c r="S28" s="2"/>
      <c r="T28" s="2"/>
      <c r="U28" s="2"/>
      <c r="V28" s="19">
        <f t="shared" si="10"/>
        <v>0</v>
      </c>
      <c r="W28" s="2"/>
      <c r="X28" s="2">
        <f t="shared" si="11"/>
        <v>1974.93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>
        <v>1842.47</v>
      </c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1842.47</v>
      </c>
      <c r="M29" s="2"/>
      <c r="N29" s="19">
        <f t="shared" si="8"/>
        <v>0</v>
      </c>
      <c r="O29" s="11"/>
      <c r="P29" s="2">
        <v>2737.94</v>
      </c>
      <c r="Q29" s="2"/>
      <c r="R29" s="19">
        <f t="shared" si="9"/>
        <v>0.12846988915123556</v>
      </c>
      <c r="S29" s="2"/>
      <c r="T29" s="2"/>
      <c r="U29" s="2"/>
      <c r="V29" s="19">
        <f t="shared" si="10"/>
        <v>0</v>
      </c>
      <c r="W29" s="2"/>
      <c r="X29" s="2">
        <f t="shared" si="11"/>
        <v>2737.94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>
        <v>92180.17</v>
      </c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92180.17</v>
      </c>
      <c r="M30" s="2"/>
      <c r="N30" s="19">
        <f t="shared" si="8"/>
        <v>0</v>
      </c>
      <c r="O30" s="11"/>
      <c r="P30" s="2">
        <v>133622.01999999999</v>
      </c>
      <c r="Q30" s="2"/>
      <c r="R30" s="19">
        <f t="shared" si="9"/>
        <v>6.2698255248705888</v>
      </c>
      <c r="S30" s="2"/>
      <c r="T30" s="2"/>
      <c r="U30" s="2"/>
      <c r="V30" s="19">
        <f t="shared" si="10"/>
        <v>0</v>
      </c>
      <c r="W30" s="2"/>
      <c r="X30" s="2">
        <f t="shared" si="11"/>
        <v>133622.01999999999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"5031", " - ", "PURCHASES @ COST-FOOD")</f>
        <v xml:space="preserve">          5031 - PURCHASES @ COST-FOOD</v>
      </c>
      <c r="C31" s="11"/>
      <c r="D31" s="2">
        <v>74968.09</v>
      </c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74968.09</v>
      </c>
      <c r="M31" s="2"/>
      <c r="N31" s="19">
        <f t="shared" si="8"/>
        <v>0</v>
      </c>
      <c r="O31" s="11"/>
      <c r="P31" s="2">
        <v>77409.66</v>
      </c>
      <c r="Q31" s="2"/>
      <c r="R31" s="19">
        <f t="shared" si="9"/>
        <v>3.63222365699571</v>
      </c>
      <c r="S31" s="2"/>
      <c r="T31" s="2"/>
      <c r="U31" s="2"/>
      <c r="V31" s="19">
        <f t="shared" si="10"/>
        <v>0</v>
      </c>
      <c r="W31" s="2"/>
      <c r="X31" s="2">
        <f t="shared" si="11"/>
        <v>77409.66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"5032", " - ", "PURCHASES @ COST-JUICE")</f>
        <v xml:space="preserve">          5032 - PURCHASES @ COST-JUICE</v>
      </c>
      <c r="C32" s="11"/>
      <c r="D32" s="2">
        <v>291</v>
      </c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291</v>
      </c>
      <c r="M32" s="2"/>
      <c r="N32" s="19">
        <f t="shared" si="8"/>
        <v>0</v>
      </c>
      <c r="O32" s="11"/>
      <c r="P32" s="2">
        <v>291</v>
      </c>
      <c r="Q32" s="2"/>
      <c r="R32" s="19">
        <f t="shared" si="9"/>
        <v>1.3654330534273779E-2</v>
      </c>
      <c r="S32" s="2"/>
      <c r="T32" s="2"/>
      <c r="U32" s="2"/>
      <c r="V32" s="19">
        <f t="shared" si="10"/>
        <v>0</v>
      </c>
      <c r="W32" s="2"/>
      <c r="X32" s="2">
        <f t="shared" si="11"/>
        <v>291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"5033", " - ", "PURCHASES @ COST-CANDY")</f>
        <v xml:space="preserve">          5033 - PURCHASES @ COST-CANDY</v>
      </c>
      <c r="C33" s="11"/>
      <c r="D33" s="2">
        <v>1266</v>
      </c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1266</v>
      </c>
      <c r="M33" s="2"/>
      <c r="N33" s="19">
        <f t="shared" si="8"/>
        <v>0</v>
      </c>
      <c r="O33" s="11"/>
      <c r="P33" s="2">
        <v>1266</v>
      </c>
      <c r="Q33" s="2"/>
      <c r="R33" s="19">
        <f t="shared" si="9"/>
        <v>5.9403376138799327E-2</v>
      </c>
      <c r="S33" s="2"/>
      <c r="T33" s="2"/>
      <c r="U33" s="2"/>
      <c r="V33" s="19">
        <f t="shared" si="10"/>
        <v>0</v>
      </c>
      <c r="W33" s="2"/>
      <c r="X33" s="2">
        <f t="shared" si="11"/>
        <v>1266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"5034", " - ", "PURCHASES @ COST-SODA")</f>
        <v xml:space="preserve">          5034 - PURCHASES @ COST-SODA</v>
      </c>
      <c r="C34" s="11"/>
      <c r="D34" s="2">
        <v>567</v>
      </c>
      <c r="E34" s="2"/>
      <c r="F34" s="19">
        <f t="shared" si="5"/>
        <v>0</v>
      </c>
      <c r="G34" s="2"/>
      <c r="H34" s="2"/>
      <c r="I34" s="2"/>
      <c r="J34" s="19">
        <f t="shared" si="6"/>
        <v>0</v>
      </c>
      <c r="K34" s="2"/>
      <c r="L34" s="2">
        <f t="shared" si="7"/>
        <v>567</v>
      </c>
      <c r="M34" s="2"/>
      <c r="N34" s="19">
        <f t="shared" si="8"/>
        <v>0</v>
      </c>
      <c r="O34" s="11"/>
      <c r="P34" s="2">
        <v>567</v>
      </c>
      <c r="Q34" s="2"/>
      <c r="R34" s="19">
        <f t="shared" si="9"/>
        <v>2.6604829597708702E-2</v>
      </c>
      <c r="S34" s="2"/>
      <c r="T34" s="2"/>
      <c r="U34" s="2"/>
      <c r="V34" s="19">
        <f t="shared" si="10"/>
        <v>0</v>
      </c>
      <c r="W34" s="2"/>
      <c r="X34" s="2">
        <f t="shared" si="11"/>
        <v>567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"5035", " - ", "PURCHASES @ COST-HEALTH &amp; BEAU")</f>
        <v xml:space="preserve">          5035 - PURCHASES @ COST-HEALTH &amp; BEAU</v>
      </c>
      <c r="C35" s="11"/>
      <c r="D35" s="2">
        <v>339</v>
      </c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339</v>
      </c>
      <c r="M35" s="2"/>
      <c r="N35" s="19">
        <f t="shared" si="8"/>
        <v>0</v>
      </c>
      <c r="O35" s="11"/>
      <c r="P35" s="2">
        <v>339</v>
      </c>
      <c r="Q35" s="2"/>
      <c r="R35" s="19">
        <f t="shared" si="9"/>
        <v>1.5906591240958112E-2</v>
      </c>
      <c r="S35" s="2"/>
      <c r="T35" s="2"/>
      <c r="U35" s="2"/>
      <c r="V35" s="19">
        <f t="shared" si="10"/>
        <v>0</v>
      </c>
      <c r="W35" s="2"/>
      <c r="X35" s="2">
        <f t="shared" si="11"/>
        <v>339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"5037", " - ", "PURCHASES @ COST-WATER")</f>
        <v xml:space="preserve">          5037 - PURCHASES @ COST-WATER</v>
      </c>
      <c r="C36" s="11"/>
      <c r="D36" s="2">
        <v>179.95</v>
      </c>
      <c r="E36" s="2"/>
      <c r="F36" s="19">
        <f t="shared" si="5"/>
        <v>0</v>
      </c>
      <c r="G36" s="2"/>
      <c r="H36" s="2"/>
      <c r="I36" s="2"/>
      <c r="J36" s="19">
        <f t="shared" si="6"/>
        <v>0</v>
      </c>
      <c r="K36" s="2"/>
      <c r="L36" s="2">
        <f t="shared" si="7"/>
        <v>179.95</v>
      </c>
      <c r="M36" s="2"/>
      <c r="N36" s="19">
        <f t="shared" si="8"/>
        <v>0</v>
      </c>
      <c r="O36" s="11"/>
      <c r="P36" s="2">
        <v>179.95</v>
      </c>
      <c r="Q36" s="2"/>
      <c r="R36" s="19">
        <f t="shared" si="9"/>
        <v>8.4436315451634578E-3</v>
      </c>
      <c r="S36" s="2"/>
      <c r="T36" s="2"/>
      <c r="U36" s="2"/>
      <c r="V36" s="19">
        <f t="shared" si="10"/>
        <v>0</v>
      </c>
      <c r="W36" s="2"/>
      <c r="X36" s="2">
        <f t="shared" si="11"/>
        <v>179.95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-6</v>
      </c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-6</v>
      </c>
      <c r="M37" s="2"/>
      <c r="N37" s="19">
        <f t="shared" si="8"/>
        <v>0</v>
      </c>
      <c r="O37" s="11"/>
      <c r="P37" s="2">
        <v>-6</v>
      </c>
      <c r="Q37" s="2"/>
      <c r="R37" s="19">
        <f t="shared" si="9"/>
        <v>-2.8153258833554183E-4</v>
      </c>
      <c r="S37" s="2"/>
      <c r="T37" s="2"/>
      <c r="U37" s="2"/>
      <c r="V37" s="19">
        <f t="shared" si="10"/>
        <v>0</v>
      </c>
      <c r="W37" s="2"/>
      <c r="X37" s="2">
        <f t="shared" si="11"/>
        <v>-6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"5081", " - ", "PURCHASES @ COST-ELECTRONICS")</f>
        <v xml:space="preserve">          5081 - PURCHASES @ COST-ELECTRONICS</v>
      </c>
      <c r="C38" s="11"/>
      <c r="D38" s="2">
        <v>227</v>
      </c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227</v>
      </c>
      <c r="M38" s="2"/>
      <c r="N38" s="19">
        <f t="shared" si="8"/>
        <v>0</v>
      </c>
      <c r="O38" s="11"/>
      <c r="P38" s="2">
        <v>227</v>
      </c>
      <c r="Q38" s="2"/>
      <c r="R38" s="19">
        <f t="shared" si="9"/>
        <v>1.0651316258694666E-2</v>
      </c>
      <c r="S38" s="2"/>
      <c r="T38" s="2"/>
      <c r="U38" s="2"/>
      <c r="V38" s="19">
        <f t="shared" si="10"/>
        <v>0</v>
      </c>
      <c r="W38" s="2"/>
      <c r="X38" s="2">
        <f t="shared" si="11"/>
        <v>227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"5082", " - ", "PURCHASES @ COST-COMPUTER HARD")</f>
        <v xml:space="preserve">          5082 - PURCHASES @ COST-COMPUTER HARD</v>
      </c>
      <c r="C39" s="11"/>
      <c r="D39" s="2">
        <v>972</v>
      </c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972</v>
      </c>
      <c r="M39" s="2"/>
      <c r="N39" s="19">
        <f t="shared" si="8"/>
        <v>0</v>
      </c>
      <c r="O39" s="11"/>
      <c r="P39" s="2">
        <v>972</v>
      </c>
      <c r="Q39" s="2"/>
      <c r="R39" s="19">
        <f t="shared" si="9"/>
        <v>4.5608279310357776E-2</v>
      </c>
      <c r="S39" s="2"/>
      <c r="T39" s="2"/>
      <c r="U39" s="2"/>
      <c r="V39" s="19">
        <f t="shared" si="10"/>
        <v>0</v>
      </c>
      <c r="W39" s="2"/>
      <c r="X39" s="2">
        <f t="shared" si="11"/>
        <v>972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"5083", " - ", "PURCHASES @ COST-COMPUTER EQUI")</f>
        <v xml:space="preserve">          5083 - PURCHASES @ COST-COMPUTER EQUI</v>
      </c>
      <c r="C40" s="11"/>
      <c r="D40" s="2">
        <v>170</v>
      </c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170</v>
      </c>
      <c r="M40" s="2"/>
      <c r="N40" s="19">
        <f t="shared" si="8"/>
        <v>0</v>
      </c>
      <c r="O40" s="11"/>
      <c r="P40" s="2">
        <v>170</v>
      </c>
      <c r="Q40" s="2"/>
      <c r="R40" s="19">
        <f t="shared" si="9"/>
        <v>7.976756669507019E-3</v>
      </c>
      <c r="S40" s="2"/>
      <c r="T40" s="2"/>
      <c r="U40" s="2"/>
      <c r="V40" s="19">
        <f t="shared" si="10"/>
        <v>0</v>
      </c>
      <c r="W40" s="2"/>
      <c r="X40" s="2">
        <f t="shared" si="11"/>
        <v>170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>
        <v>143</v>
      </c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143</v>
      </c>
      <c r="M41" s="2"/>
      <c r="N41" s="19">
        <f t="shared" si="8"/>
        <v>0</v>
      </c>
      <c r="O41" s="11"/>
      <c r="P41" s="2">
        <v>143</v>
      </c>
      <c r="Q41" s="2"/>
      <c r="R41" s="19">
        <f t="shared" si="9"/>
        <v>6.7098600219970802E-3</v>
      </c>
      <c r="S41" s="2"/>
      <c r="T41" s="2"/>
      <c r="U41" s="2"/>
      <c r="V41" s="19">
        <f t="shared" si="10"/>
        <v>0</v>
      </c>
      <c r="W41" s="2"/>
      <c r="X41" s="2">
        <f t="shared" si="11"/>
        <v>143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-45863.33</v>
      </c>
      <c r="Q42" s="2"/>
      <c r="R42" s="19">
        <f t="shared" si="9"/>
        <v>-2.1520036674311842</v>
      </c>
      <c r="S42" s="2"/>
      <c r="T42" s="2"/>
      <c r="U42" s="2"/>
      <c r="V42" s="19">
        <f t="shared" si="10"/>
        <v>0</v>
      </c>
      <c r="W42" s="2"/>
      <c r="X42" s="2">
        <f t="shared" si="11"/>
        <v>-45863.33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14145</v>
      </c>
      <c r="Q43" s="2"/>
      <c r="R43" s="19">
        <f t="shared" si="9"/>
        <v>0.66371307700103988</v>
      </c>
      <c r="S43" s="2"/>
      <c r="T43" s="2"/>
      <c r="U43" s="2"/>
      <c r="V43" s="19">
        <f t="shared" si="10"/>
        <v>0</v>
      </c>
      <c r="W43" s="2"/>
      <c r="X43" s="2">
        <f t="shared" si="11"/>
        <v>14145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"5527", " - ", "FREIGHT-IN-SCHOOL SUPPLIES")</f>
        <v xml:space="preserve">          5527 - FREIGHT-IN-SCHOOL SUPPLIES</v>
      </c>
      <c r="C44" s="11"/>
      <c r="D44" s="2">
        <v>58.29</v>
      </c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58.29</v>
      </c>
      <c r="M44" s="2"/>
      <c r="N44" s="19">
        <f t="shared" si="8"/>
        <v>0</v>
      </c>
      <c r="O44" s="11"/>
      <c r="P44" s="2">
        <v>58.29</v>
      </c>
      <c r="Q44" s="2"/>
      <c r="R44" s="19">
        <f t="shared" si="9"/>
        <v>2.7350890956797888E-3</v>
      </c>
      <c r="S44" s="2"/>
      <c r="T44" s="2"/>
      <c r="U44" s="2"/>
      <c r="V44" s="19">
        <f t="shared" si="10"/>
        <v>0</v>
      </c>
      <c r="W44" s="2"/>
      <c r="X44" s="2">
        <f t="shared" si="11"/>
        <v>58.29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"5528", " - ", "FREIGHT-IN-ART/TECH")</f>
        <v xml:space="preserve">          5528 - FREIGHT-IN-ART/TECH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396.05</v>
      </c>
      <c r="Q45" s="2"/>
      <c r="R45" s="19">
        <f t="shared" si="9"/>
        <v>1.8583496935048557E-2</v>
      </c>
      <c r="S45" s="2"/>
      <c r="T45" s="2"/>
      <c r="U45" s="2"/>
      <c r="V45" s="19">
        <f t="shared" si="10"/>
        <v>0</v>
      </c>
      <c r="W45" s="2"/>
      <c r="X45" s="2">
        <f t="shared" si="11"/>
        <v>396.05</v>
      </c>
      <c r="Y45" s="2"/>
      <c r="Z45" s="19">
        <f t="shared" si="12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8" t="s">
        <v>108</v>
      </c>
      <c r="C47" s="28"/>
      <c r="D47" s="20">
        <f>D12-D25</f>
        <v>-174968.99000000002</v>
      </c>
      <c r="E47" s="14"/>
      <c r="F47" s="22">
        <f>IF(D$12=0,0,D47/D$12)</f>
        <v>0</v>
      </c>
      <c r="G47" s="14"/>
      <c r="H47" s="20">
        <f>H12-H25</f>
        <v>169</v>
      </c>
      <c r="I47" s="14"/>
      <c r="J47" s="22">
        <f>IF(H$12=0,0,H47/H$12)</f>
        <v>0.20634920634920634</v>
      </c>
      <c r="K47" s="16"/>
      <c r="L47" s="20">
        <f>+D47-H47</f>
        <v>-175137.99000000002</v>
      </c>
      <c r="M47" s="16"/>
      <c r="N47" s="22">
        <f>IF(H47=0,0,L47/H47)</f>
        <v>-1036.3194674556214</v>
      </c>
      <c r="O47" s="29"/>
      <c r="P47" s="20">
        <f>P12-P25</f>
        <v>-167478.58999999997</v>
      </c>
      <c r="Q47" s="14"/>
      <c r="R47" s="22">
        <f>IF(P$12=0,0,P47/P$12)</f>
        <v>-7.8584468222478305</v>
      </c>
      <c r="S47" s="14"/>
      <c r="T47" s="20">
        <f>T12-T25</f>
        <v>79413</v>
      </c>
      <c r="U47" s="14"/>
      <c r="V47" s="22">
        <f>IF(T$12=0,0,T47/T$12)</f>
        <v>0.49157221647921062</v>
      </c>
      <c r="W47" s="16"/>
      <c r="X47" s="20">
        <f>+P47-T47</f>
        <v>-246891.58999999997</v>
      </c>
      <c r="Y47" s="16"/>
      <c r="Z47" s="22">
        <f>IF(T47=0,0,X47/T47)</f>
        <v>-3.1089568458564716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9" t="s">
        <v>295</v>
      </c>
      <c r="C49" s="10"/>
      <c r="D49" s="21">
        <f>SUM(OSRRefD22x_0)</f>
        <v>114.11</v>
      </c>
      <c r="E49" s="21"/>
      <c r="F49" s="30">
        <f t="shared" ref="F49:F58" si="13">IF(D$12=0,0,D49/D$12)</f>
        <v>0</v>
      </c>
      <c r="G49" s="21"/>
      <c r="H49" s="21">
        <f>SUM(OSRRefH22x_0)</f>
        <v>8065.0878627000002</v>
      </c>
      <c r="I49" s="21"/>
      <c r="J49" s="30">
        <f t="shared" ref="J49:J58" si="14">IF(H$12=0,0,H49/H$12)</f>
        <v>9.8474821278388287</v>
      </c>
      <c r="K49" s="4"/>
      <c r="L49" s="21">
        <f t="shared" ref="L49:L58" si="15">+D49-H49</f>
        <v>-7950.9778627000005</v>
      </c>
      <c r="M49" s="4"/>
      <c r="N49" s="30">
        <f t="shared" ref="N49:N58" si="16">IF(H49=0,0,L49/H49)</f>
        <v>-0.98585136306725885</v>
      </c>
      <c r="O49" s="10"/>
      <c r="P49" s="21">
        <f>SUM(OSRRefP22x_0)</f>
        <v>12867.969999999998</v>
      </c>
      <c r="Q49" s="21"/>
      <c r="R49" s="30">
        <f t="shared" ref="R49:R58" si="17">IF(P$12=0,0,P49/P$12)</f>
        <v>0.60379215012068355</v>
      </c>
      <c r="S49" s="21"/>
      <c r="T49" s="21">
        <f>SUM(OSRRefT22x_0)</f>
        <v>153498.4052867</v>
      </c>
      <c r="U49" s="21"/>
      <c r="V49" s="30">
        <f t="shared" ref="V49:V58" si="18">IF(T$12=0,0,T49/T$12)</f>
        <v>0.9501662361679738</v>
      </c>
      <c r="W49" s="4"/>
      <c r="X49" s="21">
        <f t="shared" ref="X49:X58" si="19">+P49-T49</f>
        <v>-140630.4352867</v>
      </c>
      <c r="Y49" s="4"/>
      <c r="Z49" s="30">
        <f t="shared" ref="Z49:Z58" si="20">IF(T49=0,0,X49/T49)</f>
        <v>-0.91616870562293096</v>
      </c>
    </row>
    <row r="50" spans="1:26" s="27" customFormat="1" outlineLevel="1" collapsed="1" x14ac:dyDescent="0.25">
      <c r="A50" s="25"/>
      <c r="B50" s="13" t="str">
        <f>CONCATENATE("     ","*Benefits                                         ")</f>
        <v xml:space="preserve">     *Benefits                                         </v>
      </c>
      <c r="C50" s="13"/>
      <c r="D50" s="1">
        <f>SUM(OSRRefD22_0x_0)</f>
        <v>0</v>
      </c>
      <c r="E50" s="1"/>
      <c r="F50" s="5">
        <f t="shared" si="13"/>
        <v>0</v>
      </c>
      <c r="G50" s="1"/>
      <c r="H50" s="1">
        <f>SUM(OSRRefH22_0x_0)</f>
        <v>1781.7978627</v>
      </c>
      <c r="I50" s="1"/>
      <c r="J50" s="5">
        <f t="shared" si="14"/>
        <v>2.1755773659340658</v>
      </c>
      <c r="K50" s="1"/>
      <c r="L50" s="1">
        <f t="shared" si="15"/>
        <v>-1781.7978627</v>
      </c>
      <c r="M50" s="1"/>
      <c r="N50" s="5">
        <f t="shared" si="16"/>
        <v>-1</v>
      </c>
      <c r="O50" s="13"/>
      <c r="P50" s="1">
        <f>SUM(OSRRefP22_0x_0)</f>
        <v>778.2</v>
      </c>
      <c r="Q50" s="1"/>
      <c r="R50" s="5">
        <f t="shared" si="17"/>
        <v>3.6514776707119778E-2</v>
      </c>
      <c r="S50" s="1"/>
      <c r="T50" s="1">
        <f>SUM(OSRRefT22_0x_0)</f>
        <v>24460.185286700002</v>
      </c>
      <c r="U50" s="1"/>
      <c r="V50" s="5">
        <f t="shared" si="18"/>
        <v>0.15141031691127771</v>
      </c>
      <c r="W50" s="1"/>
      <c r="X50" s="1">
        <f t="shared" si="19"/>
        <v>-23681.985286700001</v>
      </c>
      <c r="Y50" s="1"/>
      <c r="Z50" s="5">
        <f t="shared" si="20"/>
        <v>-0.96818503249756083</v>
      </c>
    </row>
    <row r="51" spans="1:26" s="24" customFormat="1" hidden="1" outlineLevel="2" x14ac:dyDescent="0.25">
      <c r="A51" s="26"/>
      <c r="B51" s="11" t="str">
        <f>CONCATENATE("          ", "6111", " - ", "F.I.C.A.")</f>
        <v xml:space="preserve">          6111 - F.I.C.A.</v>
      </c>
      <c r="C51" s="11"/>
      <c r="D51" s="6"/>
      <c r="E51" s="2"/>
      <c r="F51" s="7">
        <f t="shared" si="13"/>
        <v>0</v>
      </c>
      <c r="G51" s="2"/>
      <c r="H51" s="6">
        <v>405.24854370000003</v>
      </c>
      <c r="I51" s="2"/>
      <c r="J51" s="7">
        <f t="shared" si="14"/>
        <v>0.49480896666666668</v>
      </c>
      <c r="K51" s="2"/>
      <c r="L51" s="6">
        <f t="shared" si="15"/>
        <v>-405.24854370000003</v>
      </c>
      <c r="M51" s="2"/>
      <c r="N51" s="7">
        <f t="shared" si="16"/>
        <v>-1</v>
      </c>
      <c r="O51" s="11"/>
      <c r="P51" s="6">
        <v>484.61</v>
      </c>
      <c r="Q51" s="2"/>
      <c r="R51" s="7">
        <f t="shared" si="17"/>
        <v>2.2738917938881154E-2</v>
      </c>
      <c r="S51" s="2"/>
      <c r="T51" s="6">
        <v>5500.7460447000003</v>
      </c>
      <c r="U51" s="2"/>
      <c r="V51" s="7">
        <f t="shared" si="18"/>
        <v>3.4050016061380757E-2</v>
      </c>
      <c r="W51" s="2"/>
      <c r="X51" s="6">
        <f t="shared" si="19"/>
        <v>-5016.1360447000006</v>
      </c>
      <c r="Y51" s="2"/>
      <c r="Z51" s="7">
        <f t="shared" si="20"/>
        <v>-0.91190104104752767</v>
      </c>
    </row>
    <row r="52" spans="1:26" s="24" customFormat="1" hidden="1" outlineLevel="2" x14ac:dyDescent="0.25">
      <c r="A52" s="26"/>
      <c r="B52" s="11" t="str">
        <f>CONCATENATE("          ", "6112", " - ", "COMPENSATION INSURANCE")</f>
        <v xml:space="preserve">          6112 - COMPENSATION INSURANCE</v>
      </c>
      <c r="C52" s="11"/>
      <c r="D52" s="6"/>
      <c r="E52" s="2"/>
      <c r="F52" s="7">
        <f t="shared" si="13"/>
        <v>0</v>
      </c>
      <c r="G52" s="2"/>
      <c r="H52" s="6">
        <v>97.962864999999994</v>
      </c>
      <c r="I52" s="2"/>
      <c r="J52" s="7">
        <f t="shared" si="14"/>
        <v>0.11961277777777778</v>
      </c>
      <c r="K52" s="2"/>
      <c r="L52" s="6">
        <f t="shared" si="15"/>
        <v>-97.962864999999994</v>
      </c>
      <c r="M52" s="2"/>
      <c r="N52" s="7">
        <f t="shared" si="16"/>
        <v>-1</v>
      </c>
      <c r="O52" s="11"/>
      <c r="P52" s="6">
        <v>255.57</v>
      </c>
      <c r="Q52" s="2"/>
      <c r="R52" s="7">
        <f t="shared" si="17"/>
        <v>1.1991880600152403E-2</v>
      </c>
      <c r="S52" s="2"/>
      <c r="T52" s="6">
        <v>1899.5840700000001</v>
      </c>
      <c r="U52" s="2"/>
      <c r="V52" s="7">
        <f t="shared" si="18"/>
        <v>1.1758562850899728E-2</v>
      </c>
      <c r="W52" s="2"/>
      <c r="X52" s="6">
        <f t="shared" si="19"/>
        <v>-1644.0140700000002</v>
      </c>
      <c r="Y52" s="2"/>
      <c r="Z52" s="7">
        <f t="shared" si="20"/>
        <v>-0.86546002146669931</v>
      </c>
    </row>
    <row r="53" spans="1:26" s="24" customFormat="1" hidden="1" outlineLevel="2" x14ac:dyDescent="0.25">
      <c r="A53" s="26"/>
      <c r="B53" s="11" t="str">
        <f>CONCATENATE("          ", "6113", " - ", "GROUP INSURANCE")</f>
        <v xml:space="preserve">          6113 - GROUP INSURANCE</v>
      </c>
      <c r="C53" s="11"/>
      <c r="D53" s="6"/>
      <c r="E53" s="2"/>
      <c r="F53" s="7">
        <f t="shared" si="13"/>
        <v>0</v>
      </c>
      <c r="G53" s="2"/>
      <c r="H53" s="6">
        <v>665</v>
      </c>
      <c r="I53" s="2"/>
      <c r="J53" s="7">
        <f t="shared" si="14"/>
        <v>0.81196581196581197</v>
      </c>
      <c r="K53" s="2"/>
      <c r="L53" s="6">
        <f t="shared" si="15"/>
        <v>-665</v>
      </c>
      <c r="M53" s="2"/>
      <c r="N53" s="7">
        <f t="shared" si="16"/>
        <v>-1</v>
      </c>
      <c r="O53" s="11"/>
      <c r="P53" s="6"/>
      <c r="Q53" s="2"/>
      <c r="R53" s="7">
        <f t="shared" si="17"/>
        <v>0</v>
      </c>
      <c r="S53" s="2"/>
      <c r="T53" s="6">
        <v>7980</v>
      </c>
      <c r="U53" s="2"/>
      <c r="V53" s="7">
        <f t="shared" si="18"/>
        <v>4.939677744832837E-2</v>
      </c>
      <c r="W53" s="2"/>
      <c r="X53" s="6">
        <f t="shared" si="19"/>
        <v>-7980</v>
      </c>
      <c r="Y53" s="2"/>
      <c r="Z53" s="7">
        <f t="shared" si="20"/>
        <v>-1</v>
      </c>
    </row>
    <row r="54" spans="1:26" s="24" customFormat="1" hidden="1" outlineLevel="2" x14ac:dyDescent="0.25">
      <c r="A54" s="26"/>
      <c r="B54" s="11" t="str">
        <f>CONCATENATE("          ", "6114", " - ", "STATE UNEMPLOYMENT INSURANCE")</f>
        <v xml:space="preserve">          6114 - STATE UNEMPLOYMENT INSURANCE</v>
      </c>
      <c r="C54" s="11"/>
      <c r="D54" s="6"/>
      <c r="E54" s="2"/>
      <c r="F54" s="7">
        <f t="shared" si="13"/>
        <v>0</v>
      </c>
      <c r="G54" s="2"/>
      <c r="H54" s="6">
        <v>13.767754</v>
      </c>
      <c r="I54" s="2"/>
      <c r="J54" s="7">
        <f t="shared" si="14"/>
        <v>1.6810444444444444E-2</v>
      </c>
      <c r="K54" s="2"/>
      <c r="L54" s="6">
        <f t="shared" si="15"/>
        <v>-13.767754</v>
      </c>
      <c r="M54" s="2"/>
      <c r="N54" s="7">
        <f t="shared" si="16"/>
        <v>-1</v>
      </c>
      <c r="O54" s="11"/>
      <c r="P54" s="6">
        <v>38.020000000000003</v>
      </c>
      <c r="Q54" s="2"/>
      <c r="R54" s="7">
        <f t="shared" si="17"/>
        <v>1.7839781680862169E-3</v>
      </c>
      <c r="S54" s="2"/>
      <c r="T54" s="6">
        <v>266.96857199999999</v>
      </c>
      <c r="U54" s="2"/>
      <c r="V54" s="7">
        <f t="shared" si="18"/>
        <v>1.6525547790453669E-3</v>
      </c>
      <c r="W54" s="2"/>
      <c r="X54" s="6">
        <f t="shared" si="19"/>
        <v>-228.94857199999998</v>
      </c>
      <c r="Y54" s="2"/>
      <c r="Z54" s="7">
        <f t="shared" si="20"/>
        <v>-0.85758623303420145</v>
      </c>
    </row>
    <row r="55" spans="1:26" s="24" customFormat="1" hidden="1" outlineLevel="2" x14ac:dyDescent="0.25">
      <c r="A55" s="26"/>
      <c r="B55" s="11" t="str">
        <f>CONCATENATE("          ", "6115", " - ", "P.E.R.S.")</f>
        <v xml:space="preserve">          6115 - P.E.R.S.</v>
      </c>
      <c r="C55" s="11"/>
      <c r="D55" s="6"/>
      <c r="E55" s="2"/>
      <c r="F55" s="7">
        <f t="shared" si="13"/>
        <v>0</v>
      </c>
      <c r="G55" s="2"/>
      <c r="H55" s="6">
        <v>357.76</v>
      </c>
      <c r="I55" s="2"/>
      <c r="J55" s="7">
        <f t="shared" si="14"/>
        <v>0.43682539682539684</v>
      </c>
      <c r="K55" s="2"/>
      <c r="L55" s="6">
        <f t="shared" si="15"/>
        <v>-357.76</v>
      </c>
      <c r="M55" s="2"/>
      <c r="N55" s="7">
        <f t="shared" si="16"/>
        <v>-1</v>
      </c>
      <c r="O55" s="11"/>
      <c r="P55" s="6"/>
      <c r="Q55" s="2"/>
      <c r="R55" s="7">
        <f t="shared" si="17"/>
        <v>0</v>
      </c>
      <c r="S55" s="2"/>
      <c r="T55" s="6">
        <v>4650.88</v>
      </c>
      <c r="U55" s="2"/>
      <c r="V55" s="7">
        <f t="shared" si="18"/>
        <v>2.8789283746726999E-2</v>
      </c>
      <c r="W55" s="2"/>
      <c r="X55" s="6">
        <f t="shared" si="19"/>
        <v>-4650.88</v>
      </c>
      <c r="Y55" s="2"/>
      <c r="Z55" s="7">
        <f t="shared" si="20"/>
        <v>-1</v>
      </c>
    </row>
    <row r="56" spans="1:26" s="24" customFormat="1" hidden="1" outlineLevel="2" x14ac:dyDescent="0.25">
      <c r="A56" s="26"/>
      <c r="B56" s="11" t="str">
        <f>CONCATENATE("          ", "6116", " - ", "EDUCATIONAL BENEFITS")</f>
        <v xml:space="preserve">          6116 - EDUCATIONAL BENEFITS</v>
      </c>
      <c r="C56" s="11"/>
      <c r="D56" s="6"/>
      <c r="E56" s="2"/>
      <c r="F56" s="7">
        <f t="shared" si="13"/>
        <v>0</v>
      </c>
      <c r="G56" s="2"/>
      <c r="H56" s="6">
        <v>0</v>
      </c>
      <c r="I56" s="2"/>
      <c r="J56" s="7">
        <f t="shared" si="14"/>
        <v>0</v>
      </c>
      <c r="K56" s="2"/>
      <c r="L56" s="6">
        <f t="shared" si="15"/>
        <v>0</v>
      </c>
      <c r="M56" s="2"/>
      <c r="N56" s="7">
        <f t="shared" si="16"/>
        <v>0</v>
      </c>
      <c r="O56" s="11"/>
      <c r="P56" s="6"/>
      <c r="Q56" s="2"/>
      <c r="R56" s="7">
        <f t="shared" si="17"/>
        <v>0</v>
      </c>
      <c r="S56" s="2"/>
      <c r="T56" s="6">
        <v>0</v>
      </c>
      <c r="U56" s="2"/>
      <c r="V56" s="7">
        <f t="shared" si="18"/>
        <v>0</v>
      </c>
      <c r="W56" s="2"/>
      <c r="X56" s="6">
        <f t="shared" si="19"/>
        <v>0</v>
      </c>
      <c r="Y56" s="2"/>
      <c r="Z56" s="7">
        <f t="shared" si="20"/>
        <v>0</v>
      </c>
    </row>
    <row r="57" spans="1:26" s="24" customFormat="1" hidden="1" outlineLevel="2" x14ac:dyDescent="0.25">
      <c r="A57" s="26"/>
      <c r="B57" s="11" t="str">
        <f>CONCATENATE("          ", "6118", " - ", "VACATION")</f>
        <v xml:space="preserve">          6118 - VACATION</v>
      </c>
      <c r="C57" s="11"/>
      <c r="D57" s="6"/>
      <c r="E57" s="2"/>
      <c r="F57" s="7">
        <f t="shared" si="13"/>
        <v>0</v>
      </c>
      <c r="G57" s="2"/>
      <c r="H57" s="6">
        <v>124.8</v>
      </c>
      <c r="I57" s="2"/>
      <c r="J57" s="7">
        <f t="shared" si="14"/>
        <v>0.15238095238095237</v>
      </c>
      <c r="K57" s="2"/>
      <c r="L57" s="6">
        <f t="shared" si="15"/>
        <v>-124.8</v>
      </c>
      <c r="M57" s="2"/>
      <c r="N57" s="7">
        <f t="shared" si="16"/>
        <v>-1</v>
      </c>
      <c r="O57" s="11"/>
      <c r="P57" s="6"/>
      <c r="Q57" s="2"/>
      <c r="R57" s="7">
        <f t="shared" si="17"/>
        <v>0</v>
      </c>
      <c r="S57" s="2"/>
      <c r="T57" s="6">
        <v>1622.4</v>
      </c>
      <c r="U57" s="2"/>
      <c r="V57" s="7">
        <f t="shared" si="18"/>
        <v>1.0042773400021047E-2</v>
      </c>
      <c r="W57" s="2"/>
      <c r="X57" s="6">
        <f t="shared" si="19"/>
        <v>-1622.4</v>
      </c>
      <c r="Y57" s="2"/>
      <c r="Z57" s="7">
        <f t="shared" si="20"/>
        <v>-1</v>
      </c>
    </row>
    <row r="58" spans="1:26" s="24" customFormat="1" hidden="1" outlineLevel="2" x14ac:dyDescent="0.25">
      <c r="A58" s="26"/>
      <c r="B58" s="11" t="str">
        <f>CONCATENATE("          ", "6119", " - ", "SICK LEAVE")</f>
        <v xml:space="preserve">          6119 - SICK LEAVE</v>
      </c>
      <c r="C58" s="11"/>
      <c r="D58" s="6"/>
      <c r="E58" s="2"/>
      <c r="F58" s="7">
        <f t="shared" si="13"/>
        <v>0</v>
      </c>
      <c r="G58" s="2"/>
      <c r="H58" s="6">
        <v>117.2587</v>
      </c>
      <c r="I58" s="2"/>
      <c r="J58" s="7">
        <f t="shared" si="14"/>
        <v>0.14317301587301587</v>
      </c>
      <c r="K58" s="2"/>
      <c r="L58" s="6">
        <f t="shared" si="15"/>
        <v>-117.2587</v>
      </c>
      <c r="M58" s="2"/>
      <c r="N58" s="7">
        <f t="shared" si="16"/>
        <v>-1</v>
      </c>
      <c r="O58" s="11"/>
      <c r="P58" s="6"/>
      <c r="Q58" s="2"/>
      <c r="R58" s="7">
        <f t="shared" si="17"/>
        <v>0</v>
      </c>
      <c r="S58" s="2"/>
      <c r="T58" s="6">
        <v>2539.6066000000001</v>
      </c>
      <c r="U58" s="2"/>
      <c r="V58" s="7">
        <f t="shared" si="18"/>
        <v>1.5720348624875424E-2</v>
      </c>
      <c r="W58" s="2"/>
      <c r="X58" s="6">
        <f t="shared" si="19"/>
        <v>-2539.6066000000001</v>
      </c>
      <c r="Y58" s="2"/>
      <c r="Z58" s="7">
        <f t="shared" si="20"/>
        <v>-1</v>
      </c>
    </row>
    <row r="59" spans="1:26" s="27" customFormat="1" outlineLevel="1" collapsed="1" x14ac:dyDescent="0.25">
      <c r="A59" s="25"/>
      <c r="B59" s="13" t="str">
        <f>CONCATENATE("     ","*Payroll                                          ")</f>
        <v xml:space="preserve">     *Payroll                                          </v>
      </c>
      <c r="C59" s="13"/>
      <c r="D59" s="1">
        <f>SUM(OSRRefD22_1x_0)</f>
        <v>0</v>
      </c>
      <c r="E59" s="1"/>
      <c r="F59" s="5">
        <f t="shared" ref="F59:F69" si="21">IF(D$12=0,0,D59/D$12)</f>
        <v>0</v>
      </c>
      <c r="G59" s="1"/>
      <c r="H59" s="1">
        <f>SUM(OSRRefH22_1x_0)</f>
        <v>5087.29</v>
      </c>
      <c r="I59" s="1"/>
      <c r="J59" s="5">
        <f t="shared" ref="J59:J69" si="22">IF(H$12=0,0,H59/H$12)</f>
        <v>6.2115873015873015</v>
      </c>
      <c r="K59" s="1"/>
      <c r="L59" s="1">
        <f t="shared" ref="L59:L69" si="23">+D59-H59</f>
        <v>-5087.29</v>
      </c>
      <c r="M59" s="1"/>
      <c r="N59" s="5">
        <f t="shared" ref="N59:N69" si="24">IF(H59=0,0,L59/H59)</f>
        <v>-1</v>
      </c>
      <c r="O59" s="13"/>
      <c r="P59" s="1">
        <f>SUM(OSRRefP22_1x_0)</f>
        <v>8152.5399999999991</v>
      </c>
      <c r="Q59" s="1"/>
      <c r="R59" s="5">
        <f t="shared" ref="R59:R69" si="25">IF(P$12=0,0,P59/P$12)</f>
        <v>0.38253428128483963</v>
      </c>
      <c r="S59" s="1"/>
      <c r="T59" s="1">
        <f>SUM(OSRRefT22_1x_0)</f>
        <v>99976.219999999987</v>
      </c>
      <c r="U59" s="1"/>
      <c r="V59" s="5">
        <f t="shared" ref="V59:V69" si="26">IF(T$12=0,0,T59/T$12)</f>
        <v>0.61886003627382391</v>
      </c>
      <c r="W59" s="1"/>
      <c r="X59" s="1">
        <f t="shared" ref="X59:X69" si="27">+P59-T59</f>
        <v>-91823.679999999993</v>
      </c>
      <c r="Y59" s="1"/>
      <c r="Z59" s="5">
        <f t="shared" ref="Z59:Z69" si="28">IF(T59=0,0,X59/T59)</f>
        <v>-0.91845520864861674</v>
      </c>
    </row>
    <row r="60" spans="1:26" s="24" customFormat="1" hidden="1" outlineLevel="2" x14ac:dyDescent="0.25">
      <c r="A60" s="26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1"/>
        <v>0</v>
      </c>
      <c r="G60" s="2"/>
      <c r="H60" s="6">
        <v>3952</v>
      </c>
      <c r="I60" s="2"/>
      <c r="J60" s="7">
        <f t="shared" si="22"/>
        <v>4.8253968253968251</v>
      </c>
      <c r="K60" s="2"/>
      <c r="L60" s="6">
        <f t="shared" si="23"/>
        <v>-3952</v>
      </c>
      <c r="M60" s="2"/>
      <c r="N60" s="7">
        <f t="shared" si="24"/>
        <v>-1</v>
      </c>
      <c r="O60" s="11"/>
      <c r="P60" s="6"/>
      <c r="Q60" s="2"/>
      <c r="R60" s="7">
        <f t="shared" si="25"/>
        <v>0</v>
      </c>
      <c r="S60" s="2"/>
      <c r="T60" s="6">
        <v>51376</v>
      </c>
      <c r="U60" s="2"/>
      <c r="V60" s="7">
        <f t="shared" si="26"/>
        <v>0.31802115766733313</v>
      </c>
      <c r="W60" s="2"/>
      <c r="X60" s="6">
        <f t="shared" si="27"/>
        <v>-51376</v>
      </c>
      <c r="Y60" s="2"/>
      <c r="Z60" s="7">
        <f t="shared" si="28"/>
        <v>-1</v>
      </c>
    </row>
    <row r="61" spans="1:26" s="24" customFormat="1" hidden="1" outlineLevel="2" x14ac:dyDescent="0.25">
      <c r="A61" s="26"/>
      <c r="B61" s="11" t="str">
        <f>CONCATENATE("          ", "6002", " - ", "STAFF SALARIES")</f>
        <v xml:space="preserve">          6002 - STAFF SALARIES</v>
      </c>
      <c r="C61" s="11"/>
      <c r="D61" s="6"/>
      <c r="E61" s="2"/>
      <c r="F61" s="7">
        <f t="shared" si="21"/>
        <v>0</v>
      </c>
      <c r="G61" s="2"/>
      <c r="H61" s="6">
        <v>0</v>
      </c>
      <c r="I61" s="2"/>
      <c r="J61" s="7">
        <f t="shared" si="22"/>
        <v>0</v>
      </c>
      <c r="K61" s="2"/>
      <c r="L61" s="6">
        <f t="shared" si="23"/>
        <v>0</v>
      </c>
      <c r="M61" s="2"/>
      <c r="N61" s="7">
        <f t="shared" si="24"/>
        <v>0</v>
      </c>
      <c r="O61" s="11"/>
      <c r="P61" s="6"/>
      <c r="Q61" s="2"/>
      <c r="R61" s="7">
        <f t="shared" si="25"/>
        <v>0</v>
      </c>
      <c r="S61" s="2"/>
      <c r="T61" s="6">
        <v>0</v>
      </c>
      <c r="U61" s="2"/>
      <c r="V61" s="7">
        <f t="shared" si="26"/>
        <v>0</v>
      </c>
      <c r="W61" s="2"/>
      <c r="X61" s="6">
        <f t="shared" si="27"/>
        <v>0</v>
      </c>
      <c r="Y61" s="2"/>
      <c r="Z61" s="7">
        <f t="shared" si="28"/>
        <v>0</v>
      </c>
    </row>
    <row r="62" spans="1:26" s="24" customFormat="1" hidden="1" outlineLevel="2" x14ac:dyDescent="0.25">
      <c r="A62" s="26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1"/>
        <v>0</v>
      </c>
      <c r="G62" s="2"/>
      <c r="H62" s="6">
        <v>0</v>
      </c>
      <c r="I62" s="2"/>
      <c r="J62" s="7">
        <f t="shared" si="22"/>
        <v>0</v>
      </c>
      <c r="K62" s="2"/>
      <c r="L62" s="6">
        <f t="shared" si="23"/>
        <v>0</v>
      </c>
      <c r="M62" s="2"/>
      <c r="N62" s="7">
        <f t="shared" si="24"/>
        <v>0</v>
      </c>
      <c r="O62" s="11"/>
      <c r="P62" s="6"/>
      <c r="Q62" s="2"/>
      <c r="R62" s="7">
        <f t="shared" si="25"/>
        <v>0</v>
      </c>
      <c r="S62" s="2"/>
      <c r="T62" s="6">
        <v>0</v>
      </c>
      <c r="U62" s="2"/>
      <c r="V62" s="7">
        <f t="shared" si="26"/>
        <v>0</v>
      </c>
      <c r="W62" s="2"/>
      <c r="X62" s="6">
        <f t="shared" si="27"/>
        <v>0</v>
      </c>
      <c r="Y62" s="2"/>
      <c r="Z62" s="7">
        <f t="shared" si="28"/>
        <v>0</v>
      </c>
    </row>
    <row r="63" spans="1:26" s="24" customFormat="1" hidden="1" outlineLevel="2" x14ac:dyDescent="0.25">
      <c r="A63" s="26"/>
      <c r="B63" s="11" t="str">
        <f>CONCATENATE("          ", "6004", " - ", "STAFF HOURLY")</f>
        <v xml:space="preserve">          6004 - STAFF HOURLY</v>
      </c>
      <c r="C63" s="11"/>
      <c r="D63" s="6"/>
      <c r="E63" s="2"/>
      <c r="F63" s="7">
        <f t="shared" si="21"/>
        <v>0</v>
      </c>
      <c r="G63" s="2"/>
      <c r="H63" s="6">
        <v>596.70000000000005</v>
      </c>
      <c r="I63" s="2"/>
      <c r="J63" s="7">
        <f t="shared" si="22"/>
        <v>0.72857142857142865</v>
      </c>
      <c r="K63" s="2"/>
      <c r="L63" s="6">
        <f t="shared" si="23"/>
        <v>-596.70000000000005</v>
      </c>
      <c r="M63" s="2"/>
      <c r="N63" s="7">
        <f t="shared" si="24"/>
        <v>-1</v>
      </c>
      <c r="O63" s="11"/>
      <c r="P63" s="6"/>
      <c r="Q63" s="2"/>
      <c r="R63" s="7">
        <f t="shared" si="25"/>
        <v>0</v>
      </c>
      <c r="S63" s="2"/>
      <c r="T63" s="6">
        <v>17258.400000000001</v>
      </c>
      <c r="U63" s="2"/>
      <c r="V63" s="7">
        <f t="shared" si="26"/>
        <v>0.10683074485140732</v>
      </c>
      <c r="W63" s="2"/>
      <c r="X63" s="6">
        <f t="shared" si="27"/>
        <v>-17258.400000000001</v>
      </c>
      <c r="Y63" s="2"/>
      <c r="Z63" s="7">
        <f t="shared" si="28"/>
        <v>-1</v>
      </c>
    </row>
    <row r="64" spans="1:26" s="24" customFormat="1" hidden="1" outlineLevel="2" x14ac:dyDescent="0.25">
      <c r="A64" s="26"/>
      <c r="B64" s="11" t="str">
        <f>CONCATENATE("          ", "6005", " - ", "TEMPORARY WAGES-HOURLY")</f>
        <v xml:space="preserve">          6005 - TEMPORARY WAGES-HOURLY</v>
      </c>
      <c r="C64" s="11"/>
      <c r="D64" s="6"/>
      <c r="E64" s="2"/>
      <c r="F64" s="7">
        <f t="shared" si="21"/>
        <v>0</v>
      </c>
      <c r="G64" s="2"/>
      <c r="H64" s="6">
        <v>0</v>
      </c>
      <c r="I64" s="2"/>
      <c r="J64" s="7">
        <f t="shared" si="22"/>
        <v>0</v>
      </c>
      <c r="K64" s="2"/>
      <c r="L64" s="6">
        <f t="shared" si="23"/>
        <v>0</v>
      </c>
      <c r="M64" s="2"/>
      <c r="N64" s="7">
        <f t="shared" si="24"/>
        <v>0</v>
      </c>
      <c r="O64" s="11"/>
      <c r="P64" s="6">
        <v>5379.19</v>
      </c>
      <c r="Q64" s="2"/>
      <c r="R64" s="7">
        <f t="shared" si="25"/>
        <v>0.25240288064144384</v>
      </c>
      <c r="S64" s="2"/>
      <c r="T64" s="6">
        <v>11704</v>
      </c>
      <c r="U64" s="2"/>
      <c r="V64" s="7">
        <f t="shared" si="26"/>
        <v>7.2448606924214939E-2</v>
      </c>
      <c r="W64" s="2"/>
      <c r="X64" s="6">
        <f t="shared" si="27"/>
        <v>-6324.81</v>
      </c>
      <c r="Y64" s="2"/>
      <c r="Z64" s="7">
        <f t="shared" si="28"/>
        <v>-0.54039730006835274</v>
      </c>
    </row>
    <row r="65" spans="1:26" s="24" customFormat="1" hidden="1" outlineLevel="2" x14ac:dyDescent="0.25">
      <c r="A65" s="26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1"/>
        <v>0</v>
      </c>
      <c r="G65" s="2"/>
      <c r="H65" s="6">
        <v>0</v>
      </c>
      <c r="I65" s="2"/>
      <c r="J65" s="7">
        <f t="shared" si="22"/>
        <v>0</v>
      </c>
      <c r="K65" s="2"/>
      <c r="L65" s="6">
        <f t="shared" si="23"/>
        <v>0</v>
      </c>
      <c r="M65" s="2"/>
      <c r="N65" s="7">
        <f t="shared" si="24"/>
        <v>0</v>
      </c>
      <c r="O65" s="11"/>
      <c r="P65" s="6"/>
      <c r="Q65" s="2"/>
      <c r="R65" s="7">
        <f t="shared" si="25"/>
        <v>0</v>
      </c>
      <c r="S65" s="2"/>
      <c r="T65" s="6">
        <v>0</v>
      </c>
      <c r="U65" s="2"/>
      <c r="V65" s="7">
        <f t="shared" si="26"/>
        <v>0</v>
      </c>
      <c r="W65" s="2"/>
      <c r="X65" s="6">
        <f t="shared" si="27"/>
        <v>0</v>
      </c>
      <c r="Y65" s="2"/>
      <c r="Z65" s="7">
        <f t="shared" si="28"/>
        <v>0</v>
      </c>
    </row>
    <row r="66" spans="1:26" s="24" customFormat="1" hidden="1" outlineLevel="2" x14ac:dyDescent="0.25">
      <c r="A66" s="26"/>
      <c r="B66" s="11" t="str">
        <f>CONCATENATE("          ", "6007", " - ", "STUDENT HOURLY")</f>
        <v xml:space="preserve">          6007 - STUDENT HOURLY</v>
      </c>
      <c r="C66" s="11"/>
      <c r="D66" s="6"/>
      <c r="E66" s="2"/>
      <c r="F66" s="7">
        <f t="shared" si="21"/>
        <v>0</v>
      </c>
      <c r="G66" s="2"/>
      <c r="H66" s="6">
        <v>538.59</v>
      </c>
      <c r="I66" s="2"/>
      <c r="J66" s="7">
        <f t="shared" si="22"/>
        <v>0.65761904761904766</v>
      </c>
      <c r="K66" s="2"/>
      <c r="L66" s="6">
        <f t="shared" si="23"/>
        <v>-538.59</v>
      </c>
      <c r="M66" s="2"/>
      <c r="N66" s="7">
        <f t="shared" si="24"/>
        <v>-1</v>
      </c>
      <c r="O66" s="11"/>
      <c r="P66" s="6">
        <v>2773.35</v>
      </c>
      <c r="Q66" s="2"/>
      <c r="R66" s="7">
        <f t="shared" si="25"/>
        <v>0.13013140064339582</v>
      </c>
      <c r="S66" s="2"/>
      <c r="T66" s="6">
        <v>538.59</v>
      </c>
      <c r="U66" s="2"/>
      <c r="V66" s="7">
        <f t="shared" si="26"/>
        <v>3.3339110734204483E-3</v>
      </c>
      <c r="W66" s="2"/>
      <c r="X66" s="6">
        <f t="shared" si="27"/>
        <v>2234.7599999999998</v>
      </c>
      <c r="Y66" s="2"/>
      <c r="Z66" s="7">
        <f t="shared" si="28"/>
        <v>4.1492786720882293</v>
      </c>
    </row>
    <row r="67" spans="1:26" s="24" customFormat="1" hidden="1" outlineLevel="2" x14ac:dyDescent="0.25">
      <c r="A67" s="26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1"/>
        <v>0</v>
      </c>
      <c r="G67" s="2"/>
      <c r="H67" s="6">
        <v>0</v>
      </c>
      <c r="I67" s="2"/>
      <c r="J67" s="7">
        <f t="shared" si="22"/>
        <v>0</v>
      </c>
      <c r="K67" s="2"/>
      <c r="L67" s="6">
        <f t="shared" si="23"/>
        <v>0</v>
      </c>
      <c r="M67" s="2"/>
      <c r="N67" s="7">
        <f t="shared" si="24"/>
        <v>0</v>
      </c>
      <c r="O67" s="11"/>
      <c r="P67" s="6"/>
      <c r="Q67" s="2"/>
      <c r="R67" s="7">
        <f t="shared" si="25"/>
        <v>0</v>
      </c>
      <c r="S67" s="2"/>
      <c r="T67" s="6">
        <v>19099.23</v>
      </c>
      <c r="U67" s="2"/>
      <c r="V67" s="7">
        <f t="shared" si="26"/>
        <v>0.11822561575744821</v>
      </c>
      <c r="W67" s="2"/>
      <c r="X67" s="6">
        <f t="shared" si="27"/>
        <v>-19099.23</v>
      </c>
      <c r="Y67" s="2"/>
      <c r="Z67" s="7">
        <f t="shared" si="28"/>
        <v>-1</v>
      </c>
    </row>
    <row r="68" spans="1:26" s="24" customFormat="1" hidden="1" outlineLevel="2" x14ac:dyDescent="0.25">
      <c r="A68" s="26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6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1"/>
        <v>0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0</v>
      </c>
      <c r="M69" s="2"/>
      <c r="N69" s="7">
        <f t="shared" si="24"/>
        <v>0</v>
      </c>
      <c r="O69" s="11"/>
      <c r="P69" s="6"/>
      <c r="Q69" s="2"/>
      <c r="R69" s="7">
        <f t="shared" si="25"/>
        <v>0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0</v>
      </c>
      <c r="Y69" s="2"/>
      <c r="Z69" s="7">
        <f t="shared" si="28"/>
        <v>0</v>
      </c>
    </row>
    <row r="70" spans="1:26" s="27" customFormat="1" outlineLevel="1" collapsed="1" x14ac:dyDescent="0.25">
      <c r="A70" s="25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0</v>
      </c>
      <c r="E70" s="1"/>
      <c r="F70" s="5">
        <f t="shared" ref="F70:F78" si="29">IF(D$12=0,0,D70/D$12)</f>
        <v>0</v>
      </c>
      <c r="G70" s="1"/>
      <c r="H70" s="1">
        <f>SUM(OSRRefH22_2x_0)</f>
        <v>100</v>
      </c>
      <c r="I70" s="1"/>
      <c r="J70" s="5">
        <f t="shared" ref="J70:J78" si="30">IF(H$12=0,0,H70/H$12)</f>
        <v>0.1221001221001221</v>
      </c>
      <c r="K70" s="1"/>
      <c r="L70" s="1">
        <f t="shared" ref="L70:L78" si="31">+D70-H70</f>
        <v>-100</v>
      </c>
      <c r="M70" s="1"/>
      <c r="N70" s="5">
        <f t="shared" ref="N70:N78" si="32">IF(H70=0,0,L70/H70)</f>
        <v>-1</v>
      </c>
      <c r="O70" s="13"/>
      <c r="P70" s="1">
        <f>SUM(OSRRefP22_2x_0)</f>
        <v>124.72</v>
      </c>
      <c r="Q70" s="1"/>
      <c r="R70" s="5">
        <f t="shared" ref="R70:R78" si="33">IF(P$12=0,0,P70/P$12)</f>
        <v>5.8521240695347957E-3</v>
      </c>
      <c r="S70" s="1"/>
      <c r="T70" s="1">
        <f>SUM(OSRRefT22_2x_0)</f>
        <v>1100</v>
      </c>
      <c r="U70" s="1"/>
      <c r="V70" s="5">
        <f t="shared" ref="V70:V78" si="34">IF(T$12=0,0,T70/T$12)</f>
        <v>6.8090795981405024E-3</v>
      </c>
      <c r="W70" s="1"/>
      <c r="X70" s="1">
        <f t="shared" ref="X70:X78" si="35">+P70-T70</f>
        <v>-975.28</v>
      </c>
      <c r="Y70" s="1"/>
      <c r="Z70" s="5">
        <f t="shared" ref="Z70:Z78" si="36">IF(T70=0,0,X70/T70)</f>
        <v>-0.88661818181818175</v>
      </c>
    </row>
    <row r="71" spans="1:26" s="24" customFormat="1" hidden="1" outlineLevel="2" x14ac:dyDescent="0.25">
      <c r="A71" s="26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29"/>
        <v>0</v>
      </c>
      <c r="G71" s="2"/>
      <c r="H71" s="6">
        <v>100</v>
      </c>
      <c r="I71" s="2"/>
      <c r="J71" s="7">
        <f t="shared" si="30"/>
        <v>0.1221001221001221</v>
      </c>
      <c r="K71" s="2"/>
      <c r="L71" s="6">
        <f t="shared" si="31"/>
        <v>-100</v>
      </c>
      <c r="M71" s="2"/>
      <c r="N71" s="7">
        <f t="shared" si="32"/>
        <v>-1</v>
      </c>
      <c r="O71" s="11"/>
      <c r="P71" s="6">
        <v>124.72</v>
      </c>
      <c r="Q71" s="2"/>
      <c r="R71" s="7">
        <f t="shared" si="33"/>
        <v>5.8521240695347957E-3</v>
      </c>
      <c r="S71" s="2"/>
      <c r="T71" s="6">
        <v>1100</v>
      </c>
      <c r="U71" s="2"/>
      <c r="V71" s="7">
        <f t="shared" si="34"/>
        <v>6.8090795981405024E-3</v>
      </c>
      <c r="W71" s="2"/>
      <c r="X71" s="6">
        <f t="shared" si="35"/>
        <v>-975.28</v>
      </c>
      <c r="Y71" s="2"/>
      <c r="Z71" s="7">
        <f t="shared" si="36"/>
        <v>-0.88661818181818175</v>
      </c>
    </row>
    <row r="72" spans="1:26" s="27" customFormat="1" outlineLevel="1" collapsed="1" x14ac:dyDescent="0.25">
      <c r="A72" s="25"/>
      <c r="B72" s="13" t="str">
        <f>CONCATENATE("     ","Bad Debts/Over/Short                              ")</f>
        <v xml:space="preserve">     Bad Debts/Over/Short                              </v>
      </c>
      <c r="C72" s="13"/>
      <c r="D72" s="1">
        <f>SUM(OSRRefD22_3x_0)</f>
        <v>0</v>
      </c>
      <c r="E72" s="1"/>
      <c r="F72" s="5">
        <f t="shared" si="29"/>
        <v>0</v>
      </c>
      <c r="G72" s="1"/>
      <c r="H72" s="1">
        <f>SUM(OSRRefH22_3x_0)</f>
        <v>0</v>
      </c>
      <c r="I72" s="1"/>
      <c r="J72" s="5">
        <f t="shared" si="30"/>
        <v>0</v>
      </c>
      <c r="K72" s="1"/>
      <c r="L72" s="1">
        <f t="shared" si="31"/>
        <v>0</v>
      </c>
      <c r="M72" s="1"/>
      <c r="N72" s="5">
        <f t="shared" si="32"/>
        <v>0</v>
      </c>
      <c r="O72" s="13"/>
      <c r="P72" s="1">
        <f>SUM(OSRRefP22_3x_0)</f>
        <v>1.1000000000000001</v>
      </c>
      <c r="Q72" s="1"/>
      <c r="R72" s="5">
        <f t="shared" si="33"/>
        <v>5.1614307861516002E-5</v>
      </c>
      <c r="S72" s="1"/>
      <c r="T72" s="1">
        <f>SUM(OSRRefT22_3x_0)</f>
        <v>0</v>
      </c>
      <c r="U72" s="1"/>
      <c r="V72" s="5">
        <f t="shared" si="34"/>
        <v>0</v>
      </c>
      <c r="W72" s="1"/>
      <c r="X72" s="1">
        <f t="shared" si="35"/>
        <v>1.1000000000000001</v>
      </c>
      <c r="Y72" s="1"/>
      <c r="Z72" s="5">
        <f t="shared" si="36"/>
        <v>0</v>
      </c>
    </row>
    <row r="73" spans="1:26" s="24" customFormat="1" hidden="1" outlineLevel="2" x14ac:dyDescent="0.25">
      <c r="A73" s="26"/>
      <c r="B73" s="11" t="str">
        <f>CONCATENATE("          ", "6272", " - ", "CASH (OVER/SHORT)")</f>
        <v xml:space="preserve">          6272 - CASH (OVER/SHORT)</v>
      </c>
      <c r="C73" s="11"/>
      <c r="D73" s="6"/>
      <c r="E73" s="2"/>
      <c r="F73" s="7">
        <f t="shared" si="29"/>
        <v>0</v>
      </c>
      <c r="G73" s="2"/>
      <c r="H73" s="6"/>
      <c r="I73" s="2"/>
      <c r="J73" s="7">
        <f t="shared" si="30"/>
        <v>0</v>
      </c>
      <c r="K73" s="2"/>
      <c r="L73" s="6">
        <f t="shared" si="31"/>
        <v>0</v>
      </c>
      <c r="M73" s="2"/>
      <c r="N73" s="7">
        <f t="shared" si="32"/>
        <v>0</v>
      </c>
      <c r="O73" s="11"/>
      <c r="P73" s="6">
        <v>1.1000000000000001</v>
      </c>
      <c r="Q73" s="2"/>
      <c r="R73" s="7">
        <f t="shared" si="33"/>
        <v>5.1614307861516002E-5</v>
      </c>
      <c r="S73" s="2"/>
      <c r="T73" s="6"/>
      <c r="U73" s="2"/>
      <c r="V73" s="7">
        <f t="shared" si="34"/>
        <v>0</v>
      </c>
      <c r="W73" s="2"/>
      <c r="X73" s="6">
        <f t="shared" si="35"/>
        <v>1.1000000000000001</v>
      </c>
      <c r="Y73" s="2"/>
      <c r="Z73" s="7">
        <f t="shared" si="36"/>
        <v>0</v>
      </c>
    </row>
    <row r="74" spans="1:26" s="27" customFormat="1" outlineLevel="1" collapsed="1" x14ac:dyDescent="0.25">
      <c r="A74" s="25"/>
      <c r="B74" s="13" t="str">
        <f>CONCATENATE("     ","Bank/card Fees                                    ")</f>
        <v xml:space="preserve">     Bank/card Fees                                    </v>
      </c>
      <c r="C74" s="13"/>
      <c r="D74" s="1">
        <f>SUM(OSRRefD22_4x_0)</f>
        <v>0</v>
      </c>
      <c r="E74" s="1"/>
      <c r="F74" s="5">
        <f t="shared" si="29"/>
        <v>0</v>
      </c>
      <c r="G74" s="1"/>
      <c r="H74" s="1">
        <f>SUM(OSRRefH22_4x_0)</f>
        <v>56</v>
      </c>
      <c r="I74" s="1"/>
      <c r="J74" s="5">
        <f t="shared" si="30"/>
        <v>6.8376068376068383E-2</v>
      </c>
      <c r="K74" s="1"/>
      <c r="L74" s="1">
        <f t="shared" si="31"/>
        <v>-56</v>
      </c>
      <c r="M74" s="1"/>
      <c r="N74" s="5">
        <f t="shared" si="32"/>
        <v>-1</v>
      </c>
      <c r="O74" s="13"/>
      <c r="P74" s="1">
        <f>SUM(OSRRefP22_4x_0)</f>
        <v>0</v>
      </c>
      <c r="Q74" s="1"/>
      <c r="R74" s="5">
        <f t="shared" si="33"/>
        <v>0</v>
      </c>
      <c r="S74" s="1"/>
      <c r="T74" s="1">
        <f>SUM(OSRRefT22_4x_0)</f>
        <v>10617</v>
      </c>
      <c r="U74" s="1"/>
      <c r="V74" s="5">
        <f t="shared" si="34"/>
        <v>6.5719998266779739E-2</v>
      </c>
      <c r="W74" s="1"/>
      <c r="X74" s="1">
        <f t="shared" si="35"/>
        <v>-10617</v>
      </c>
      <c r="Y74" s="1"/>
      <c r="Z74" s="5">
        <f t="shared" si="36"/>
        <v>-1</v>
      </c>
    </row>
    <row r="75" spans="1:26" s="24" customFormat="1" hidden="1" outlineLevel="2" x14ac:dyDescent="0.25">
      <c r="A75" s="26"/>
      <c r="B75" s="11" t="str">
        <f>CONCATENATE("          ", "6381", " - ", "BANK/CREDIT CARD FEES")</f>
        <v xml:space="preserve">          6381 - BANK/CREDIT CARD FEES</v>
      </c>
      <c r="C75" s="11"/>
      <c r="D75" s="6"/>
      <c r="E75" s="2"/>
      <c r="F75" s="7">
        <f t="shared" si="29"/>
        <v>0</v>
      </c>
      <c r="G75" s="2"/>
      <c r="H75" s="6">
        <v>56</v>
      </c>
      <c r="I75" s="2"/>
      <c r="J75" s="7">
        <f t="shared" si="30"/>
        <v>6.8376068376068383E-2</v>
      </c>
      <c r="K75" s="2"/>
      <c r="L75" s="6">
        <f t="shared" si="31"/>
        <v>-56</v>
      </c>
      <c r="M75" s="2"/>
      <c r="N75" s="7">
        <f t="shared" si="32"/>
        <v>-1</v>
      </c>
      <c r="O75" s="11"/>
      <c r="P75" s="6"/>
      <c r="Q75" s="2"/>
      <c r="R75" s="7">
        <f t="shared" si="33"/>
        <v>0</v>
      </c>
      <c r="S75" s="2"/>
      <c r="T75" s="6">
        <v>10617</v>
      </c>
      <c r="U75" s="2"/>
      <c r="V75" s="7">
        <f t="shared" si="34"/>
        <v>6.5719998266779739E-2</v>
      </c>
      <c r="W75" s="2"/>
      <c r="X75" s="6">
        <f t="shared" si="35"/>
        <v>-10617</v>
      </c>
      <c r="Y75" s="2"/>
      <c r="Z75" s="7">
        <f t="shared" si="36"/>
        <v>-1</v>
      </c>
    </row>
    <row r="76" spans="1:26" s="27" customFormat="1" outlineLevel="1" collapsed="1" x14ac:dyDescent="0.25">
      <c r="A76" s="25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SUM(OSRRefD22_5x_0)</f>
        <v>0</v>
      </c>
      <c r="E76" s="1"/>
      <c r="F76" s="5">
        <f t="shared" si="29"/>
        <v>0</v>
      </c>
      <c r="G76" s="1"/>
      <c r="H76" s="1">
        <f>SUM(OSRRefH22_5x_0)</f>
        <v>18</v>
      </c>
      <c r="I76" s="1"/>
      <c r="J76" s="5">
        <f t="shared" si="30"/>
        <v>2.197802197802198E-2</v>
      </c>
      <c r="K76" s="1"/>
      <c r="L76" s="1">
        <f t="shared" si="31"/>
        <v>-18</v>
      </c>
      <c r="M76" s="1"/>
      <c r="N76" s="5">
        <f t="shared" si="32"/>
        <v>-1</v>
      </c>
      <c r="O76" s="13"/>
      <c r="P76" s="1">
        <f>SUM(OSRRefP22_5x_0)</f>
        <v>0</v>
      </c>
      <c r="Q76" s="1"/>
      <c r="R76" s="5">
        <f t="shared" si="33"/>
        <v>0</v>
      </c>
      <c r="S76" s="1"/>
      <c r="T76" s="1">
        <f>SUM(OSRRefT22_5x_0)</f>
        <v>3536</v>
      </c>
      <c r="U76" s="1"/>
      <c r="V76" s="5">
        <f t="shared" si="34"/>
        <v>2.1888095871840742E-2</v>
      </c>
      <c r="W76" s="1"/>
      <c r="X76" s="1">
        <f t="shared" si="35"/>
        <v>-3536</v>
      </c>
      <c r="Y76" s="1"/>
      <c r="Z76" s="5">
        <f t="shared" si="36"/>
        <v>-1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6"/>
      <c r="E77" s="2"/>
      <c r="F77" s="7">
        <f t="shared" si="29"/>
        <v>0</v>
      </c>
      <c r="G77" s="2"/>
      <c r="H77" s="6">
        <v>18</v>
      </c>
      <c r="I77" s="2"/>
      <c r="J77" s="7">
        <f t="shared" si="30"/>
        <v>2.197802197802198E-2</v>
      </c>
      <c r="K77" s="2"/>
      <c r="L77" s="6">
        <f t="shared" si="31"/>
        <v>-18</v>
      </c>
      <c r="M77" s="2"/>
      <c r="N77" s="7">
        <f t="shared" si="32"/>
        <v>-1</v>
      </c>
      <c r="O77" s="11"/>
      <c r="P77" s="6">
        <v>0</v>
      </c>
      <c r="Q77" s="2"/>
      <c r="R77" s="7">
        <f t="shared" si="33"/>
        <v>0</v>
      </c>
      <c r="S77" s="2"/>
      <c r="T77" s="6">
        <v>3536</v>
      </c>
      <c r="U77" s="2"/>
      <c r="V77" s="7">
        <f t="shared" si="34"/>
        <v>2.1888095871840742E-2</v>
      </c>
      <c r="W77" s="2"/>
      <c r="X77" s="6">
        <f t="shared" si="35"/>
        <v>-3536</v>
      </c>
      <c r="Y77" s="2"/>
      <c r="Z77" s="7">
        <f t="shared" si="36"/>
        <v>-1</v>
      </c>
    </row>
    <row r="78" spans="1:26" s="24" customFormat="1" hidden="1" outlineLevel="2" x14ac:dyDescent="0.25">
      <c r="A78" s="26"/>
      <c r="B78" s="11" t="str">
        <f>CONCATENATE("          ", "9175", " - ", "EARNED DISCOUNTS")</f>
        <v xml:space="preserve">          9175 - EARNED DISCOUNTS</v>
      </c>
      <c r="C78" s="11"/>
      <c r="D78" s="6"/>
      <c r="E78" s="2"/>
      <c r="F78" s="7">
        <f t="shared" si="29"/>
        <v>0</v>
      </c>
      <c r="G78" s="2"/>
      <c r="H78" s="6"/>
      <c r="I78" s="2"/>
      <c r="J78" s="7">
        <f t="shared" si="30"/>
        <v>0</v>
      </c>
      <c r="K78" s="2"/>
      <c r="L78" s="6">
        <f t="shared" si="31"/>
        <v>0</v>
      </c>
      <c r="M78" s="2"/>
      <c r="N78" s="7">
        <f t="shared" si="32"/>
        <v>0</v>
      </c>
      <c r="O78" s="11"/>
      <c r="P78" s="6">
        <v>0</v>
      </c>
      <c r="Q78" s="2"/>
      <c r="R78" s="7">
        <f t="shared" si="33"/>
        <v>0</v>
      </c>
      <c r="S78" s="2"/>
      <c r="T78" s="6"/>
      <c r="U78" s="2"/>
      <c r="V78" s="7">
        <f t="shared" si="34"/>
        <v>0</v>
      </c>
      <c r="W78" s="2"/>
      <c r="X78" s="6">
        <f t="shared" si="35"/>
        <v>0</v>
      </c>
      <c r="Y78" s="2"/>
      <c r="Z78" s="7">
        <f t="shared" si="36"/>
        <v>0</v>
      </c>
    </row>
    <row r="79" spans="1:26" s="27" customFormat="1" outlineLevel="1" collapsed="1" x14ac:dyDescent="0.25">
      <c r="A79" s="25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SUM(OSRRefD22_6x_0)</f>
        <v>0</v>
      </c>
      <c r="E79" s="1"/>
      <c r="F79" s="5">
        <f t="shared" ref="F79:F87" si="37">IF(D$12=0,0,D79/D$12)</f>
        <v>0</v>
      </c>
      <c r="G79" s="1"/>
      <c r="H79" s="1">
        <f>SUM(OSRRefH22_6x_0)</f>
        <v>248</v>
      </c>
      <c r="I79" s="1"/>
      <c r="J79" s="5">
        <f t="shared" ref="J79:J87" si="38">IF(H$12=0,0,H79/H$12)</f>
        <v>0.30280830280830279</v>
      </c>
      <c r="K79" s="1"/>
      <c r="L79" s="1">
        <f t="shared" ref="L79:L87" si="39">+D79-H79</f>
        <v>-248</v>
      </c>
      <c r="M79" s="1"/>
      <c r="N79" s="5">
        <f t="shared" ref="N79:N87" si="40">IF(H79=0,0,L79/H79)</f>
        <v>-1</v>
      </c>
      <c r="O79" s="13"/>
      <c r="P79" s="1">
        <f>SUM(OSRRefP22_6x_0)</f>
        <v>0</v>
      </c>
      <c r="Q79" s="1"/>
      <c r="R79" s="5">
        <f t="shared" ref="R79:R87" si="41">IF(P$12=0,0,P79/P$12)</f>
        <v>0</v>
      </c>
      <c r="S79" s="1"/>
      <c r="T79" s="1">
        <f>SUM(OSRRefT22_6x_0)</f>
        <v>2975</v>
      </c>
      <c r="U79" s="1"/>
      <c r="V79" s="5">
        <f t="shared" ref="V79:V87" si="42">IF(T$12=0,0,T79/T$12)</f>
        <v>1.8415465276789087E-2</v>
      </c>
      <c r="W79" s="1"/>
      <c r="X79" s="1">
        <f t="shared" ref="X79:X87" si="43">+P79-T79</f>
        <v>-2975</v>
      </c>
      <c r="Y79" s="1"/>
      <c r="Z79" s="5">
        <f t="shared" ref="Z79:Z87" si="44">IF(T79=0,0,X79/T79)</f>
        <v>-1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/>
      <c r="E80" s="2"/>
      <c r="F80" s="7">
        <f t="shared" si="37"/>
        <v>0</v>
      </c>
      <c r="G80" s="2"/>
      <c r="H80" s="6">
        <v>248</v>
      </c>
      <c r="I80" s="2"/>
      <c r="J80" s="7">
        <f t="shared" si="38"/>
        <v>0.30280830280830279</v>
      </c>
      <c r="K80" s="2"/>
      <c r="L80" s="6">
        <f t="shared" si="39"/>
        <v>-248</v>
      </c>
      <c r="M80" s="2"/>
      <c r="N80" s="7">
        <f t="shared" si="40"/>
        <v>-1</v>
      </c>
      <c r="O80" s="11"/>
      <c r="P80" s="6"/>
      <c r="Q80" s="2"/>
      <c r="R80" s="7">
        <f t="shared" si="41"/>
        <v>0</v>
      </c>
      <c r="S80" s="2"/>
      <c r="T80" s="6">
        <v>2975</v>
      </c>
      <c r="U80" s="2"/>
      <c r="V80" s="7">
        <f t="shared" si="42"/>
        <v>1.8415465276789087E-2</v>
      </c>
      <c r="W80" s="2"/>
      <c r="X80" s="6">
        <f t="shared" si="43"/>
        <v>-2975</v>
      </c>
      <c r="Y80" s="2"/>
      <c r="Z80" s="7">
        <f t="shared" si="44"/>
        <v>-1</v>
      </c>
    </row>
    <row r="81" spans="1:26" s="27" customFormat="1" outlineLevel="1" collapsed="1" x14ac:dyDescent="0.25">
      <c r="A81" s="25"/>
      <c r="B81" s="13" t="str">
        <f>CONCATENATE("     ","General                                           ")</f>
        <v xml:space="preserve">     General                                           </v>
      </c>
      <c r="C81" s="13"/>
      <c r="D81" s="1">
        <f>SUM(OSRRefD22_7x_0)</f>
        <v>0</v>
      </c>
      <c r="E81" s="1"/>
      <c r="F81" s="5">
        <f t="shared" si="37"/>
        <v>0</v>
      </c>
      <c r="G81" s="1"/>
      <c r="H81" s="1">
        <f>SUM(OSRRefH22_7x_0)</f>
        <v>0</v>
      </c>
      <c r="I81" s="1"/>
      <c r="J81" s="5">
        <f t="shared" si="38"/>
        <v>0</v>
      </c>
      <c r="K81" s="1"/>
      <c r="L81" s="1">
        <f t="shared" si="39"/>
        <v>0</v>
      </c>
      <c r="M81" s="1"/>
      <c r="N81" s="5">
        <f t="shared" si="40"/>
        <v>0</v>
      </c>
      <c r="O81" s="13"/>
      <c r="P81" s="1">
        <f>SUM(OSRRefP22_7x_0)</f>
        <v>879.55</v>
      </c>
      <c r="Q81" s="1"/>
      <c r="R81" s="5">
        <f t="shared" si="41"/>
        <v>4.1270331345087632E-2</v>
      </c>
      <c r="S81" s="1"/>
      <c r="T81" s="1">
        <f>SUM(OSRRefT22_7x_0)</f>
        <v>1000</v>
      </c>
      <c r="U81" s="1"/>
      <c r="V81" s="5">
        <f t="shared" si="42"/>
        <v>6.1900723619459112E-3</v>
      </c>
      <c r="W81" s="1"/>
      <c r="X81" s="1">
        <f t="shared" si="43"/>
        <v>-120.45000000000005</v>
      </c>
      <c r="Y81" s="1"/>
      <c r="Z81" s="5">
        <f t="shared" si="44"/>
        <v>-0.12045000000000004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37"/>
        <v>0</v>
      </c>
      <c r="G82" s="2"/>
      <c r="H82" s="6"/>
      <c r="I82" s="2"/>
      <c r="J82" s="7">
        <f t="shared" si="38"/>
        <v>0</v>
      </c>
      <c r="K82" s="2"/>
      <c r="L82" s="6">
        <f t="shared" si="39"/>
        <v>0</v>
      </c>
      <c r="M82" s="2"/>
      <c r="N82" s="7">
        <f t="shared" si="40"/>
        <v>0</v>
      </c>
      <c r="O82" s="11"/>
      <c r="P82" s="6">
        <v>879.55</v>
      </c>
      <c r="Q82" s="2"/>
      <c r="R82" s="7">
        <f t="shared" si="41"/>
        <v>4.1270331345087632E-2</v>
      </c>
      <c r="S82" s="2"/>
      <c r="T82" s="6">
        <v>1000</v>
      </c>
      <c r="U82" s="2"/>
      <c r="V82" s="7">
        <f t="shared" si="42"/>
        <v>6.1900723619459112E-3</v>
      </c>
      <c r="W82" s="2"/>
      <c r="X82" s="6">
        <f t="shared" si="43"/>
        <v>-120.45000000000005</v>
      </c>
      <c r="Y82" s="2"/>
      <c r="Z82" s="7">
        <f t="shared" si="44"/>
        <v>-0.12045000000000004</v>
      </c>
    </row>
    <row r="83" spans="1:26" s="27" customFormat="1" outlineLevel="1" collapsed="1" x14ac:dyDescent="0.25">
      <c r="A83" s="25"/>
      <c r="B83" s="13" t="str">
        <f>CONCATENATE("     ","Professional Services                             ")</f>
        <v xml:space="preserve">     Professional Services                             </v>
      </c>
      <c r="C83" s="13"/>
      <c r="D83" s="1">
        <f>SUM(OSRRefD22_8x_0)</f>
        <v>0</v>
      </c>
      <c r="E83" s="1"/>
      <c r="F83" s="5">
        <f t="shared" si="37"/>
        <v>0</v>
      </c>
      <c r="G83" s="1"/>
      <c r="H83" s="1">
        <f>SUM(OSRRefH22_8x_0)</f>
        <v>0</v>
      </c>
      <c r="I83" s="1"/>
      <c r="J83" s="5">
        <f t="shared" si="38"/>
        <v>0</v>
      </c>
      <c r="K83" s="1"/>
      <c r="L83" s="1">
        <f t="shared" si="39"/>
        <v>0</v>
      </c>
      <c r="M83" s="1"/>
      <c r="N83" s="5">
        <f t="shared" si="40"/>
        <v>0</v>
      </c>
      <c r="O83" s="13"/>
      <c r="P83" s="1">
        <f>SUM(OSRRefP22_8x_0)</f>
        <v>0</v>
      </c>
      <c r="Q83" s="1"/>
      <c r="R83" s="5">
        <f t="shared" si="41"/>
        <v>0</v>
      </c>
      <c r="S83" s="1"/>
      <c r="T83" s="1">
        <f>SUM(OSRRefT22_8x_0)</f>
        <v>800</v>
      </c>
      <c r="U83" s="1"/>
      <c r="V83" s="5">
        <f t="shared" si="42"/>
        <v>4.9520578895567288E-3</v>
      </c>
      <c r="W83" s="1"/>
      <c r="X83" s="1">
        <f t="shared" si="43"/>
        <v>-800</v>
      </c>
      <c r="Y83" s="1"/>
      <c r="Z83" s="5">
        <f t="shared" si="44"/>
        <v>-1</v>
      </c>
    </row>
    <row r="84" spans="1:26" s="24" customFormat="1" hidden="1" outlineLevel="2" x14ac:dyDescent="0.25">
      <c r="A84" s="26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37"/>
        <v>0</v>
      </c>
      <c r="G84" s="2"/>
      <c r="H84" s="6"/>
      <c r="I84" s="2"/>
      <c r="J84" s="7">
        <f t="shared" si="38"/>
        <v>0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/>
      <c r="Q84" s="2"/>
      <c r="R84" s="7">
        <f t="shared" si="41"/>
        <v>0</v>
      </c>
      <c r="S84" s="2"/>
      <c r="T84" s="6">
        <v>800</v>
      </c>
      <c r="U84" s="2"/>
      <c r="V84" s="7">
        <f t="shared" si="42"/>
        <v>4.9520578895567288E-3</v>
      </c>
      <c r="W84" s="2"/>
      <c r="X84" s="6">
        <f t="shared" si="43"/>
        <v>-800</v>
      </c>
      <c r="Y84" s="2"/>
      <c r="Z84" s="7">
        <f t="shared" si="44"/>
        <v>-1</v>
      </c>
    </row>
    <row r="85" spans="1:26" s="27" customFormat="1" outlineLevel="1" collapsed="1" x14ac:dyDescent="0.25">
      <c r="A85" s="25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SUM(OSRRefD22_9x_0)</f>
        <v>61.11</v>
      </c>
      <c r="E85" s="1"/>
      <c r="F85" s="5">
        <f t="shared" si="37"/>
        <v>0</v>
      </c>
      <c r="G85" s="1"/>
      <c r="H85" s="1">
        <f>SUM(OSRRefH22_9x_0)</f>
        <v>100</v>
      </c>
      <c r="I85" s="1"/>
      <c r="J85" s="5">
        <f t="shared" si="38"/>
        <v>0.1221001221001221</v>
      </c>
      <c r="K85" s="1"/>
      <c r="L85" s="1">
        <f t="shared" si="39"/>
        <v>-38.89</v>
      </c>
      <c r="M85" s="1"/>
      <c r="N85" s="5">
        <f t="shared" si="40"/>
        <v>-0.38890000000000002</v>
      </c>
      <c r="O85" s="13"/>
      <c r="P85" s="1">
        <f>SUM(OSRRefP22_9x_0)</f>
        <v>323.04000000000002</v>
      </c>
      <c r="Q85" s="1"/>
      <c r="R85" s="5">
        <f t="shared" si="41"/>
        <v>1.5157714555985573E-2</v>
      </c>
      <c r="S85" s="1"/>
      <c r="T85" s="1">
        <f>SUM(OSRRefT22_9x_0)</f>
        <v>1200</v>
      </c>
      <c r="U85" s="1"/>
      <c r="V85" s="5">
        <f t="shared" si="42"/>
        <v>7.4280868343350936E-3</v>
      </c>
      <c r="W85" s="1"/>
      <c r="X85" s="1">
        <f t="shared" si="43"/>
        <v>-876.96</v>
      </c>
      <c r="Y85" s="1"/>
      <c r="Z85" s="5">
        <f t="shared" si="44"/>
        <v>-0.73080000000000001</v>
      </c>
    </row>
    <row r="86" spans="1:26" s="24" customFormat="1" hidden="1" outlineLevel="2" x14ac:dyDescent="0.25">
      <c r="A86" s="26"/>
      <c r="B86" s="11" t="str">
        <f>CONCATENATE("          ", "6373", " - ", "MAINTENANCE CONTRACTS")</f>
        <v xml:space="preserve">          6373 - MAINTENANCE CONTRACTS</v>
      </c>
      <c r="C86" s="11"/>
      <c r="D86" s="6">
        <v>61.11</v>
      </c>
      <c r="E86" s="2"/>
      <c r="F86" s="7">
        <f t="shared" si="37"/>
        <v>0</v>
      </c>
      <c r="G86" s="2"/>
      <c r="H86" s="6"/>
      <c r="I86" s="2"/>
      <c r="J86" s="7">
        <f t="shared" si="38"/>
        <v>0</v>
      </c>
      <c r="K86" s="2"/>
      <c r="L86" s="6">
        <f t="shared" si="39"/>
        <v>61.11</v>
      </c>
      <c r="M86" s="2"/>
      <c r="N86" s="7">
        <f t="shared" si="40"/>
        <v>0</v>
      </c>
      <c r="O86" s="11"/>
      <c r="P86" s="6">
        <v>323.04000000000002</v>
      </c>
      <c r="Q86" s="2"/>
      <c r="R86" s="7">
        <f t="shared" si="41"/>
        <v>1.5157714555985573E-2</v>
      </c>
      <c r="S86" s="2"/>
      <c r="T86" s="6"/>
      <c r="U86" s="2"/>
      <c r="V86" s="7">
        <f t="shared" si="42"/>
        <v>0</v>
      </c>
      <c r="W86" s="2"/>
      <c r="X86" s="6">
        <f t="shared" si="43"/>
        <v>323.04000000000002</v>
      </c>
      <c r="Y86" s="2"/>
      <c r="Z86" s="7">
        <f t="shared" si="44"/>
        <v>0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37"/>
        <v>0</v>
      </c>
      <c r="G87" s="2"/>
      <c r="H87" s="6">
        <v>100</v>
      </c>
      <c r="I87" s="2"/>
      <c r="J87" s="7">
        <f t="shared" si="38"/>
        <v>0.1221001221001221</v>
      </c>
      <c r="K87" s="2"/>
      <c r="L87" s="6">
        <f t="shared" si="39"/>
        <v>-100</v>
      </c>
      <c r="M87" s="2"/>
      <c r="N87" s="7">
        <f t="shared" si="40"/>
        <v>-1</v>
      </c>
      <c r="O87" s="11"/>
      <c r="P87" s="6"/>
      <c r="Q87" s="2"/>
      <c r="R87" s="7">
        <f t="shared" si="41"/>
        <v>0</v>
      </c>
      <c r="S87" s="2"/>
      <c r="T87" s="6">
        <v>1200</v>
      </c>
      <c r="U87" s="2"/>
      <c r="V87" s="7">
        <f t="shared" si="42"/>
        <v>7.4280868343350936E-3</v>
      </c>
      <c r="W87" s="2"/>
      <c r="X87" s="6">
        <f t="shared" si="43"/>
        <v>-1200</v>
      </c>
      <c r="Y87" s="2"/>
      <c r="Z87" s="7">
        <f t="shared" si="44"/>
        <v>-1</v>
      </c>
    </row>
    <row r="88" spans="1:26" s="27" customFormat="1" outlineLevel="1" collapsed="1" x14ac:dyDescent="0.25">
      <c r="A88" s="25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SUM(OSRRefD22_10x_0)</f>
        <v>0</v>
      </c>
      <c r="E88" s="1"/>
      <c r="F88" s="5">
        <f t="shared" ref="F88:F90" si="45">IF(D$12=0,0,D88/D$12)</f>
        <v>0</v>
      </c>
      <c r="G88" s="1"/>
      <c r="H88" s="1">
        <f>SUM(OSRRefH22_10x_0)</f>
        <v>274</v>
      </c>
      <c r="I88" s="1"/>
      <c r="J88" s="5">
        <f t="shared" ref="J88:J90" si="46">IF(H$12=0,0,H88/H$12)</f>
        <v>0.33455433455433453</v>
      </c>
      <c r="K88" s="1"/>
      <c r="L88" s="1">
        <f t="shared" ref="L88:L90" si="47">+D88-H88</f>
        <v>-274</v>
      </c>
      <c r="M88" s="1"/>
      <c r="N88" s="5">
        <f t="shared" ref="N88:N90" si="48">IF(H88=0,0,L88/H88)</f>
        <v>-1</v>
      </c>
      <c r="O88" s="13"/>
      <c r="P88" s="1">
        <f>SUM(OSRRefP22_10x_0)</f>
        <v>18.5</v>
      </c>
      <c r="Q88" s="1"/>
      <c r="R88" s="5">
        <f t="shared" ref="R88:R90" si="49">IF(P$12=0,0,P88/P$12)</f>
        <v>8.6805881403458724E-4</v>
      </c>
      <c r="S88" s="1"/>
      <c r="T88" s="1">
        <f>SUM(OSRRefT22_10x_0)</f>
        <v>3014</v>
      </c>
      <c r="U88" s="1"/>
      <c r="V88" s="5">
        <f t="shared" ref="V88:V90" si="50">IF(T$12=0,0,T88/T$12)</f>
        <v>1.8656878098904976E-2</v>
      </c>
      <c r="W88" s="1"/>
      <c r="X88" s="1">
        <f t="shared" ref="X88:X90" si="51">+P88-T88</f>
        <v>-2995.5</v>
      </c>
      <c r="Y88" s="1"/>
      <c r="Z88" s="5">
        <f t="shared" ref="Z88:Z90" si="52">IF(T88=0,0,X88/T88)</f>
        <v>-0.99386197743861981</v>
      </c>
    </row>
    <row r="89" spans="1:26" s="24" customFormat="1" hidden="1" outlineLevel="2" x14ac:dyDescent="0.25">
      <c r="A89" s="26"/>
      <c r="B89" s="11" t="str">
        <f>CONCATENATE("          ", "6282", " - ", "JANITORIAL/EXTERMINATOR EXPENS")</f>
        <v xml:space="preserve">          6282 - JANITORIAL/EXTERMINATOR EXPENS</v>
      </c>
      <c r="C89" s="11"/>
      <c r="D89" s="6"/>
      <c r="E89" s="2"/>
      <c r="F89" s="7">
        <f t="shared" si="45"/>
        <v>0</v>
      </c>
      <c r="G89" s="2"/>
      <c r="H89" s="6"/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>
        <v>176</v>
      </c>
      <c r="Q89" s="2"/>
      <c r="R89" s="7">
        <f t="shared" si="49"/>
        <v>8.2582892578425601E-3</v>
      </c>
      <c r="S89" s="2"/>
      <c r="T89" s="6"/>
      <c r="U89" s="2"/>
      <c r="V89" s="7">
        <f t="shared" si="50"/>
        <v>0</v>
      </c>
      <c r="W89" s="2"/>
      <c r="X89" s="6">
        <f t="shared" si="51"/>
        <v>176</v>
      </c>
      <c r="Y89" s="2"/>
      <c r="Z89" s="7">
        <f t="shared" si="52"/>
        <v>0</v>
      </c>
    </row>
    <row r="90" spans="1:26" s="24" customFormat="1" hidden="1" outlineLevel="2" x14ac:dyDescent="0.25">
      <c r="A90" s="26"/>
      <c r="B90" s="11" t="str">
        <f>CONCATENATE("          ", "6285", " - ", "JANITORIAL SERVICES")</f>
        <v xml:space="preserve">          6285 - JANITORIAL SERVICES</v>
      </c>
      <c r="C90" s="11"/>
      <c r="D90" s="6"/>
      <c r="E90" s="2"/>
      <c r="F90" s="7">
        <f t="shared" si="45"/>
        <v>0</v>
      </c>
      <c r="G90" s="2"/>
      <c r="H90" s="6">
        <v>274</v>
      </c>
      <c r="I90" s="2"/>
      <c r="J90" s="7">
        <f t="shared" si="46"/>
        <v>0.33455433455433453</v>
      </c>
      <c r="K90" s="2"/>
      <c r="L90" s="6">
        <f t="shared" si="47"/>
        <v>-274</v>
      </c>
      <c r="M90" s="2"/>
      <c r="N90" s="7">
        <f t="shared" si="48"/>
        <v>-1</v>
      </c>
      <c r="O90" s="11"/>
      <c r="P90" s="6">
        <v>-157.5</v>
      </c>
      <c r="Q90" s="2"/>
      <c r="R90" s="7">
        <f t="shared" si="49"/>
        <v>-7.3902304438079732E-3</v>
      </c>
      <c r="S90" s="2"/>
      <c r="T90" s="6">
        <v>3014</v>
      </c>
      <c r="U90" s="2"/>
      <c r="V90" s="7">
        <f t="shared" si="50"/>
        <v>1.8656878098904976E-2</v>
      </c>
      <c r="W90" s="2"/>
      <c r="X90" s="6">
        <f t="shared" si="51"/>
        <v>-3171.5</v>
      </c>
      <c r="Y90" s="2"/>
      <c r="Z90" s="7">
        <f t="shared" si="52"/>
        <v>-1.0522561380225615</v>
      </c>
    </row>
    <row r="91" spans="1:26" s="27" customFormat="1" outlineLevel="1" collapsed="1" x14ac:dyDescent="0.25">
      <c r="A91" s="25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SUM(OSRRefD22_11x_0)</f>
        <v>0</v>
      </c>
      <c r="E91" s="1"/>
      <c r="F91" s="5">
        <f t="shared" ref="F91:F95" si="53">IF(D$12=0,0,D91/D$12)</f>
        <v>0</v>
      </c>
      <c r="G91" s="1"/>
      <c r="H91" s="1">
        <f>SUM(OSRRefH22_11x_0)</f>
        <v>300</v>
      </c>
      <c r="I91" s="1"/>
      <c r="J91" s="5">
        <f t="shared" ref="J91:J95" si="54">IF(H$12=0,0,H91/H$12)</f>
        <v>0.36630036630036628</v>
      </c>
      <c r="K91" s="1"/>
      <c r="L91" s="1">
        <f t="shared" ref="L91:L95" si="55">+D91-H91</f>
        <v>-300</v>
      </c>
      <c r="M91" s="1"/>
      <c r="N91" s="5">
        <f t="shared" ref="N91:N95" si="56">IF(H91=0,0,L91/H91)</f>
        <v>-1</v>
      </c>
      <c r="O91" s="13"/>
      <c r="P91" s="1">
        <f>SUM(OSRRefP22_11x_0)</f>
        <v>1892.27</v>
      </c>
      <c r="Q91" s="1"/>
      <c r="R91" s="5">
        <f t="shared" ref="R91:R95" si="57">IF(P$12=0,0,P91/P$12)</f>
        <v>8.8789278488282622E-2</v>
      </c>
      <c r="S91" s="1"/>
      <c r="T91" s="1">
        <f>SUM(OSRRefT22_11x_0)</f>
        <v>3500</v>
      </c>
      <c r="U91" s="1"/>
      <c r="V91" s="5">
        <f t="shared" ref="V91:V95" si="58">IF(T$12=0,0,T91/T$12)</f>
        <v>2.166525326681069E-2</v>
      </c>
      <c r="W91" s="1"/>
      <c r="X91" s="1">
        <f t="shared" ref="X91:X95" si="59">+P91-T91</f>
        <v>-1607.73</v>
      </c>
      <c r="Y91" s="1"/>
      <c r="Z91" s="5">
        <f t="shared" ref="Z91:Z95" si="60">IF(T91=0,0,X91/T91)</f>
        <v>-0.45935142857142858</v>
      </c>
    </row>
    <row r="92" spans="1:26" s="24" customFormat="1" hidden="1" outlineLevel="2" x14ac:dyDescent="0.25">
      <c r="A92" s="26"/>
      <c r="B92" s="11" t="str">
        <f>CONCATENATE("          ", "6235", " - ", "COVID-19 EXPENSES")</f>
        <v xml:space="preserve">          6235 - COVID-19 EXPENSES</v>
      </c>
      <c r="C92" s="11"/>
      <c r="D92" s="6"/>
      <c r="E92" s="2"/>
      <c r="F92" s="7">
        <f t="shared" si="53"/>
        <v>0</v>
      </c>
      <c r="G92" s="2"/>
      <c r="H92" s="6">
        <v>200</v>
      </c>
      <c r="I92" s="2"/>
      <c r="J92" s="7">
        <f t="shared" si="54"/>
        <v>0.24420024420024419</v>
      </c>
      <c r="K92" s="2"/>
      <c r="L92" s="6">
        <f t="shared" si="55"/>
        <v>-200</v>
      </c>
      <c r="M92" s="2"/>
      <c r="N92" s="7">
        <f t="shared" si="56"/>
        <v>-1</v>
      </c>
      <c r="O92" s="11"/>
      <c r="P92" s="6">
        <v>444.3</v>
      </c>
      <c r="Q92" s="2"/>
      <c r="R92" s="7">
        <f t="shared" si="57"/>
        <v>2.0847488166246871E-2</v>
      </c>
      <c r="S92" s="2"/>
      <c r="T92" s="6">
        <v>2200</v>
      </c>
      <c r="U92" s="2"/>
      <c r="V92" s="7">
        <f t="shared" si="58"/>
        <v>1.3618159196281005E-2</v>
      </c>
      <c r="W92" s="2"/>
      <c r="X92" s="6">
        <f t="shared" si="59"/>
        <v>-1755.7</v>
      </c>
      <c r="Y92" s="2"/>
      <c r="Z92" s="7">
        <f t="shared" si="60"/>
        <v>-0.79804545454545461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6"/>
      <c r="E93" s="2"/>
      <c r="F93" s="7">
        <f t="shared" si="53"/>
        <v>0</v>
      </c>
      <c r="G93" s="2"/>
      <c r="H93" s="6"/>
      <c r="I93" s="2"/>
      <c r="J93" s="7">
        <f t="shared" si="54"/>
        <v>0</v>
      </c>
      <c r="K93" s="2"/>
      <c r="L93" s="6">
        <f t="shared" si="55"/>
        <v>0</v>
      </c>
      <c r="M93" s="2"/>
      <c r="N93" s="7">
        <f t="shared" si="56"/>
        <v>0</v>
      </c>
      <c r="O93" s="11"/>
      <c r="P93" s="6">
        <v>225.24</v>
      </c>
      <c r="Q93" s="2"/>
      <c r="R93" s="7">
        <f t="shared" si="57"/>
        <v>1.056873336611624E-2</v>
      </c>
      <c r="S93" s="2"/>
      <c r="T93" s="6"/>
      <c r="U93" s="2"/>
      <c r="V93" s="7">
        <f t="shared" si="58"/>
        <v>0</v>
      </c>
      <c r="W93" s="2"/>
      <c r="X93" s="6">
        <f t="shared" si="59"/>
        <v>225.24</v>
      </c>
      <c r="Y93" s="2"/>
      <c r="Z93" s="7">
        <f t="shared" si="60"/>
        <v>0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6"/>
      <c r="E94" s="2"/>
      <c r="F94" s="7">
        <f t="shared" si="53"/>
        <v>0</v>
      </c>
      <c r="G94" s="2"/>
      <c r="H94" s="6">
        <v>100</v>
      </c>
      <c r="I94" s="2"/>
      <c r="J94" s="7">
        <f t="shared" si="54"/>
        <v>0.1221001221001221</v>
      </c>
      <c r="K94" s="2"/>
      <c r="L94" s="6">
        <f t="shared" si="55"/>
        <v>-100</v>
      </c>
      <c r="M94" s="2"/>
      <c r="N94" s="7">
        <f t="shared" si="56"/>
        <v>-1</v>
      </c>
      <c r="O94" s="11"/>
      <c r="P94" s="6">
        <v>1222.73</v>
      </c>
      <c r="Q94" s="2"/>
      <c r="R94" s="7">
        <f t="shared" si="57"/>
        <v>5.7373056955919509E-2</v>
      </c>
      <c r="S94" s="2"/>
      <c r="T94" s="6">
        <v>1100</v>
      </c>
      <c r="U94" s="2"/>
      <c r="V94" s="7">
        <f t="shared" si="58"/>
        <v>6.8090795981405024E-3</v>
      </c>
      <c r="W94" s="2"/>
      <c r="X94" s="6">
        <f t="shared" si="59"/>
        <v>122.73000000000002</v>
      </c>
      <c r="Y94" s="2"/>
      <c r="Z94" s="7">
        <f t="shared" si="60"/>
        <v>0.1115727272727273</v>
      </c>
    </row>
    <row r="95" spans="1:26" s="24" customFormat="1" hidden="1" outlineLevel="2" x14ac:dyDescent="0.25">
      <c r="A95" s="26"/>
      <c r="B95" s="11" t="str">
        <f>CONCATENATE("          ", "6248", " - ", "UNIFORMS")</f>
        <v xml:space="preserve">          6248 - UNIFORMS</v>
      </c>
      <c r="C95" s="11"/>
      <c r="D95" s="6"/>
      <c r="E95" s="2"/>
      <c r="F95" s="7">
        <f t="shared" si="53"/>
        <v>0</v>
      </c>
      <c r="G95" s="2"/>
      <c r="H95" s="6"/>
      <c r="I95" s="2"/>
      <c r="J95" s="7">
        <f t="shared" si="54"/>
        <v>0</v>
      </c>
      <c r="K95" s="2"/>
      <c r="L95" s="6">
        <f t="shared" si="55"/>
        <v>0</v>
      </c>
      <c r="M95" s="2"/>
      <c r="N95" s="7">
        <f t="shared" si="56"/>
        <v>0</v>
      </c>
      <c r="O95" s="11"/>
      <c r="P95" s="6"/>
      <c r="Q95" s="2"/>
      <c r="R95" s="7">
        <f t="shared" si="57"/>
        <v>0</v>
      </c>
      <c r="S95" s="2"/>
      <c r="T95" s="6">
        <v>200</v>
      </c>
      <c r="U95" s="2"/>
      <c r="V95" s="7">
        <f t="shared" si="58"/>
        <v>1.2380144723891822E-3</v>
      </c>
      <c r="W95" s="2"/>
      <c r="X95" s="6">
        <f t="shared" si="59"/>
        <v>-200</v>
      </c>
      <c r="Y95" s="2"/>
      <c r="Z95" s="7">
        <f t="shared" si="60"/>
        <v>-1</v>
      </c>
    </row>
    <row r="96" spans="1:26" s="27" customFormat="1" outlineLevel="1" collapsed="1" x14ac:dyDescent="0.25">
      <c r="A96" s="25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SUM(OSRRefD22_12x_0)</f>
        <v>53</v>
      </c>
      <c r="E96" s="1"/>
      <c r="F96" s="5">
        <f t="shared" ref="F96:F98" si="61">IF(D$12=0,0,D96/D$12)</f>
        <v>0</v>
      </c>
      <c r="G96" s="1"/>
      <c r="H96" s="1">
        <f>SUM(OSRRefH22_12x_0)</f>
        <v>100</v>
      </c>
      <c r="I96" s="1"/>
      <c r="J96" s="5">
        <f t="shared" ref="J96:J98" si="62">IF(H$12=0,0,H96/H$12)</f>
        <v>0.1221001221001221</v>
      </c>
      <c r="K96" s="1"/>
      <c r="L96" s="1">
        <f t="shared" ref="L96:L98" si="63">+D96-H96</f>
        <v>-47</v>
      </c>
      <c r="M96" s="1"/>
      <c r="N96" s="5">
        <f t="shared" ref="N96:N98" si="64">IF(H96=0,0,L96/H96)</f>
        <v>-0.47</v>
      </c>
      <c r="O96" s="13"/>
      <c r="P96" s="1">
        <f>SUM(OSRRefP22_12x_0)</f>
        <v>684.05</v>
      </c>
      <c r="Q96" s="1"/>
      <c r="R96" s="5">
        <f t="shared" ref="R96:R98" si="65">IF(P$12=0,0,P96/P$12)</f>
        <v>3.2097061175154561E-2</v>
      </c>
      <c r="S96" s="1"/>
      <c r="T96" s="1">
        <f>SUM(OSRRefT22_12x_0)</f>
        <v>1200</v>
      </c>
      <c r="U96" s="1"/>
      <c r="V96" s="5">
        <f t="shared" ref="V96:V98" si="66">IF(T$12=0,0,T96/T$12)</f>
        <v>7.4280868343350936E-3</v>
      </c>
      <c r="W96" s="1"/>
      <c r="X96" s="1">
        <f t="shared" ref="X96:X98" si="67">+P96-T96</f>
        <v>-515.95000000000005</v>
      </c>
      <c r="Y96" s="1"/>
      <c r="Z96" s="5">
        <f t="shared" ref="Z96:Z98" si="68">IF(T96=0,0,X96/T96)</f>
        <v>-0.42995833333333339</v>
      </c>
    </row>
    <row r="97" spans="1:26" s="24" customFormat="1" hidden="1" outlineLevel="2" x14ac:dyDescent="0.25">
      <c r="A97" s="26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61"/>
        <v>0</v>
      </c>
      <c r="G97" s="2"/>
      <c r="H97" s="6">
        <v>100</v>
      </c>
      <c r="I97" s="2"/>
      <c r="J97" s="7">
        <f t="shared" si="62"/>
        <v>0.1221001221001221</v>
      </c>
      <c r="K97" s="2"/>
      <c r="L97" s="6">
        <f t="shared" si="63"/>
        <v>-100</v>
      </c>
      <c r="M97" s="2"/>
      <c r="N97" s="7">
        <f t="shared" si="64"/>
        <v>-1</v>
      </c>
      <c r="O97" s="11"/>
      <c r="P97" s="6"/>
      <c r="Q97" s="2"/>
      <c r="R97" s="7">
        <f t="shared" si="65"/>
        <v>0</v>
      </c>
      <c r="S97" s="2"/>
      <c r="T97" s="6">
        <v>1200</v>
      </c>
      <c r="U97" s="2"/>
      <c r="V97" s="7">
        <f t="shared" si="66"/>
        <v>7.4280868343350936E-3</v>
      </c>
      <c r="W97" s="2"/>
      <c r="X97" s="6">
        <f t="shared" si="67"/>
        <v>-1200</v>
      </c>
      <c r="Y97" s="2"/>
      <c r="Z97" s="7">
        <f t="shared" si="68"/>
        <v>-1</v>
      </c>
    </row>
    <row r="98" spans="1:26" s="24" customFormat="1" hidden="1" outlineLevel="2" x14ac:dyDescent="0.25">
      <c r="A98" s="26"/>
      <c r="B98" s="11" t="str">
        <f>CONCATENATE("          ", "6309", " - ", "TELEPHONE")</f>
        <v xml:space="preserve">          6309 - TELEPHONE</v>
      </c>
      <c r="C98" s="11"/>
      <c r="D98" s="6">
        <v>53</v>
      </c>
      <c r="E98" s="2"/>
      <c r="F98" s="7">
        <f t="shared" si="61"/>
        <v>0</v>
      </c>
      <c r="G98" s="2"/>
      <c r="H98" s="6"/>
      <c r="I98" s="2"/>
      <c r="J98" s="7">
        <f t="shared" si="62"/>
        <v>0</v>
      </c>
      <c r="K98" s="2"/>
      <c r="L98" s="6">
        <f t="shared" si="63"/>
        <v>53</v>
      </c>
      <c r="M98" s="2"/>
      <c r="N98" s="7">
        <f t="shared" si="64"/>
        <v>0</v>
      </c>
      <c r="O98" s="11"/>
      <c r="P98" s="6">
        <v>684.05</v>
      </c>
      <c r="Q98" s="2"/>
      <c r="R98" s="7">
        <f t="shared" si="65"/>
        <v>3.2097061175154561E-2</v>
      </c>
      <c r="S98" s="2"/>
      <c r="T98" s="6"/>
      <c r="U98" s="2"/>
      <c r="V98" s="7">
        <f t="shared" si="66"/>
        <v>0</v>
      </c>
      <c r="W98" s="2"/>
      <c r="X98" s="6">
        <f t="shared" si="67"/>
        <v>684.05</v>
      </c>
      <c r="Y98" s="2"/>
      <c r="Z98" s="7">
        <f t="shared" si="68"/>
        <v>0</v>
      </c>
    </row>
    <row r="99" spans="1:26" s="27" customFormat="1" outlineLevel="1" collapsed="1" x14ac:dyDescent="0.25">
      <c r="A99" s="25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SUM(OSRRefD22_13x_0)</f>
        <v>0</v>
      </c>
      <c r="E99" s="1"/>
      <c r="F99" s="5">
        <f t="shared" ref="F99:F100" si="69">IF(D$12=0,0,D99/D$12)</f>
        <v>0</v>
      </c>
      <c r="G99" s="1"/>
      <c r="H99" s="1">
        <f>SUM(OSRRefH22_13x_0)</f>
        <v>0</v>
      </c>
      <c r="I99" s="1"/>
      <c r="J99" s="5">
        <f t="shared" ref="J99:J100" si="70">IF(H$12=0,0,H99/H$12)</f>
        <v>0</v>
      </c>
      <c r="K99" s="1"/>
      <c r="L99" s="1">
        <f t="shared" ref="L99:L100" si="71">+D99-H99</f>
        <v>0</v>
      </c>
      <c r="M99" s="1"/>
      <c r="N99" s="5">
        <f t="shared" ref="N99:N100" si="72">IF(H99=0,0,L99/H99)</f>
        <v>0</v>
      </c>
      <c r="O99" s="13"/>
      <c r="P99" s="1">
        <f>SUM(OSRRefP22_13x_0)</f>
        <v>14</v>
      </c>
      <c r="Q99" s="1"/>
      <c r="R99" s="5">
        <f t="shared" ref="R99:R100" si="73">IF(P$12=0,0,P99/P$12)</f>
        <v>6.5690937278293094E-4</v>
      </c>
      <c r="S99" s="1"/>
      <c r="T99" s="1">
        <f>SUM(OSRRefT22_13x_0)</f>
        <v>120</v>
      </c>
      <c r="U99" s="1"/>
      <c r="V99" s="5">
        <f t="shared" ref="V99:V100" si="74">IF(T$12=0,0,T99/T$12)</f>
        <v>7.428086834335093E-4</v>
      </c>
      <c r="W99" s="1"/>
      <c r="X99" s="1">
        <f t="shared" ref="X99:X100" si="75">+P99-T99</f>
        <v>-106</v>
      </c>
      <c r="Y99" s="1"/>
      <c r="Z99" s="5">
        <f t="shared" ref="Z99:Z100" si="76">IF(T99=0,0,X99/T99)</f>
        <v>-0.8833333333333333</v>
      </c>
    </row>
    <row r="100" spans="1:26" s="24" customFormat="1" hidden="1" outlineLevel="2" x14ac:dyDescent="0.25">
      <c r="A100" s="26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69"/>
        <v>0</v>
      </c>
      <c r="G100" s="2"/>
      <c r="H100" s="6"/>
      <c r="I100" s="2"/>
      <c r="J100" s="7">
        <f t="shared" si="70"/>
        <v>0</v>
      </c>
      <c r="K100" s="2"/>
      <c r="L100" s="6">
        <f t="shared" si="71"/>
        <v>0</v>
      </c>
      <c r="M100" s="2"/>
      <c r="N100" s="7">
        <f t="shared" si="72"/>
        <v>0</v>
      </c>
      <c r="O100" s="11"/>
      <c r="P100" s="6">
        <v>14</v>
      </c>
      <c r="Q100" s="2"/>
      <c r="R100" s="7">
        <f t="shared" si="73"/>
        <v>6.5690937278293094E-4</v>
      </c>
      <c r="S100" s="2"/>
      <c r="T100" s="6">
        <v>120</v>
      </c>
      <c r="U100" s="2"/>
      <c r="V100" s="7">
        <f t="shared" si="74"/>
        <v>7.428086834335093E-4</v>
      </c>
      <c r="W100" s="2"/>
      <c r="X100" s="6">
        <f t="shared" si="75"/>
        <v>-106</v>
      </c>
      <c r="Y100" s="2"/>
      <c r="Z100" s="7">
        <f t="shared" si="76"/>
        <v>-0.8833333333333333</v>
      </c>
    </row>
    <row r="101" spans="1:26" s="61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9" t="s">
        <v>293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277</v>
      </c>
      <c r="C104" s="28"/>
      <c r="D104" s="20">
        <f>+D47-D49+D102</f>
        <v>-175083.1</v>
      </c>
      <c r="E104" s="14"/>
      <c r="F104" s="22">
        <f>IF(D$12=0,0,D104/D$12)</f>
        <v>0</v>
      </c>
      <c r="G104" s="14"/>
      <c r="H104" s="20">
        <f>+H47-H49+H102</f>
        <v>-7896.0878627000002</v>
      </c>
      <c r="I104" s="14"/>
      <c r="J104" s="22">
        <f>IF(H$12=0,0,H104/H$12)</f>
        <v>-9.6411329214896213</v>
      </c>
      <c r="K104" s="16"/>
      <c r="L104" s="20">
        <f>+D104-H104</f>
        <v>-167187.01213730001</v>
      </c>
      <c r="M104" s="16"/>
      <c r="N104" s="22">
        <f>IF(H104=0,0,L104/H104)</f>
        <v>21.173398149109733</v>
      </c>
      <c r="O104" s="29"/>
      <c r="P104" s="20">
        <f>+P47-P49+P102</f>
        <v>-180346.55999999997</v>
      </c>
      <c r="Q104" s="14"/>
      <c r="R104" s="22">
        <f>IF(P$12=0,0,P104/P$12)</f>
        <v>-8.4622389723685139</v>
      </c>
      <c r="S104" s="14"/>
      <c r="T104" s="20">
        <f>+T47-T49+T102</f>
        <v>-74085.405286699999</v>
      </c>
      <c r="U104" s="14"/>
      <c r="V104" s="22">
        <f>IF(T$12=0,0,T104/T$12)</f>
        <v>-0.45859401968876318</v>
      </c>
      <c r="W104" s="16"/>
      <c r="X104" s="20">
        <f>+P104-T104</f>
        <v>-106261.15471329997</v>
      </c>
      <c r="Y104" s="16"/>
      <c r="Z104" s="22">
        <f>IF(T104=0,0,X104/T104)</f>
        <v>1.4343061808474205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128</v>
      </c>
      <c r="C106" s="10"/>
      <c r="D106" s="4">
        <v>1344.87</v>
      </c>
      <c r="E106" s="4"/>
      <c r="F106" s="12">
        <f>IF(D$12=0,0,D106/D$12)</f>
        <v>0</v>
      </c>
      <c r="G106" s="4"/>
      <c r="H106" s="4">
        <v>-2526</v>
      </c>
      <c r="I106" s="4"/>
      <c r="J106" s="12">
        <f>IF(H$12=0,0,H106/H$12)</f>
        <v>-3.0842490842490844</v>
      </c>
      <c r="K106" s="4"/>
      <c r="L106" s="4">
        <f>+D106-H106</f>
        <v>3870.87</v>
      </c>
      <c r="M106" s="4"/>
      <c r="N106" s="12">
        <f>IF(H106=0,0,L106/H106)</f>
        <v>-1.5324109263657957</v>
      </c>
      <c r="O106" s="10"/>
      <c r="P106" s="4">
        <v>5899.03</v>
      </c>
      <c r="Q106" s="4"/>
      <c r="R106" s="12">
        <f>IF(P$12=0,0,P106/P$12)</f>
        <v>0.27679486409483522</v>
      </c>
      <c r="S106" s="4"/>
      <c r="T106" s="4">
        <v>27298</v>
      </c>
      <c r="U106" s="4"/>
      <c r="V106" s="12">
        <f>IF(T$12=0,0,T106/T$12)</f>
        <v>0.16897659533639947</v>
      </c>
      <c r="W106" s="4"/>
      <c r="X106" s="4">
        <f>+P106-T106</f>
        <v>-21398.97</v>
      </c>
      <c r="Y106" s="4"/>
      <c r="Z106" s="12">
        <f>IF(T106=0,0,X106/T106)</f>
        <v>-0.78390248369843951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126</v>
      </c>
      <c r="C108" s="28"/>
      <c r="D108" s="34">
        <f>+D104-D106</f>
        <v>-176427.97</v>
      </c>
      <c r="E108" s="14"/>
      <c r="F108" s="35">
        <f>IF(D$12=0,0,D108/D$12)</f>
        <v>0</v>
      </c>
      <c r="G108" s="14"/>
      <c r="H108" s="34">
        <f>+H104-H106</f>
        <v>-5370.0878627000002</v>
      </c>
      <c r="I108" s="14"/>
      <c r="J108" s="35">
        <f>IF(H$12=0,0,H108/H$12)</f>
        <v>-6.5568838372405374</v>
      </c>
      <c r="K108" s="16"/>
      <c r="L108" s="34">
        <f>D108-H108</f>
        <v>-171057.88213730001</v>
      </c>
      <c r="M108" s="16"/>
      <c r="N108" s="35">
        <f>IF(H108=0,0,L108/H108)</f>
        <v>31.853833030451508</v>
      </c>
      <c r="O108" s="29"/>
      <c r="P108" s="34">
        <f>+P104-P106</f>
        <v>-186245.58999999997</v>
      </c>
      <c r="Q108" s="14"/>
      <c r="R108" s="35">
        <f>IF(P$12=0,0,P108/P$12)</f>
        <v>-8.7390338364633493</v>
      </c>
      <c r="S108" s="14"/>
      <c r="T108" s="34">
        <f>+T104-T106</f>
        <v>-101383.4052867</v>
      </c>
      <c r="U108" s="14"/>
      <c r="V108" s="35">
        <f>IF(T$12=0,0,T108/T$12)</f>
        <v>-0.62757061502516265</v>
      </c>
      <c r="W108" s="16"/>
      <c r="X108" s="34">
        <f>P108-T108</f>
        <v>-84862.184713299968</v>
      </c>
      <c r="Y108" s="16"/>
      <c r="Z108" s="35">
        <f>IF(T108=0,0,X108/T108)</f>
        <v>0.83704216161727829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294</v>
      </c>
      <c r="C111" s="28"/>
      <c r="D111" s="33">
        <f>SUM(D108:D110)</f>
        <v>-176427.97</v>
      </c>
      <c r="E111" s="14"/>
      <c r="F111" s="31">
        <f>IF(D$12=0,0,D111/D$12)</f>
        <v>0</v>
      </c>
      <c r="G111" s="14"/>
      <c r="H111" s="33">
        <f>SUM(H108:H110)</f>
        <v>-5370.0878627000002</v>
      </c>
      <c r="I111" s="14"/>
      <c r="J111" s="31">
        <f>IF(H$12=0,0,H111/H$12)</f>
        <v>-6.5568838372405374</v>
      </c>
      <c r="K111" s="16"/>
      <c r="L111" s="33">
        <f>+D111-H111</f>
        <v>-171057.88213730001</v>
      </c>
      <c r="M111" s="16"/>
      <c r="N111" s="31">
        <f>IF(H111=0,0,L111/H111)</f>
        <v>31.853833030451508</v>
      </c>
      <c r="O111" s="29"/>
      <c r="P111" s="33">
        <f>SUM(P108:P110)</f>
        <v>-186245.58999999997</v>
      </c>
      <c r="Q111" s="14"/>
      <c r="R111" s="31">
        <f>IF(P$12=0,0,P111/P$12)</f>
        <v>-8.7390338364633493</v>
      </c>
      <c r="S111" s="14"/>
      <c r="T111" s="33">
        <f>SUM(T108:T110)</f>
        <v>-101383.4052867</v>
      </c>
      <c r="U111" s="14"/>
      <c r="V111" s="31">
        <f>IF(T$12=0,0,T111/T$12)</f>
        <v>-0.62757061502516265</v>
      </c>
      <c r="W111" s="16"/>
      <c r="X111" s="33">
        <f>+P111-T111</f>
        <v>-84862.184713299968</v>
      </c>
      <c r="Y111" s="16"/>
      <c r="Z111" s="31">
        <f>IF(T111=0,0,X111/T111)</f>
        <v>0.83704216161727829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>
        <v>44454.686112384261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5" t="s">
        <v>56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63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4051.7399999999975</v>
      </c>
      <c r="E12" s="4"/>
      <c r="F12" s="12"/>
      <c r="G12" s="4"/>
      <c r="H12" s="4">
        <f>SUM(OSRRefH13x_0)</f>
        <v>19512</v>
      </c>
      <c r="I12" s="4"/>
      <c r="J12" s="12"/>
      <c r="K12" s="4"/>
      <c r="L12" s="4">
        <f t="shared" ref="L12:L35" si="0">+D12-H12</f>
        <v>-15460.260000000002</v>
      </c>
      <c r="M12" s="4"/>
      <c r="N12" s="12">
        <f t="shared" ref="N12:N35" si="1">IF(H12=0,0,L12/H12)</f>
        <v>-0.79234624846248469</v>
      </c>
      <c r="O12" s="10"/>
      <c r="P12" s="4">
        <f>SUM(OSRRefP13x_0)</f>
        <v>2747382.1500000004</v>
      </c>
      <c r="Q12" s="4"/>
      <c r="R12" s="12"/>
      <c r="S12" s="4"/>
      <c r="T12" s="4">
        <f>SUM(OSRRefT13x_0)</f>
        <v>4474784</v>
      </c>
      <c r="U12" s="4"/>
      <c r="V12" s="12"/>
      <c r="W12" s="4"/>
      <c r="X12" s="4">
        <f t="shared" ref="X12:X35" si="2">+P12-T12</f>
        <v>-1727401.8499999996</v>
      </c>
      <c r="Y12" s="4"/>
      <c r="Z12" s="12">
        <f t="shared" ref="Z12:Z35" si="3">IF(T12=0,0,X12/T12)</f>
        <v>-0.38603021955920097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-260.84</f>
        <v>-260.83999999999997</v>
      </c>
      <c r="E13" s="2"/>
      <c r="F13" s="19"/>
      <c r="G13" s="2"/>
      <c r="H13" s="2">
        <v>19512</v>
      </c>
      <c r="I13" s="2"/>
      <c r="J13" s="19"/>
      <c r="K13" s="2"/>
      <c r="L13" s="2">
        <f t="shared" si="0"/>
        <v>-19772.84</v>
      </c>
      <c r="M13" s="2"/>
      <c r="N13" s="19">
        <f t="shared" si="1"/>
        <v>-1.0133681836818369</v>
      </c>
      <c r="O13" s="11"/>
      <c r="P13" s="2">
        <f>-9541.2</f>
        <v>-9541.2000000000007</v>
      </c>
      <c r="Q13" s="2"/>
      <c r="R13" s="19"/>
      <c r="S13" s="2"/>
      <c r="T13" s="2">
        <v>4474784</v>
      </c>
      <c r="U13" s="2"/>
      <c r="V13" s="19"/>
      <c r="W13" s="2"/>
      <c r="X13" s="2">
        <f t="shared" si="2"/>
        <v>-4484325.2</v>
      </c>
      <c r="Y13" s="2"/>
      <c r="Z13" s="19">
        <f t="shared" si="3"/>
        <v>-1.0021322146499139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--9691.34</f>
        <v>9691.34</v>
      </c>
      <c r="E14" s="2"/>
      <c r="F14" s="19"/>
      <c r="G14" s="2"/>
      <c r="H14" s="2"/>
      <c r="I14" s="2"/>
      <c r="J14" s="19"/>
      <c r="K14" s="2"/>
      <c r="L14" s="2">
        <f t="shared" si="0"/>
        <v>9691.34</v>
      </c>
      <c r="M14" s="2"/>
      <c r="N14" s="19">
        <f t="shared" si="1"/>
        <v>0</v>
      </c>
      <c r="O14" s="11"/>
      <c r="P14" s="2">
        <f>--1308779.9</f>
        <v>1308779.8999999999</v>
      </c>
      <c r="Q14" s="2"/>
      <c r="R14" s="19"/>
      <c r="S14" s="2"/>
      <c r="T14" s="2"/>
      <c r="U14" s="2"/>
      <c r="V14" s="19"/>
      <c r="W14" s="2"/>
      <c r="X14" s="2">
        <f t="shared" si="2"/>
        <v>1308779.8999999999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--6642.8</f>
        <v>6642.8</v>
      </c>
      <c r="E15" s="2"/>
      <c r="F15" s="19"/>
      <c r="G15" s="2"/>
      <c r="H15" s="2"/>
      <c r="I15" s="2"/>
      <c r="J15" s="19"/>
      <c r="K15" s="2"/>
      <c r="L15" s="2">
        <f t="shared" si="0"/>
        <v>6642.8</v>
      </c>
      <c r="M15" s="2"/>
      <c r="N15" s="19">
        <f t="shared" si="1"/>
        <v>0</v>
      </c>
      <c r="O15" s="11"/>
      <c r="P15" s="2">
        <f>--596913.27</f>
        <v>596913.27</v>
      </c>
      <c r="Q15" s="2"/>
      <c r="R15" s="19"/>
      <c r="S15" s="2"/>
      <c r="T15" s="2"/>
      <c r="U15" s="2"/>
      <c r="V15" s="19"/>
      <c r="W15" s="2"/>
      <c r="X15" s="2">
        <f t="shared" si="2"/>
        <v>596913.27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-14487.2</f>
        <v>-14487.2</v>
      </c>
      <c r="E21" s="2"/>
      <c r="F21" s="19"/>
      <c r="G21" s="2"/>
      <c r="H21" s="2"/>
      <c r="I21" s="2"/>
      <c r="J21" s="19"/>
      <c r="K21" s="2"/>
      <c r="L21" s="2">
        <f t="shared" si="0"/>
        <v>-14487.2</v>
      </c>
      <c r="M21" s="2"/>
      <c r="N21" s="19">
        <f t="shared" si="1"/>
        <v>0</v>
      </c>
      <c r="O21" s="11"/>
      <c r="P21" s="2">
        <f>--262897.78</f>
        <v>262897.78000000003</v>
      </c>
      <c r="Q21" s="2"/>
      <c r="R21" s="19"/>
      <c r="S21" s="2"/>
      <c r="T21" s="2"/>
      <c r="U21" s="2"/>
      <c r="V21" s="19"/>
      <c r="W21" s="2"/>
      <c r="X21" s="2">
        <f t="shared" si="2"/>
        <v>262897.78000000003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--1301.39</f>
        <v>1301.3900000000001</v>
      </c>
      <c r="E22" s="2"/>
      <c r="F22" s="19"/>
      <c r="G22" s="2"/>
      <c r="H22" s="2"/>
      <c r="I22" s="2"/>
      <c r="J22" s="19"/>
      <c r="K22" s="2"/>
      <c r="L22" s="2">
        <f t="shared" si="0"/>
        <v>1301.3900000000001</v>
      </c>
      <c r="M22" s="2"/>
      <c r="N22" s="19">
        <f t="shared" si="1"/>
        <v>0</v>
      </c>
      <c r="O22" s="11"/>
      <c r="P22" s="2">
        <f>--120548.46</f>
        <v>120548.46</v>
      </c>
      <c r="Q22" s="2"/>
      <c r="R22" s="19"/>
      <c r="S22" s="2"/>
      <c r="T22" s="2"/>
      <c r="U22" s="2"/>
      <c r="V22" s="19"/>
      <c r="W22" s="2"/>
      <c r="X22" s="2">
        <f t="shared" si="2"/>
        <v>120548.46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--540.91</f>
        <v>540.91</v>
      </c>
      <c r="E23" s="2"/>
      <c r="F23" s="19"/>
      <c r="G23" s="2"/>
      <c r="H23" s="2"/>
      <c r="I23" s="2"/>
      <c r="J23" s="19"/>
      <c r="K23" s="2"/>
      <c r="L23" s="2">
        <f t="shared" si="0"/>
        <v>540.91</v>
      </c>
      <c r="M23" s="2"/>
      <c r="N23" s="19">
        <f t="shared" si="1"/>
        <v>0</v>
      </c>
      <c r="O23" s="11"/>
      <c r="P23" s="2">
        <f>--51587.64</f>
        <v>51587.64</v>
      </c>
      <c r="Q23" s="2"/>
      <c r="R23" s="19"/>
      <c r="S23" s="2"/>
      <c r="T23" s="2"/>
      <c r="U23" s="2"/>
      <c r="V23" s="19"/>
      <c r="W23" s="2"/>
      <c r="X23" s="2">
        <f t="shared" si="2"/>
        <v>51587.64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--1138.95</f>
        <v>1138.95</v>
      </c>
      <c r="Q24" s="2"/>
      <c r="R24" s="19"/>
      <c r="S24" s="2"/>
      <c r="T24" s="2"/>
      <c r="U24" s="2"/>
      <c r="V24" s="19"/>
      <c r="W24" s="2"/>
      <c r="X24" s="2">
        <f t="shared" si="2"/>
        <v>1138.95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--695.53</f>
        <v>695.53</v>
      </c>
      <c r="E25" s="2"/>
      <c r="F25" s="19"/>
      <c r="G25" s="2"/>
      <c r="H25" s="2"/>
      <c r="I25" s="2"/>
      <c r="J25" s="19"/>
      <c r="K25" s="2"/>
      <c r="L25" s="2">
        <f t="shared" si="0"/>
        <v>695.53</v>
      </c>
      <c r="M25" s="2"/>
      <c r="N25" s="19">
        <f t="shared" si="1"/>
        <v>0</v>
      </c>
      <c r="O25" s="11"/>
      <c r="P25" s="2">
        <f>--491583.26</f>
        <v>491583.26</v>
      </c>
      <c r="Q25" s="2"/>
      <c r="R25" s="19"/>
      <c r="S25" s="2"/>
      <c r="T25" s="2"/>
      <c r="U25" s="2"/>
      <c r="V25" s="19"/>
      <c r="W25" s="2"/>
      <c r="X25" s="2">
        <f t="shared" si="2"/>
        <v>491583.26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--12127.25</f>
        <v>12127.25</v>
      </c>
      <c r="Q26" s="2"/>
      <c r="R26" s="19"/>
      <c r="S26" s="2"/>
      <c r="T26" s="2"/>
      <c r="U26" s="2"/>
      <c r="V26" s="19"/>
      <c r="W26" s="2"/>
      <c r="X26" s="2">
        <f t="shared" si="2"/>
        <v>12127.25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--594.22</f>
        <v>594.22</v>
      </c>
      <c r="E27" s="2"/>
      <c r="F27" s="19"/>
      <c r="G27" s="2"/>
      <c r="H27" s="2"/>
      <c r="I27" s="2"/>
      <c r="J27" s="19"/>
      <c r="K27" s="2"/>
      <c r="L27" s="2">
        <f t="shared" si="0"/>
        <v>594.22</v>
      </c>
      <c r="M27" s="2"/>
      <c r="N27" s="19">
        <f t="shared" si="1"/>
        <v>0</v>
      </c>
      <c r="O27" s="11"/>
      <c r="P27" s="2">
        <f>--1365.95</f>
        <v>1365.95</v>
      </c>
      <c r="Q27" s="2"/>
      <c r="R27" s="19"/>
      <c r="S27" s="2"/>
      <c r="T27" s="2"/>
      <c r="U27" s="2"/>
      <c r="V27" s="19"/>
      <c r="W27" s="2"/>
      <c r="X27" s="2">
        <f t="shared" si="2"/>
        <v>1365.95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-1101.25</f>
        <v>-1101.25</v>
      </c>
      <c r="E28" s="2"/>
      <c r="F28" s="19"/>
      <c r="G28" s="2"/>
      <c r="H28" s="2"/>
      <c r="I28" s="2"/>
      <c r="J28" s="19"/>
      <c r="K28" s="2"/>
      <c r="L28" s="2">
        <f t="shared" si="0"/>
        <v>-1101.25</v>
      </c>
      <c r="M28" s="2"/>
      <c r="N28" s="19">
        <f t="shared" si="1"/>
        <v>0</v>
      </c>
      <c r="O28" s="11"/>
      <c r="P28" s="2">
        <f>-53397.67</f>
        <v>-53397.67</v>
      </c>
      <c r="Q28" s="2"/>
      <c r="R28" s="19"/>
      <c r="S28" s="2"/>
      <c r="T28" s="2"/>
      <c r="U28" s="2"/>
      <c r="V28" s="19"/>
      <c r="W28" s="2"/>
      <c r="X28" s="2">
        <f t="shared" si="2"/>
        <v>-53397.67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-433.75</f>
        <v>-433.75</v>
      </c>
      <c r="E29" s="2"/>
      <c r="F29" s="19"/>
      <c r="G29" s="2"/>
      <c r="H29" s="2"/>
      <c r="I29" s="2"/>
      <c r="J29" s="19"/>
      <c r="K29" s="2"/>
      <c r="L29" s="2">
        <f t="shared" si="0"/>
        <v>-433.75</v>
      </c>
      <c r="M29" s="2"/>
      <c r="N29" s="19">
        <f t="shared" si="1"/>
        <v>0</v>
      </c>
      <c r="O29" s="11"/>
      <c r="P29" s="2">
        <f>-20889.41</f>
        <v>-20889.41</v>
      </c>
      <c r="Q29" s="2"/>
      <c r="R29" s="19"/>
      <c r="S29" s="2"/>
      <c r="T29" s="2"/>
      <c r="U29" s="2"/>
      <c r="V29" s="19"/>
      <c r="W29" s="2"/>
      <c r="X29" s="2">
        <f t="shared" si="2"/>
        <v>-20889.41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-1763.1</f>
        <v>-1763.1</v>
      </c>
      <c r="Q30" s="2"/>
      <c r="R30" s="19"/>
      <c r="S30" s="2"/>
      <c r="T30" s="2"/>
      <c r="U30" s="2"/>
      <c r="V30" s="19"/>
      <c r="W30" s="2"/>
      <c r="X30" s="2">
        <f t="shared" si="2"/>
        <v>-1763.1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>-25</f>
        <v>-25</v>
      </c>
      <c r="E31" s="2"/>
      <c r="F31" s="19"/>
      <c r="G31" s="2"/>
      <c r="H31" s="2"/>
      <c r="I31" s="2"/>
      <c r="J31" s="19"/>
      <c r="K31" s="2"/>
      <c r="L31" s="2">
        <f t="shared" si="0"/>
        <v>-25</v>
      </c>
      <c r="M31" s="2"/>
      <c r="N31" s="19">
        <f t="shared" si="1"/>
        <v>0</v>
      </c>
      <c r="O31" s="11"/>
      <c r="P31" s="2">
        <f>-103.92</f>
        <v>-103.92</v>
      </c>
      <c r="Q31" s="2"/>
      <c r="R31" s="19"/>
      <c r="S31" s="2"/>
      <c r="T31" s="2"/>
      <c r="U31" s="2"/>
      <c r="V31" s="19"/>
      <c r="W31" s="2"/>
      <c r="X31" s="2">
        <f t="shared" si="2"/>
        <v>-103.92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>-23.44</f>
        <v>-23.44</v>
      </c>
      <c r="E32" s="2"/>
      <c r="F32" s="19"/>
      <c r="G32" s="2"/>
      <c r="H32" s="2"/>
      <c r="I32" s="2"/>
      <c r="J32" s="19"/>
      <c r="K32" s="2"/>
      <c r="L32" s="2">
        <f t="shared" si="0"/>
        <v>-23.44</v>
      </c>
      <c r="M32" s="2"/>
      <c r="N32" s="19">
        <f t="shared" si="1"/>
        <v>0</v>
      </c>
      <c r="O32" s="11"/>
      <c r="P32" s="2">
        <f>-28.65</f>
        <v>-28.65</v>
      </c>
      <c r="Q32" s="2"/>
      <c r="R32" s="19"/>
      <c r="S32" s="2"/>
      <c r="T32" s="2"/>
      <c r="U32" s="2"/>
      <c r="V32" s="19"/>
      <c r="W32" s="2"/>
      <c r="X32" s="2">
        <f t="shared" si="2"/>
        <v>-28.65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-169.32</f>
        <v>-169.32</v>
      </c>
      <c r="E33" s="2"/>
      <c r="F33" s="19"/>
      <c r="G33" s="2"/>
      <c r="H33" s="2"/>
      <c r="I33" s="2"/>
      <c r="J33" s="19"/>
      <c r="K33" s="2"/>
      <c r="L33" s="2">
        <f t="shared" si="0"/>
        <v>-169.32</v>
      </c>
      <c r="M33" s="2"/>
      <c r="N33" s="19">
        <f t="shared" si="1"/>
        <v>0</v>
      </c>
      <c r="O33" s="11"/>
      <c r="P33" s="2">
        <f>-4965.68</f>
        <v>-4965.68</v>
      </c>
      <c r="Q33" s="2"/>
      <c r="R33" s="19"/>
      <c r="S33" s="2"/>
      <c r="T33" s="2"/>
      <c r="U33" s="2"/>
      <c r="V33" s="19"/>
      <c r="W33" s="2"/>
      <c r="X33" s="2">
        <f t="shared" si="2"/>
        <v>-4965.68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-111.43</f>
        <v>-111.43</v>
      </c>
      <c r="E34" s="2"/>
      <c r="F34" s="19"/>
      <c r="G34" s="2"/>
      <c r="H34" s="2"/>
      <c r="I34" s="2"/>
      <c r="J34" s="19"/>
      <c r="K34" s="2"/>
      <c r="L34" s="2">
        <f t="shared" si="0"/>
        <v>-111.43</v>
      </c>
      <c r="M34" s="2"/>
      <c r="N34" s="19">
        <f t="shared" si="1"/>
        <v>0</v>
      </c>
      <c r="O34" s="11"/>
      <c r="P34" s="2">
        <f>-2688.97</f>
        <v>-2688.97</v>
      </c>
      <c r="Q34" s="2"/>
      <c r="R34" s="19"/>
      <c r="S34" s="2"/>
      <c r="T34" s="2"/>
      <c r="U34" s="2"/>
      <c r="V34" s="19"/>
      <c r="W34" s="2"/>
      <c r="X34" s="2">
        <f t="shared" si="2"/>
        <v>-2688.97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-144.89</f>
        <v>-144.88999999999999</v>
      </c>
      <c r="E35" s="2"/>
      <c r="F35" s="19"/>
      <c r="G35" s="2"/>
      <c r="H35" s="2"/>
      <c r="I35" s="2"/>
      <c r="J35" s="19"/>
      <c r="K35" s="2"/>
      <c r="L35" s="2">
        <f t="shared" si="0"/>
        <v>-144.88999999999999</v>
      </c>
      <c r="M35" s="2"/>
      <c r="N35" s="19">
        <f t="shared" si="1"/>
        <v>0</v>
      </c>
      <c r="O35" s="11"/>
      <c r="P35" s="2">
        <f>-31026.87</f>
        <v>-31026.87</v>
      </c>
      <c r="Q35" s="2"/>
      <c r="R35" s="19"/>
      <c r="S35" s="2"/>
      <c r="T35" s="2"/>
      <c r="U35" s="2"/>
      <c r="V35" s="19"/>
      <c r="W35" s="2"/>
      <c r="X35" s="2">
        <f t="shared" si="2"/>
        <v>-31026.87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9" t="s">
        <v>257</v>
      </c>
      <c r="C37" s="10"/>
      <c r="D37" s="4">
        <f>SUM(OSRRefD16x_0)</f>
        <v>72505.529999999955</v>
      </c>
      <c r="E37" s="4"/>
      <c r="F37" s="12">
        <f t="shared" ref="F37:F53" si="4">IF(D$12=0,0,D37/D$12)</f>
        <v>17.894911815664383</v>
      </c>
      <c r="G37" s="4"/>
      <c r="H37" s="4">
        <f>SUM(OSRRefH16x_0)</f>
        <v>14276</v>
      </c>
      <c r="I37" s="4"/>
      <c r="J37" s="12">
        <f t="shared" ref="J37:J53" si="5">IF(H$12=0,0,H37/H$12)</f>
        <v>0.7316523165231652</v>
      </c>
      <c r="K37" s="4"/>
      <c r="L37" s="4">
        <f t="shared" ref="L37:L53" si="6">+D37-H37</f>
        <v>58229.529999999955</v>
      </c>
      <c r="M37" s="4"/>
      <c r="N37" s="12">
        <f t="shared" ref="N37:N53" si="7">IF(H37=0,0,L37/H37)</f>
        <v>4.0788407116839416</v>
      </c>
      <c r="O37" s="10"/>
      <c r="P37" s="4">
        <f>SUM(OSRRefP16x_0)</f>
        <v>2029969.2899999998</v>
      </c>
      <c r="Q37" s="4"/>
      <c r="R37" s="12">
        <f t="shared" ref="R37:R53" si="8">IF(P$12=0,0,P37/P$12)</f>
        <v>0.7388740186726479</v>
      </c>
      <c r="S37" s="4"/>
      <c r="T37" s="4">
        <f>SUM(OSRRefT16x_0)</f>
        <v>3254694</v>
      </c>
      <c r="U37" s="4"/>
      <c r="V37" s="12">
        <f t="shared" ref="V37:V53" si="9">IF(T$12=0,0,T37/T$12)</f>
        <v>0.72734102919828081</v>
      </c>
      <c r="W37" s="4"/>
      <c r="X37" s="4">
        <f t="shared" ref="X37:X53" si="10">+P37-T37</f>
        <v>-1224724.7100000002</v>
      </c>
      <c r="Y37" s="4"/>
      <c r="Z37" s="12">
        <f t="shared" ref="Z37:Z53" si="11">IF(T37=0,0,X37/T37)</f>
        <v>-0.37629488670824363</v>
      </c>
    </row>
    <row r="38" spans="1:26" s="24" customFormat="1" hidden="1" outlineLevel="1" x14ac:dyDescent="0.25">
      <c r="A38" s="44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19">
        <f t="shared" si="4"/>
        <v>0</v>
      </c>
      <c r="G38" s="2"/>
      <c r="H38" s="2">
        <v>14276</v>
      </c>
      <c r="I38" s="2"/>
      <c r="J38" s="19">
        <f t="shared" si="5"/>
        <v>0.7316523165231652</v>
      </c>
      <c r="K38" s="2"/>
      <c r="L38" s="2">
        <f t="shared" si="6"/>
        <v>-14276</v>
      </c>
      <c r="M38" s="2"/>
      <c r="N38" s="19">
        <f t="shared" si="7"/>
        <v>-1</v>
      </c>
      <c r="O38" s="11"/>
      <c r="P38" s="2">
        <v>0</v>
      </c>
      <c r="Q38" s="2"/>
      <c r="R38" s="19">
        <f t="shared" si="8"/>
        <v>0</v>
      </c>
      <c r="S38" s="2"/>
      <c r="T38" s="2">
        <v>3254694</v>
      </c>
      <c r="U38" s="2"/>
      <c r="V38" s="19">
        <f t="shared" si="9"/>
        <v>0.72734102919828081</v>
      </c>
      <c r="W38" s="2"/>
      <c r="X38" s="2">
        <f t="shared" si="10"/>
        <v>-3254694</v>
      </c>
      <c r="Y38" s="2"/>
      <c r="Z38" s="19">
        <f t="shared" si="11"/>
        <v>-1</v>
      </c>
    </row>
    <row r="39" spans="1:26" s="24" customFormat="1" hidden="1" outlineLevel="1" x14ac:dyDescent="0.25">
      <c r="A39" s="44"/>
      <c r="B39" s="11" t="str">
        <f>CONCATENATE("          ", "5001", " - ", "PURCHASES @ COST-NEW TEXT")</f>
        <v xml:space="preserve">          5001 - PURCHASES @ COST-NEW TEXT</v>
      </c>
      <c r="C39" s="11"/>
      <c r="D39" s="2">
        <v>142777.26</v>
      </c>
      <c r="E39" s="2"/>
      <c r="F39" s="19">
        <f t="shared" si="4"/>
        <v>35.238504938618988</v>
      </c>
      <c r="G39" s="2"/>
      <c r="H39" s="2"/>
      <c r="I39" s="2"/>
      <c r="J39" s="19">
        <f t="shared" si="5"/>
        <v>0</v>
      </c>
      <c r="K39" s="2"/>
      <c r="L39" s="2">
        <f t="shared" si="6"/>
        <v>142777.26</v>
      </c>
      <c r="M39" s="2"/>
      <c r="N39" s="19">
        <f t="shared" si="7"/>
        <v>0</v>
      </c>
      <c r="O39" s="11"/>
      <c r="P39" s="2">
        <v>1214343.74</v>
      </c>
      <c r="Q39" s="2"/>
      <c r="R39" s="19">
        <f t="shared" si="8"/>
        <v>0.44200030199657514</v>
      </c>
      <c r="S39" s="2"/>
      <c r="T39" s="2"/>
      <c r="U39" s="2"/>
      <c r="V39" s="19">
        <f t="shared" si="9"/>
        <v>0</v>
      </c>
      <c r="W39" s="2"/>
      <c r="X39" s="2">
        <f t="shared" si="10"/>
        <v>1214343.74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"5002", " - ", "PURCHASES @ COST-USED TEXT")</f>
        <v xml:space="preserve">          5002 - PURCHASES @ COST-USED TEXT</v>
      </c>
      <c r="C40" s="11"/>
      <c r="D40" s="2">
        <v>-17366.759999999998</v>
      </c>
      <c r="E40" s="2"/>
      <c r="F40" s="19">
        <f t="shared" si="4"/>
        <v>-4.28624739001022</v>
      </c>
      <c r="G40" s="2"/>
      <c r="H40" s="2"/>
      <c r="I40" s="2"/>
      <c r="J40" s="19">
        <f t="shared" si="5"/>
        <v>0</v>
      </c>
      <c r="K40" s="2"/>
      <c r="L40" s="2">
        <f t="shared" si="6"/>
        <v>-17366.759999999998</v>
      </c>
      <c r="M40" s="2"/>
      <c r="N40" s="19">
        <f t="shared" si="7"/>
        <v>0</v>
      </c>
      <c r="O40" s="11"/>
      <c r="P40" s="2">
        <v>262546.52</v>
      </c>
      <c r="Q40" s="2"/>
      <c r="R40" s="19">
        <f t="shared" si="8"/>
        <v>9.5562432040988535E-2</v>
      </c>
      <c r="S40" s="2"/>
      <c r="T40" s="2"/>
      <c r="U40" s="2"/>
      <c r="V40" s="19">
        <f t="shared" si="9"/>
        <v>0</v>
      </c>
      <c r="W40" s="2"/>
      <c r="X40" s="2">
        <f t="shared" si="10"/>
        <v>262546.52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"5003", " - ", "PURCHASES @ COST-RENTAL TEXT")</f>
        <v xml:space="preserve">          5003 - PURCHASES @ COST-RENTAL TEXT</v>
      </c>
      <c r="C41" s="11"/>
      <c r="D41" s="2">
        <v>6024.36</v>
      </c>
      <c r="E41" s="2"/>
      <c r="F41" s="19">
        <f t="shared" si="4"/>
        <v>1.4868574982600076</v>
      </c>
      <c r="G41" s="2"/>
      <c r="H41" s="2"/>
      <c r="I41" s="2"/>
      <c r="J41" s="19">
        <f t="shared" si="5"/>
        <v>0</v>
      </c>
      <c r="K41" s="2"/>
      <c r="L41" s="2">
        <f t="shared" si="6"/>
        <v>6024.36</v>
      </c>
      <c r="M41" s="2"/>
      <c r="N41" s="19">
        <f t="shared" si="7"/>
        <v>0</v>
      </c>
      <c r="O41" s="11"/>
      <c r="P41" s="2">
        <v>13236.44</v>
      </c>
      <c r="Q41" s="2"/>
      <c r="R41" s="19">
        <f t="shared" si="8"/>
        <v>4.8178372273402154E-3</v>
      </c>
      <c r="S41" s="2"/>
      <c r="T41" s="2"/>
      <c r="U41" s="2"/>
      <c r="V41" s="19">
        <f t="shared" si="9"/>
        <v>0</v>
      </c>
      <c r="W41" s="2"/>
      <c r="X41" s="2">
        <f t="shared" si="10"/>
        <v>13236.44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178285.37</v>
      </c>
      <c r="E42" s="2"/>
      <c r="F42" s="19">
        <f t="shared" si="4"/>
        <v>44.002174374466307</v>
      </c>
      <c r="G42" s="2"/>
      <c r="H42" s="2"/>
      <c r="I42" s="2"/>
      <c r="J42" s="19">
        <f t="shared" si="5"/>
        <v>0</v>
      </c>
      <c r="K42" s="2"/>
      <c r="L42" s="2">
        <f t="shared" si="6"/>
        <v>178285.37</v>
      </c>
      <c r="M42" s="2"/>
      <c r="N42" s="19">
        <f t="shared" si="7"/>
        <v>0</v>
      </c>
      <c r="O42" s="11"/>
      <c r="P42" s="2">
        <v>377891.8</v>
      </c>
      <c r="Q42" s="2"/>
      <c r="R42" s="19">
        <f t="shared" si="8"/>
        <v>0.13754613641935468</v>
      </c>
      <c r="S42" s="2"/>
      <c r="T42" s="2"/>
      <c r="U42" s="2"/>
      <c r="V42" s="19">
        <f t="shared" si="9"/>
        <v>0</v>
      </c>
      <c r="W42" s="2"/>
      <c r="X42" s="2">
        <f t="shared" si="10"/>
        <v>377891.8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"5011", " - ", "PURCHASES @ COST-NO VALUE TEXT")</f>
        <v xml:space="preserve">          5011 - PURCHASES @ COST-NO VALUE TEXT</v>
      </c>
      <c r="C43" s="11"/>
      <c r="D43" s="2">
        <v>63.17</v>
      </c>
      <c r="E43" s="2"/>
      <c r="F43" s="19">
        <f t="shared" si="4"/>
        <v>1.5590832580570332E-2</v>
      </c>
      <c r="G43" s="2"/>
      <c r="H43" s="2"/>
      <c r="I43" s="2"/>
      <c r="J43" s="19">
        <f t="shared" si="5"/>
        <v>0</v>
      </c>
      <c r="K43" s="2"/>
      <c r="L43" s="2">
        <f t="shared" si="6"/>
        <v>63.17</v>
      </c>
      <c r="M43" s="2"/>
      <c r="N43" s="19">
        <f t="shared" si="7"/>
        <v>0</v>
      </c>
      <c r="O43" s="11"/>
      <c r="P43" s="2">
        <v>130.34</v>
      </c>
      <c r="Q43" s="2"/>
      <c r="R43" s="19">
        <f t="shared" si="8"/>
        <v>4.744152538080659E-5</v>
      </c>
      <c r="S43" s="2"/>
      <c r="T43" s="2"/>
      <c r="U43" s="2"/>
      <c r="V43" s="19">
        <f t="shared" si="9"/>
        <v>0</v>
      </c>
      <c r="W43" s="2"/>
      <c r="X43" s="2">
        <f t="shared" si="10"/>
        <v>130.34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"5013", " - ", "PURCHASES @ COST-TRADE BOOKS")</f>
        <v xml:space="preserve">          5013 - PURCHASES @ COST-TRADE BOOKS</v>
      </c>
      <c r="C44" s="11"/>
      <c r="D44" s="2">
        <v>1964.92</v>
      </c>
      <c r="E44" s="2"/>
      <c r="F44" s="19">
        <f t="shared" si="4"/>
        <v>0.48495708016802691</v>
      </c>
      <c r="G44" s="2"/>
      <c r="H44" s="2"/>
      <c r="I44" s="2"/>
      <c r="J44" s="19">
        <f t="shared" si="5"/>
        <v>0</v>
      </c>
      <c r="K44" s="2"/>
      <c r="L44" s="2">
        <f t="shared" si="6"/>
        <v>1964.92</v>
      </c>
      <c r="M44" s="2"/>
      <c r="N44" s="19">
        <f t="shared" si="7"/>
        <v>0</v>
      </c>
      <c r="O44" s="11"/>
      <c r="P44" s="2">
        <v>11634.94</v>
      </c>
      <c r="Q44" s="2"/>
      <c r="R44" s="19">
        <f t="shared" si="8"/>
        <v>4.2349186843191793E-3</v>
      </c>
      <c r="S44" s="2"/>
      <c r="T44" s="2"/>
      <c r="U44" s="2"/>
      <c r="V44" s="19">
        <f t="shared" si="9"/>
        <v>0</v>
      </c>
      <c r="W44" s="2"/>
      <c r="X44" s="2">
        <f t="shared" si="10"/>
        <v>11634.94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>
        <v>-161.43</v>
      </c>
      <c r="E45" s="2"/>
      <c r="F45" s="19">
        <f t="shared" si="4"/>
        <v>-3.9842141894593459E-2</v>
      </c>
      <c r="G45" s="2"/>
      <c r="H45" s="2"/>
      <c r="I45" s="2"/>
      <c r="J45" s="19">
        <f t="shared" si="5"/>
        <v>0</v>
      </c>
      <c r="K45" s="2"/>
      <c r="L45" s="2">
        <f t="shared" si="6"/>
        <v>-161.43</v>
      </c>
      <c r="M45" s="2"/>
      <c r="N45" s="19">
        <f t="shared" si="7"/>
        <v>0</v>
      </c>
      <c r="O45" s="11"/>
      <c r="P45" s="2">
        <v>-49.86</v>
      </c>
      <c r="Q45" s="2"/>
      <c r="R45" s="19">
        <f t="shared" si="8"/>
        <v>-1.8148185173293054E-5</v>
      </c>
      <c r="S45" s="2"/>
      <c r="T45" s="2"/>
      <c r="U45" s="2"/>
      <c r="V45" s="19">
        <f t="shared" si="9"/>
        <v>0</v>
      </c>
      <c r="W45" s="2"/>
      <c r="X45" s="2">
        <f t="shared" si="10"/>
        <v>-49.86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"5018", " - ", "PURCHASES @ COST-STUDY GUIDES")</f>
        <v xml:space="preserve">          5018 - PURCHASES @ COST-STUDY GUIDES</v>
      </c>
      <c r="C46" s="11"/>
      <c r="D46" s="2">
        <v>476.17</v>
      </c>
      <c r="E46" s="2"/>
      <c r="F46" s="19">
        <f t="shared" si="4"/>
        <v>0.11752234842314667</v>
      </c>
      <c r="G46" s="2"/>
      <c r="H46" s="2"/>
      <c r="I46" s="2"/>
      <c r="J46" s="19">
        <f t="shared" si="5"/>
        <v>0</v>
      </c>
      <c r="K46" s="2"/>
      <c r="L46" s="2">
        <f t="shared" si="6"/>
        <v>476.17</v>
      </c>
      <c r="M46" s="2"/>
      <c r="N46" s="19">
        <f t="shared" si="7"/>
        <v>0</v>
      </c>
      <c r="O46" s="11"/>
      <c r="P46" s="2">
        <v>1443.38</v>
      </c>
      <c r="Q46" s="2"/>
      <c r="R46" s="19">
        <f t="shared" si="8"/>
        <v>5.2536557391551805E-4</v>
      </c>
      <c r="S46" s="2"/>
      <c r="T46" s="2"/>
      <c r="U46" s="2"/>
      <c r="V46" s="19">
        <f t="shared" si="9"/>
        <v>0</v>
      </c>
      <c r="W46" s="2"/>
      <c r="X46" s="2">
        <f t="shared" si="10"/>
        <v>1443.38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-250433.46</v>
      </c>
      <c r="E47" s="2"/>
      <c r="F47" s="19">
        <f t="shared" si="4"/>
        <v>-61.808867301455706</v>
      </c>
      <c r="G47" s="2"/>
      <c r="H47" s="2"/>
      <c r="I47" s="2"/>
      <c r="J47" s="19">
        <f t="shared" si="5"/>
        <v>0</v>
      </c>
      <c r="K47" s="2"/>
      <c r="L47" s="2">
        <f t="shared" si="6"/>
        <v>-250433.46</v>
      </c>
      <c r="M47" s="2"/>
      <c r="N47" s="19">
        <f t="shared" si="7"/>
        <v>0</v>
      </c>
      <c r="O47" s="11"/>
      <c r="P47" s="2">
        <v>-1338935.1499999999</v>
      </c>
      <c r="Q47" s="2"/>
      <c r="R47" s="19">
        <f t="shared" si="8"/>
        <v>-0.48734943917430623</v>
      </c>
      <c r="S47" s="2"/>
      <c r="T47" s="2"/>
      <c r="U47" s="2"/>
      <c r="V47" s="19">
        <f t="shared" si="9"/>
        <v>0</v>
      </c>
      <c r="W47" s="2"/>
      <c r="X47" s="2">
        <f t="shared" si="10"/>
        <v>-1338935.1499999999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9156</v>
      </c>
      <c r="E48" s="2"/>
      <c r="F48" s="19">
        <f t="shared" si="4"/>
        <v>2.2597698766455907</v>
      </c>
      <c r="G48" s="2"/>
      <c r="H48" s="2"/>
      <c r="I48" s="2"/>
      <c r="J48" s="19">
        <f t="shared" si="5"/>
        <v>0</v>
      </c>
      <c r="K48" s="2"/>
      <c r="L48" s="2">
        <f t="shared" si="6"/>
        <v>9156</v>
      </c>
      <c r="M48" s="2"/>
      <c r="N48" s="19">
        <f t="shared" si="7"/>
        <v>0</v>
      </c>
      <c r="O48" s="11"/>
      <c r="P48" s="2">
        <v>1416064</v>
      </c>
      <c r="Q48" s="2"/>
      <c r="R48" s="19">
        <f t="shared" si="8"/>
        <v>0.51542301823574121</v>
      </c>
      <c r="S48" s="2"/>
      <c r="T48" s="2"/>
      <c r="U48" s="2"/>
      <c r="V48" s="19">
        <f t="shared" si="9"/>
        <v>0</v>
      </c>
      <c r="W48" s="2"/>
      <c r="X48" s="2">
        <f t="shared" si="10"/>
        <v>1416064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1565.85</v>
      </c>
      <c r="E50" s="2"/>
      <c r="F50" s="19">
        <f t="shared" si="4"/>
        <v>0.38646359341912384</v>
      </c>
      <c r="G50" s="2"/>
      <c r="H50" s="2"/>
      <c r="I50" s="2"/>
      <c r="J50" s="19">
        <f t="shared" si="5"/>
        <v>0</v>
      </c>
      <c r="K50" s="2"/>
      <c r="L50" s="2">
        <f t="shared" si="6"/>
        <v>1565.85</v>
      </c>
      <c r="M50" s="2"/>
      <c r="N50" s="19">
        <f t="shared" si="7"/>
        <v>0</v>
      </c>
      <c r="O50" s="11"/>
      <c r="P50" s="2">
        <v>53401.99</v>
      </c>
      <c r="Q50" s="2"/>
      <c r="R50" s="19">
        <f t="shared" si="8"/>
        <v>1.9437408807507901E-2</v>
      </c>
      <c r="S50" s="2"/>
      <c r="T50" s="2"/>
      <c r="U50" s="2"/>
      <c r="V50" s="19">
        <f t="shared" si="9"/>
        <v>0</v>
      </c>
      <c r="W50" s="2"/>
      <c r="X50" s="2">
        <f t="shared" si="10"/>
        <v>53401.99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>
        <v>149.80000000000001</v>
      </c>
      <c r="E51" s="2"/>
      <c r="F51" s="19">
        <f t="shared" si="4"/>
        <v>3.6971770153070065E-2</v>
      </c>
      <c r="G51" s="2"/>
      <c r="H51" s="2"/>
      <c r="I51" s="2"/>
      <c r="J51" s="19">
        <f t="shared" si="5"/>
        <v>0</v>
      </c>
      <c r="K51" s="2"/>
      <c r="L51" s="2">
        <f t="shared" si="6"/>
        <v>149.80000000000001</v>
      </c>
      <c r="M51" s="2"/>
      <c r="N51" s="19">
        <f t="shared" si="7"/>
        <v>0</v>
      </c>
      <c r="O51" s="11"/>
      <c r="P51" s="2">
        <v>18142.669999999998</v>
      </c>
      <c r="Q51" s="2"/>
      <c r="R51" s="19">
        <f t="shared" si="8"/>
        <v>6.6036208322893834E-3</v>
      </c>
      <c r="S51" s="2"/>
      <c r="T51" s="2"/>
      <c r="U51" s="2"/>
      <c r="V51" s="19">
        <f t="shared" si="9"/>
        <v>0</v>
      </c>
      <c r="W51" s="2"/>
      <c r="X51" s="2">
        <f t="shared" si="10"/>
        <v>18142.669999999998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>
        <v>4.28</v>
      </c>
      <c r="E52" s="2"/>
      <c r="F52" s="19">
        <f t="shared" si="4"/>
        <v>1.0563362900877162E-3</v>
      </c>
      <c r="G52" s="2"/>
      <c r="H52" s="2"/>
      <c r="I52" s="2"/>
      <c r="J52" s="19">
        <f t="shared" si="5"/>
        <v>0</v>
      </c>
      <c r="K52" s="2"/>
      <c r="L52" s="2">
        <f t="shared" si="6"/>
        <v>4.28</v>
      </c>
      <c r="M52" s="2"/>
      <c r="N52" s="19">
        <f t="shared" si="7"/>
        <v>0</v>
      </c>
      <c r="O52" s="11"/>
      <c r="P52" s="2">
        <v>33.200000000000003</v>
      </c>
      <c r="Q52" s="2"/>
      <c r="R52" s="19">
        <f t="shared" si="8"/>
        <v>1.2084230801310257E-5</v>
      </c>
      <c r="S52" s="2"/>
      <c r="T52" s="2"/>
      <c r="U52" s="2"/>
      <c r="V52" s="19">
        <f t="shared" si="9"/>
        <v>0</v>
      </c>
      <c r="W52" s="2"/>
      <c r="X52" s="2">
        <f t="shared" si="10"/>
        <v>33.200000000000003</v>
      </c>
      <c r="Y52" s="2"/>
      <c r="Z52" s="19">
        <f t="shared" si="11"/>
        <v>0</v>
      </c>
    </row>
    <row r="53" spans="1:26" s="24" customFormat="1" hidden="1" outlineLevel="1" x14ac:dyDescent="0.25">
      <c r="A53" s="44"/>
      <c r="B53" s="11" t="str">
        <f>CONCATENATE("          ", "5513", " - ", "FREIGHT-IN-TRADE BOOKS")</f>
        <v xml:space="preserve">          5513 - FREIGHT-IN-TRADE BOOKS</v>
      </c>
      <c r="C53" s="11"/>
      <c r="D53" s="2"/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85.28</v>
      </c>
      <c r="Q53" s="2"/>
      <c r="R53" s="19">
        <f t="shared" si="8"/>
        <v>3.1040457913727072E-5</v>
      </c>
      <c r="S53" s="2"/>
      <c r="T53" s="2"/>
      <c r="U53" s="2"/>
      <c r="V53" s="19">
        <f t="shared" si="9"/>
        <v>0</v>
      </c>
      <c r="W53" s="2"/>
      <c r="X53" s="2">
        <f t="shared" si="10"/>
        <v>85.28</v>
      </c>
      <c r="Y53" s="2"/>
      <c r="Z53" s="19">
        <f t="shared" si="11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108</v>
      </c>
      <c r="C55" s="28"/>
      <c r="D55" s="20">
        <f>D12-D37</f>
        <v>-68453.789999999964</v>
      </c>
      <c r="E55" s="14"/>
      <c r="F55" s="22">
        <f>IF(D$12=0,0,D55/D$12)</f>
        <v>-16.894911815664383</v>
      </c>
      <c r="G55" s="14"/>
      <c r="H55" s="20">
        <f>H12-H37</f>
        <v>5236</v>
      </c>
      <c r="I55" s="14"/>
      <c r="J55" s="22">
        <f>IF(H$12=0,0,H55/H$12)</f>
        <v>0.26834768347683474</v>
      </c>
      <c r="K55" s="16"/>
      <c r="L55" s="20">
        <f>+D55-H55</f>
        <v>-73689.789999999964</v>
      </c>
      <c r="M55" s="16"/>
      <c r="N55" s="22">
        <f>IF(H55=0,0,L55/H55)</f>
        <v>-14.073680290297931</v>
      </c>
      <c r="O55" s="29"/>
      <c r="P55" s="20">
        <f>P12-P37</f>
        <v>717412.86000000057</v>
      </c>
      <c r="Q55" s="14"/>
      <c r="R55" s="22">
        <f>IF(P$12=0,0,P55/P$12)</f>
        <v>0.2611259813273521</v>
      </c>
      <c r="S55" s="14"/>
      <c r="T55" s="20">
        <f>T12-T37</f>
        <v>1220090</v>
      </c>
      <c r="U55" s="14"/>
      <c r="V55" s="22">
        <f>IF(T$12=0,0,T55/T$12)</f>
        <v>0.27265897080171914</v>
      </c>
      <c r="W55" s="16"/>
      <c r="X55" s="20">
        <f>+P55-T55</f>
        <v>-502677.13999999943</v>
      </c>
      <c r="Y55" s="16"/>
      <c r="Z55" s="22">
        <f>IF(T55=0,0,X55/T55)</f>
        <v>-0.41200004917669963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295</v>
      </c>
      <c r="C57" s="10"/>
      <c r="D57" s="21">
        <f>SUM(OSRRefD22x_0)</f>
        <v>21334.860000000008</v>
      </c>
      <c r="E57" s="21"/>
      <c r="F57" s="30">
        <f t="shared" ref="F57:F68" si="12">IF(D$12=0,0,D57/D$12)</f>
        <v>5.2656044069955179</v>
      </c>
      <c r="G57" s="21"/>
      <c r="H57" s="21">
        <f>SUM(OSRRefH22x_0)</f>
        <v>87018.09217023653</v>
      </c>
      <c r="I57" s="21"/>
      <c r="J57" s="30">
        <f t="shared" ref="J57:J68" si="13">IF(H$12=0,0,H57/H$12)</f>
        <v>4.459721820942832</v>
      </c>
      <c r="K57" s="4"/>
      <c r="L57" s="21">
        <f t="shared" ref="L57:L68" si="14">+D57-H57</f>
        <v>-65683.23217023653</v>
      </c>
      <c r="M57" s="4"/>
      <c r="N57" s="30">
        <f t="shared" ref="N57:N68" si="15">IF(H57=0,0,L57/H57)</f>
        <v>-0.75482271022143455</v>
      </c>
      <c r="O57" s="10"/>
      <c r="P57" s="21">
        <f>SUM(OSRRefP22x_0)</f>
        <v>528742.40000000002</v>
      </c>
      <c r="Q57" s="21"/>
      <c r="R57" s="30">
        <f t="shared" ref="R57:R68" si="16">IF(P$12=0,0,P57/P$12)</f>
        <v>0.19245316855538278</v>
      </c>
      <c r="S57" s="21"/>
      <c r="T57" s="21">
        <f>SUM(OSRRefT22x_0)</f>
        <v>701682.16080832505</v>
      </c>
      <c r="U57" s="21"/>
      <c r="V57" s="30">
        <f t="shared" ref="V57:V68" si="17">IF(T$12=0,0,T57/T$12)</f>
        <v>0.15680805169776352</v>
      </c>
      <c r="W57" s="4"/>
      <c r="X57" s="21">
        <f t="shared" ref="X57:X68" si="18">+P57-T57</f>
        <v>-172939.76080832502</v>
      </c>
      <c r="Y57" s="4"/>
      <c r="Z57" s="30">
        <f t="shared" ref="Z57:Z68" si="19">IF(T57=0,0,X57/T57)</f>
        <v>-0.24646452548986222</v>
      </c>
    </row>
    <row r="58" spans="1:26" s="27" customFormat="1" outlineLevel="1" collapsed="1" x14ac:dyDescent="0.25">
      <c r="A58" s="25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12433.619999999999</v>
      </c>
      <c r="E58" s="1"/>
      <c r="F58" s="5">
        <f t="shared" si="12"/>
        <v>3.0687112203645857</v>
      </c>
      <c r="G58" s="1"/>
      <c r="H58" s="1">
        <f>SUM(OSRRefH22_0x_0)</f>
        <v>11771.65752654423</v>
      </c>
      <c r="I58" s="1"/>
      <c r="J58" s="5">
        <f t="shared" si="13"/>
        <v>0.6033034812702045</v>
      </c>
      <c r="K58" s="1"/>
      <c r="L58" s="1">
        <f t="shared" si="14"/>
        <v>661.96247345576921</v>
      </c>
      <c r="M58" s="1"/>
      <c r="N58" s="5">
        <f t="shared" si="15"/>
        <v>5.6233582395944844E-2</v>
      </c>
      <c r="O58" s="13"/>
      <c r="P58" s="1">
        <f>SUM(OSRRefP22_0x_0)</f>
        <v>144311.99</v>
      </c>
      <c r="Q58" s="1"/>
      <c r="R58" s="5">
        <f t="shared" si="16"/>
        <v>5.2527090197481252E-2</v>
      </c>
      <c r="S58" s="1"/>
      <c r="T58" s="1">
        <f>SUM(OSRRefT22_0x_0)</f>
        <v>148876.62919032498</v>
      </c>
      <c r="U58" s="1"/>
      <c r="V58" s="5">
        <f t="shared" si="17"/>
        <v>3.327012637712233E-2</v>
      </c>
      <c r="W58" s="1"/>
      <c r="X58" s="1">
        <f t="shared" si="18"/>
        <v>-4564.6391903249896</v>
      </c>
      <c r="Y58" s="1"/>
      <c r="Z58" s="5">
        <f t="shared" si="19"/>
        <v>-3.0660549040840528E-2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6">
        <v>2190.84</v>
      </c>
      <c r="E59" s="2"/>
      <c r="F59" s="7">
        <f t="shared" si="12"/>
        <v>0.54071584060181588</v>
      </c>
      <c r="G59" s="2"/>
      <c r="H59" s="6">
        <v>1927.7259585634599</v>
      </c>
      <c r="I59" s="2"/>
      <c r="J59" s="7">
        <f t="shared" si="13"/>
        <v>9.8796943345810781E-2</v>
      </c>
      <c r="K59" s="2"/>
      <c r="L59" s="6">
        <f t="shared" si="14"/>
        <v>263.11404143654022</v>
      </c>
      <c r="M59" s="2"/>
      <c r="N59" s="7">
        <f t="shared" si="15"/>
        <v>0.1364893387816454</v>
      </c>
      <c r="O59" s="11"/>
      <c r="P59" s="6">
        <v>26197.69</v>
      </c>
      <c r="Q59" s="2"/>
      <c r="R59" s="7">
        <f t="shared" si="16"/>
        <v>9.5355100126860749E-3</v>
      </c>
      <c r="S59" s="2"/>
      <c r="T59" s="6">
        <v>22997.1111747</v>
      </c>
      <c r="U59" s="2"/>
      <c r="V59" s="7">
        <f t="shared" si="17"/>
        <v>5.1392673198751041E-3</v>
      </c>
      <c r="W59" s="2"/>
      <c r="X59" s="6">
        <f t="shared" si="18"/>
        <v>3200.5788252999992</v>
      </c>
      <c r="Y59" s="2"/>
      <c r="Z59" s="7">
        <f t="shared" si="19"/>
        <v>0.13917308139211321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6">
        <v>129.68</v>
      </c>
      <c r="E60" s="2"/>
      <c r="F60" s="7">
        <f t="shared" si="12"/>
        <v>3.2006002359480146E-2</v>
      </c>
      <c r="G60" s="2"/>
      <c r="H60" s="6">
        <v>538.92856971153901</v>
      </c>
      <c r="I60" s="2"/>
      <c r="J60" s="7">
        <f t="shared" si="13"/>
        <v>2.7620365401370389E-2</v>
      </c>
      <c r="K60" s="2"/>
      <c r="L60" s="6">
        <f t="shared" si="14"/>
        <v>-409.24856971153901</v>
      </c>
      <c r="M60" s="2"/>
      <c r="N60" s="7">
        <f t="shared" si="15"/>
        <v>-0.75937441937915617</v>
      </c>
      <c r="O60" s="11"/>
      <c r="P60" s="6">
        <v>1501.57</v>
      </c>
      <c r="Q60" s="2"/>
      <c r="R60" s="7">
        <f t="shared" si="16"/>
        <v>5.4654573627480247E-4</v>
      </c>
      <c r="S60" s="2"/>
      <c r="T60" s="6">
        <v>7763.9587093749997</v>
      </c>
      <c r="U60" s="2"/>
      <c r="V60" s="7">
        <f t="shared" si="17"/>
        <v>1.7350465875838922E-3</v>
      </c>
      <c r="W60" s="2"/>
      <c r="X60" s="6">
        <f t="shared" si="18"/>
        <v>-6262.388709375</v>
      </c>
      <c r="Y60" s="2"/>
      <c r="Z60" s="7">
        <f t="shared" si="19"/>
        <v>-0.80659737432827272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6">
        <v>4943.91</v>
      </c>
      <c r="E61" s="2"/>
      <c r="F61" s="7">
        <f t="shared" si="12"/>
        <v>1.2201942868989626</v>
      </c>
      <c r="G61" s="2"/>
      <c r="H61" s="6">
        <v>4662.6923076923104</v>
      </c>
      <c r="I61" s="2"/>
      <c r="J61" s="7">
        <f t="shared" si="13"/>
        <v>0.23896537042293514</v>
      </c>
      <c r="K61" s="2"/>
      <c r="L61" s="6">
        <f t="shared" si="14"/>
        <v>281.2176923076895</v>
      </c>
      <c r="M61" s="2"/>
      <c r="N61" s="7">
        <f t="shared" si="15"/>
        <v>6.0312298935906318E-2</v>
      </c>
      <c r="O61" s="11"/>
      <c r="P61" s="6">
        <v>55051.68</v>
      </c>
      <c r="Q61" s="2"/>
      <c r="R61" s="7">
        <f t="shared" si="16"/>
        <v>2.0037867684333608E-2</v>
      </c>
      <c r="S61" s="2"/>
      <c r="T61" s="6">
        <v>57180</v>
      </c>
      <c r="U61" s="2"/>
      <c r="V61" s="7">
        <f t="shared" si="17"/>
        <v>1.2778270414840136E-2</v>
      </c>
      <c r="W61" s="2"/>
      <c r="X61" s="6">
        <f t="shared" si="18"/>
        <v>-2128.3199999999997</v>
      </c>
      <c r="Y61" s="2"/>
      <c r="Z61" s="7">
        <f t="shared" si="19"/>
        <v>-3.7221406086044066E-2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6">
        <v>78.42</v>
      </c>
      <c r="E62" s="2"/>
      <c r="F62" s="7">
        <f t="shared" si="12"/>
        <v>1.9354647632868854E-2</v>
      </c>
      <c r="G62" s="2"/>
      <c r="H62" s="6">
        <v>75.741312500000006</v>
      </c>
      <c r="I62" s="2"/>
      <c r="J62" s="7">
        <f t="shared" si="13"/>
        <v>3.8817810834358346E-3</v>
      </c>
      <c r="K62" s="2"/>
      <c r="L62" s="6">
        <f t="shared" si="14"/>
        <v>2.6786874999999952</v>
      </c>
      <c r="M62" s="2"/>
      <c r="N62" s="7">
        <f t="shared" si="15"/>
        <v>3.5366267253422561E-2</v>
      </c>
      <c r="O62" s="11"/>
      <c r="P62" s="6">
        <v>953.93</v>
      </c>
      <c r="Q62" s="2"/>
      <c r="R62" s="7">
        <f t="shared" si="16"/>
        <v>3.4721416531005702E-4</v>
      </c>
      <c r="S62" s="2"/>
      <c r="T62" s="6">
        <v>1091.1509537500001</v>
      </c>
      <c r="U62" s="2"/>
      <c r="V62" s="7">
        <f t="shared" si="17"/>
        <v>2.4384438528206057E-4</v>
      </c>
      <c r="W62" s="2"/>
      <c r="X62" s="6">
        <f t="shared" si="18"/>
        <v>-137.22095375000015</v>
      </c>
      <c r="Y62" s="2"/>
      <c r="Z62" s="7">
        <f t="shared" si="19"/>
        <v>-0.12575799276755215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6">
        <v>2644.54</v>
      </c>
      <c r="E63" s="2"/>
      <c r="F63" s="7">
        <f t="shared" si="12"/>
        <v>0.65269242350200196</v>
      </c>
      <c r="G63" s="2"/>
      <c r="H63" s="6">
        <v>1268.5379723076901</v>
      </c>
      <c r="I63" s="2"/>
      <c r="J63" s="7">
        <f t="shared" si="13"/>
        <v>6.5013221212981254E-2</v>
      </c>
      <c r="K63" s="2"/>
      <c r="L63" s="6">
        <f t="shared" si="14"/>
        <v>1376.0020276923099</v>
      </c>
      <c r="M63" s="2"/>
      <c r="N63" s="7">
        <f t="shared" si="15"/>
        <v>1.084714890472789</v>
      </c>
      <c r="O63" s="11"/>
      <c r="P63" s="6">
        <v>22892.11</v>
      </c>
      <c r="Q63" s="2"/>
      <c r="R63" s="7">
        <f t="shared" si="16"/>
        <v>8.3323355653307993E-3</v>
      </c>
      <c r="S63" s="2"/>
      <c r="T63" s="6">
        <v>16490.993640000001</v>
      </c>
      <c r="U63" s="2"/>
      <c r="V63" s="7">
        <f t="shared" si="17"/>
        <v>3.6853161269907106E-3</v>
      </c>
      <c r="W63" s="2"/>
      <c r="X63" s="6">
        <f t="shared" si="18"/>
        <v>6401.11636</v>
      </c>
      <c r="Y63" s="2"/>
      <c r="Z63" s="7">
        <f t="shared" si="19"/>
        <v>0.38815831839711995</v>
      </c>
    </row>
    <row r="64" spans="1:26" s="24" customFormat="1" hidden="1" outlineLevel="2" x14ac:dyDescent="0.25">
      <c r="A64" s="26"/>
      <c r="B64" s="11" t="str">
        <f>CONCATENATE("          ", "6116", " - ", "EDUCATIONAL BENEFITS")</f>
        <v xml:space="preserve">          6116 - EDUCATIONAL BENEFITS</v>
      </c>
      <c r="C64" s="11"/>
      <c r="D64" s="6"/>
      <c r="E64" s="2"/>
      <c r="F64" s="7">
        <f t="shared" si="12"/>
        <v>0</v>
      </c>
      <c r="G64" s="2"/>
      <c r="H64" s="6">
        <v>0</v>
      </c>
      <c r="I64" s="2"/>
      <c r="J64" s="7">
        <f t="shared" si="13"/>
        <v>0</v>
      </c>
      <c r="K64" s="2"/>
      <c r="L64" s="6">
        <f t="shared" si="14"/>
        <v>0</v>
      </c>
      <c r="M64" s="2"/>
      <c r="N64" s="7">
        <f t="shared" si="15"/>
        <v>0</v>
      </c>
      <c r="O64" s="11"/>
      <c r="P64" s="6"/>
      <c r="Q64" s="2"/>
      <c r="R64" s="7">
        <f t="shared" si="16"/>
        <v>0</v>
      </c>
      <c r="S64" s="2"/>
      <c r="T64" s="6">
        <v>0</v>
      </c>
      <c r="U64" s="2"/>
      <c r="V64" s="7">
        <f t="shared" si="17"/>
        <v>0</v>
      </c>
      <c r="W64" s="2"/>
      <c r="X64" s="6">
        <f t="shared" si="18"/>
        <v>0</v>
      </c>
      <c r="Y64" s="2"/>
      <c r="Z64" s="7">
        <f t="shared" si="19"/>
        <v>0</v>
      </c>
    </row>
    <row r="65" spans="1:26" s="24" customFormat="1" hidden="1" outlineLevel="2" x14ac:dyDescent="0.25">
      <c r="A65" s="26"/>
      <c r="B65" s="11" t="str">
        <f>CONCATENATE("          ", "6117", " - ", "RETIREMENT STAFF HOURLY")</f>
        <v xml:space="preserve">          6117 - RETIREMENT STAFF HOURLY</v>
      </c>
      <c r="C65" s="11"/>
      <c r="D65" s="6">
        <v>246.25</v>
      </c>
      <c r="E65" s="2"/>
      <c r="F65" s="7">
        <f t="shared" si="12"/>
        <v>6.0776357811705622E-2</v>
      </c>
      <c r="G65" s="2"/>
      <c r="H65" s="6"/>
      <c r="I65" s="2"/>
      <c r="J65" s="7">
        <f t="shared" si="13"/>
        <v>0</v>
      </c>
      <c r="K65" s="2"/>
      <c r="L65" s="6">
        <f t="shared" si="14"/>
        <v>246.25</v>
      </c>
      <c r="M65" s="2"/>
      <c r="N65" s="7">
        <f t="shared" si="15"/>
        <v>0</v>
      </c>
      <c r="O65" s="11"/>
      <c r="P65" s="6">
        <v>3247.65</v>
      </c>
      <c r="Q65" s="2"/>
      <c r="R65" s="7">
        <f t="shared" si="16"/>
        <v>1.1820889205384113E-3</v>
      </c>
      <c r="S65" s="2"/>
      <c r="T65" s="6"/>
      <c r="U65" s="2"/>
      <c r="V65" s="7">
        <f t="shared" si="17"/>
        <v>0</v>
      </c>
      <c r="W65" s="2"/>
      <c r="X65" s="6">
        <f t="shared" si="18"/>
        <v>3247.65</v>
      </c>
      <c r="Y65" s="2"/>
      <c r="Z65" s="7">
        <f t="shared" si="19"/>
        <v>0</v>
      </c>
    </row>
    <row r="66" spans="1:26" s="24" customFormat="1" hidden="1" outlineLevel="2" x14ac:dyDescent="0.25">
      <c r="A66" s="26"/>
      <c r="B66" s="11" t="str">
        <f>CONCATENATE("          ", "6118", " - ", "VACATION")</f>
        <v xml:space="preserve">          6118 - VACATION</v>
      </c>
      <c r="C66" s="11"/>
      <c r="D66" s="6">
        <v>1512.33</v>
      </c>
      <c r="E66" s="2"/>
      <c r="F66" s="7">
        <f t="shared" si="12"/>
        <v>0.37325445364213916</v>
      </c>
      <c r="G66" s="2"/>
      <c r="H66" s="6">
        <v>1346.2077200000001</v>
      </c>
      <c r="I66" s="2"/>
      <c r="J66" s="7">
        <f t="shared" si="13"/>
        <v>6.8993835588355895E-2</v>
      </c>
      <c r="K66" s="2"/>
      <c r="L66" s="6">
        <f t="shared" si="14"/>
        <v>166.12227999999982</v>
      </c>
      <c r="M66" s="2"/>
      <c r="N66" s="7">
        <f t="shared" si="15"/>
        <v>0.12340018373984649</v>
      </c>
      <c r="O66" s="11"/>
      <c r="P66" s="6">
        <v>17657.46</v>
      </c>
      <c r="Q66" s="2"/>
      <c r="R66" s="7">
        <f t="shared" si="16"/>
        <v>6.4270127109910778E-3</v>
      </c>
      <c r="S66" s="2"/>
      <c r="T66" s="6">
        <v>17500.700359999999</v>
      </c>
      <c r="U66" s="2"/>
      <c r="V66" s="7">
        <f t="shared" si="17"/>
        <v>3.9109598049872352E-3</v>
      </c>
      <c r="W66" s="2"/>
      <c r="X66" s="6">
        <f t="shared" si="18"/>
        <v>156.75964000000022</v>
      </c>
      <c r="Y66" s="2"/>
      <c r="Z66" s="7">
        <f t="shared" si="19"/>
        <v>8.95733523661108E-3</v>
      </c>
    </row>
    <row r="67" spans="1:26" s="24" customFormat="1" hidden="1" outlineLevel="2" x14ac:dyDescent="0.25">
      <c r="A67" s="26"/>
      <c r="B67" s="11" t="str">
        <f>CONCATENATE("          ", "6119", " - ", "SICK LEAVE")</f>
        <v xml:space="preserve">          6119 - SICK LEAVE</v>
      </c>
      <c r="C67" s="11"/>
      <c r="D67" s="6">
        <v>284.64</v>
      </c>
      <c r="E67" s="2"/>
      <c r="F67" s="7">
        <f t="shared" si="12"/>
        <v>7.0251299441721371E-2</v>
      </c>
      <c r="G67" s="2"/>
      <c r="H67" s="6">
        <v>1201.82368576923</v>
      </c>
      <c r="I67" s="2"/>
      <c r="J67" s="7">
        <f t="shared" si="13"/>
        <v>6.1594079836471402E-2</v>
      </c>
      <c r="K67" s="2"/>
      <c r="L67" s="6">
        <f t="shared" si="14"/>
        <v>-917.18368576923001</v>
      </c>
      <c r="M67" s="2"/>
      <c r="N67" s="7">
        <f t="shared" si="15"/>
        <v>-0.76315993488028533</v>
      </c>
      <c r="O67" s="11"/>
      <c r="P67" s="6">
        <v>11746.18</v>
      </c>
      <c r="Q67" s="2"/>
      <c r="R67" s="7">
        <f t="shared" si="16"/>
        <v>4.2754081371606783E-3</v>
      </c>
      <c r="S67" s="2"/>
      <c r="T67" s="6">
        <v>16852.714352499999</v>
      </c>
      <c r="U67" s="2"/>
      <c r="V67" s="7">
        <f t="shared" si="17"/>
        <v>3.7661514728979093E-3</v>
      </c>
      <c r="W67" s="2"/>
      <c r="X67" s="6">
        <f t="shared" si="18"/>
        <v>-5106.5343524999989</v>
      </c>
      <c r="Y67" s="2"/>
      <c r="Z67" s="7">
        <f t="shared" si="19"/>
        <v>-0.30300960698016433</v>
      </c>
    </row>
    <row r="68" spans="1:26" s="24" customFormat="1" hidden="1" outlineLevel="2" x14ac:dyDescent="0.25">
      <c r="A68" s="26"/>
      <c r="B68" s="11" t="str">
        <f>CONCATENATE("          ", "6156", " - ", "EMPLOYEE MEALS")</f>
        <v xml:space="preserve">          6156 - EMPLOYEE MEALS</v>
      </c>
      <c r="C68" s="11"/>
      <c r="D68" s="6">
        <v>403.01</v>
      </c>
      <c r="E68" s="2"/>
      <c r="F68" s="7">
        <f t="shared" si="12"/>
        <v>9.9465908473890294E-2</v>
      </c>
      <c r="G68" s="2"/>
      <c r="H68" s="6">
        <v>750</v>
      </c>
      <c r="I68" s="2"/>
      <c r="J68" s="7">
        <f t="shared" si="13"/>
        <v>3.8437884378843788E-2</v>
      </c>
      <c r="K68" s="2"/>
      <c r="L68" s="6">
        <f t="shared" si="14"/>
        <v>-346.99</v>
      </c>
      <c r="M68" s="2"/>
      <c r="N68" s="7">
        <f t="shared" si="15"/>
        <v>-0.46265333333333336</v>
      </c>
      <c r="O68" s="11"/>
      <c r="P68" s="6">
        <v>5063.72</v>
      </c>
      <c r="Q68" s="2"/>
      <c r="R68" s="7">
        <f t="shared" si="16"/>
        <v>1.8431072648557464E-3</v>
      </c>
      <c r="S68" s="2"/>
      <c r="T68" s="6">
        <v>9000</v>
      </c>
      <c r="U68" s="2"/>
      <c r="V68" s="7">
        <f t="shared" si="17"/>
        <v>2.0112702646652887E-3</v>
      </c>
      <c r="W68" s="2"/>
      <c r="X68" s="6">
        <f t="shared" si="18"/>
        <v>-3936.2799999999997</v>
      </c>
      <c r="Y68" s="2"/>
      <c r="Z68" s="7">
        <f t="shared" si="19"/>
        <v>-0.43736444444444439</v>
      </c>
    </row>
    <row r="69" spans="1:26" s="27" customFormat="1" outlineLevel="1" collapsed="1" x14ac:dyDescent="0.25">
      <c r="A69" s="25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28142.829999999998</v>
      </c>
      <c r="E69" s="1"/>
      <c r="F69" s="5">
        <f t="shared" ref="F69:F79" si="20">IF(D$12=0,0,D69/D$12)</f>
        <v>6.9458627651330085</v>
      </c>
      <c r="G69" s="1"/>
      <c r="H69" s="1">
        <f>SUM(OSRRefH22_1x_0)</f>
        <v>27031.434643692297</v>
      </c>
      <c r="I69" s="1"/>
      <c r="J69" s="5">
        <f t="shared" ref="J69:J79" si="21">IF(H$12=0,0,H69/H$12)</f>
        <v>1.3853748792380225</v>
      </c>
      <c r="K69" s="1"/>
      <c r="L69" s="1">
        <f t="shared" ref="L69:L79" si="22">+D69-H69</f>
        <v>1111.3953563077011</v>
      </c>
      <c r="M69" s="1"/>
      <c r="N69" s="5">
        <f t="shared" ref="N69:N79" si="23">IF(H69=0,0,L69/H69)</f>
        <v>4.1114923087037923E-2</v>
      </c>
      <c r="O69" s="13"/>
      <c r="P69" s="1">
        <f>SUM(OSRRefP22_1x_0)</f>
        <v>338965.84999999992</v>
      </c>
      <c r="Q69" s="1"/>
      <c r="R69" s="5">
        <f t="shared" ref="R69:R79" si="24">IF(P$12=0,0,P69/P$12)</f>
        <v>0.12337775798681661</v>
      </c>
      <c r="S69" s="1"/>
      <c r="T69" s="1">
        <f>SUM(OSRRefT22_1x_0)</f>
        <v>392375.53161800001</v>
      </c>
      <c r="U69" s="1"/>
      <c r="V69" s="5">
        <f t="shared" ref="V69:V79" si="25">IF(T$12=0,0,T69/T$12)</f>
        <v>8.768591548061315E-2</v>
      </c>
      <c r="W69" s="1"/>
      <c r="X69" s="1">
        <f t="shared" ref="X69:X79" si="26">+P69-T69</f>
        <v>-53409.68161800009</v>
      </c>
      <c r="Y69" s="1"/>
      <c r="Z69" s="5">
        <f t="shared" ref="Z69:Z79" si="27">IF(T69=0,0,X69/T69)</f>
        <v>-0.13611878752418605</v>
      </c>
    </row>
    <row r="70" spans="1:26" s="24" customFormat="1" hidden="1" outlineLevel="2" x14ac:dyDescent="0.25">
      <c r="A70" s="26"/>
      <c r="B70" s="11" t="str">
        <f>CONCATENATE("          ", "6001", " - ", "ADMINISTRATIVE SALARIES")</f>
        <v xml:space="preserve">          6001 - ADMINISTRATIVE SALARIES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>
        <v>-311.32</v>
      </c>
      <c r="Q70" s="2"/>
      <c r="R70" s="7">
        <f t="shared" si="24"/>
        <v>-1.1331514256216594E-4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-311.32</v>
      </c>
      <c r="Y70" s="2"/>
      <c r="Z70" s="7">
        <f t="shared" si="27"/>
        <v>0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6">
        <v>18030.77</v>
      </c>
      <c r="E71" s="2"/>
      <c r="F71" s="7">
        <f t="shared" si="20"/>
        <v>4.4501300675759081</v>
      </c>
      <c r="G71" s="2"/>
      <c r="H71" s="6">
        <v>13107.2520636923</v>
      </c>
      <c r="I71" s="2"/>
      <c r="J71" s="7">
        <f t="shared" si="21"/>
        <v>0.67175338579808841</v>
      </c>
      <c r="K71" s="2"/>
      <c r="L71" s="6">
        <f t="shared" si="22"/>
        <v>4923.5179363077004</v>
      </c>
      <c r="M71" s="2"/>
      <c r="N71" s="7">
        <f t="shared" si="23"/>
        <v>0.37563311610875899</v>
      </c>
      <c r="O71" s="11"/>
      <c r="P71" s="6">
        <v>210246.3</v>
      </c>
      <c r="Q71" s="2"/>
      <c r="R71" s="7">
        <f t="shared" si="24"/>
        <v>7.6526048624142057E-2</v>
      </c>
      <c r="S71" s="2"/>
      <c r="T71" s="6">
        <v>170394.276828</v>
      </c>
      <c r="U71" s="2"/>
      <c r="V71" s="7">
        <f t="shared" si="25"/>
        <v>3.8078771361478005E-2</v>
      </c>
      <c r="W71" s="2"/>
      <c r="X71" s="6">
        <f t="shared" si="26"/>
        <v>39852.023171999987</v>
      </c>
      <c r="Y71" s="2"/>
      <c r="Z71" s="7">
        <f t="shared" si="27"/>
        <v>0.23388123071896105</v>
      </c>
    </row>
    <row r="72" spans="1:26" s="24" customFormat="1" hidden="1" outlineLevel="2" x14ac:dyDescent="0.25">
      <c r="A72" s="26"/>
      <c r="B72" s="11" t="str">
        <f>CONCATENATE("          ", "6003", " - ", "STAFF HOURLY-9 MONTH")</f>
        <v xml:space="preserve">          6003 - STAFF HOURLY-9 MONTH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25">
      <c r="A73" s="26"/>
      <c r="B73" s="11" t="str">
        <f>CONCATENATE("          ", "6004", " - ", "STAFF HOURLY")</f>
        <v xml:space="preserve">          6004 - STAFF HOURLY</v>
      </c>
      <c r="C73" s="11"/>
      <c r="D73" s="6">
        <v>6138.5</v>
      </c>
      <c r="E73" s="2"/>
      <c r="F73" s="7">
        <f t="shared" si="20"/>
        <v>1.5150281113793096</v>
      </c>
      <c r="G73" s="2"/>
      <c r="H73" s="6">
        <v>5285.7500799999998</v>
      </c>
      <c r="I73" s="2"/>
      <c r="J73" s="7">
        <f t="shared" si="21"/>
        <v>0.27089740057400574</v>
      </c>
      <c r="K73" s="2"/>
      <c r="L73" s="6">
        <f t="shared" si="22"/>
        <v>852.7499200000002</v>
      </c>
      <c r="M73" s="2"/>
      <c r="N73" s="7">
        <f t="shared" si="23"/>
        <v>0.16132997343680697</v>
      </c>
      <c r="O73" s="11"/>
      <c r="P73" s="6">
        <v>80583.929999999993</v>
      </c>
      <c r="Q73" s="2"/>
      <c r="R73" s="7">
        <f t="shared" si="24"/>
        <v>2.9331168945681614E-2</v>
      </c>
      <c r="S73" s="2"/>
      <c r="T73" s="6">
        <v>68714.751040000003</v>
      </c>
      <c r="U73" s="2"/>
      <c r="V73" s="7">
        <f t="shared" si="25"/>
        <v>1.535599283451447E-2</v>
      </c>
      <c r="W73" s="2"/>
      <c r="X73" s="6">
        <f t="shared" si="26"/>
        <v>11869.17895999999</v>
      </c>
      <c r="Y73" s="2"/>
      <c r="Z73" s="7">
        <f t="shared" si="27"/>
        <v>0.17273116442044217</v>
      </c>
    </row>
    <row r="74" spans="1:26" s="24" customFormat="1" hidden="1" outlineLevel="2" x14ac:dyDescent="0.25">
      <c r="A74" s="26"/>
      <c r="B74" s="11" t="str">
        <f>CONCATENATE("          ", "6005", " - ", "TEMPORARY WAGES-HOURLY")</f>
        <v xml:space="preserve">          6005 - TEMPORARY WAGES-HOURLY</v>
      </c>
      <c r="C74" s="11"/>
      <c r="D74" s="6">
        <v>3881.44</v>
      </c>
      <c r="E74" s="2"/>
      <c r="F74" s="7">
        <f t="shared" si="20"/>
        <v>0.95796867518646367</v>
      </c>
      <c r="G74" s="2"/>
      <c r="H74" s="6">
        <v>3942.12</v>
      </c>
      <c r="I74" s="2"/>
      <c r="J74" s="7">
        <f t="shared" si="21"/>
        <v>0.20203567035670356</v>
      </c>
      <c r="K74" s="2"/>
      <c r="L74" s="6">
        <f t="shared" si="22"/>
        <v>-60.679999999999836</v>
      </c>
      <c r="M74" s="2"/>
      <c r="N74" s="7">
        <f t="shared" si="23"/>
        <v>-1.5392732844256348E-2</v>
      </c>
      <c r="O74" s="11"/>
      <c r="P74" s="6">
        <v>21436.6</v>
      </c>
      <c r="Q74" s="2"/>
      <c r="R74" s="7">
        <f t="shared" si="24"/>
        <v>7.8025548793785367E-3</v>
      </c>
      <c r="S74" s="2"/>
      <c r="T74" s="6">
        <v>43415.76</v>
      </c>
      <c r="U74" s="2"/>
      <c r="V74" s="7">
        <f t="shared" si="25"/>
        <v>9.7023141228716296E-3</v>
      </c>
      <c r="W74" s="2"/>
      <c r="X74" s="6">
        <f t="shared" si="26"/>
        <v>-21979.160000000003</v>
      </c>
      <c r="Y74" s="2"/>
      <c r="Z74" s="7">
        <f t="shared" si="27"/>
        <v>-0.5062484222319269</v>
      </c>
    </row>
    <row r="75" spans="1:26" s="24" customFormat="1" hidden="1" outlineLevel="2" x14ac:dyDescent="0.25">
      <c r="A75" s="26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>
        <v>914.04</v>
      </c>
      <c r="Q75" s="2"/>
      <c r="R75" s="7">
        <f t="shared" si="24"/>
        <v>3.3269488920571164E-4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914.04</v>
      </c>
      <c r="Y75" s="2"/>
      <c r="Z75" s="7">
        <f t="shared" si="27"/>
        <v>0</v>
      </c>
    </row>
    <row r="76" spans="1:26" s="24" customFormat="1" hidden="1" outlineLevel="2" x14ac:dyDescent="0.25">
      <c r="A76" s="26"/>
      <c r="B76" s="11" t="str">
        <f>CONCATENATE("          ", "6007", " - ", "STUDENT HOURLY")</f>
        <v xml:space="preserve">          6007 - STUDENT HOURLY</v>
      </c>
      <c r="C76" s="11"/>
      <c r="D76" s="6">
        <v>92.12</v>
      </c>
      <c r="E76" s="2"/>
      <c r="F76" s="7">
        <f t="shared" si="20"/>
        <v>2.2735910991327199E-2</v>
      </c>
      <c r="G76" s="2"/>
      <c r="H76" s="6">
        <v>4696.3125</v>
      </c>
      <c r="I76" s="2"/>
      <c r="J76" s="7">
        <f t="shared" si="21"/>
        <v>0.24068842250922509</v>
      </c>
      <c r="K76" s="2"/>
      <c r="L76" s="6">
        <f t="shared" si="22"/>
        <v>-4604.1925000000001</v>
      </c>
      <c r="M76" s="2"/>
      <c r="N76" s="7">
        <f t="shared" si="23"/>
        <v>-0.98038461026603319</v>
      </c>
      <c r="O76" s="11"/>
      <c r="P76" s="6">
        <v>25129.040000000001</v>
      </c>
      <c r="Q76" s="2"/>
      <c r="R76" s="7">
        <f t="shared" si="24"/>
        <v>9.1465397341975157E-3</v>
      </c>
      <c r="S76" s="2"/>
      <c r="T76" s="6">
        <v>34091.050000000003</v>
      </c>
      <c r="U76" s="2"/>
      <c r="V76" s="7">
        <f t="shared" si="25"/>
        <v>7.6184794618019561E-3</v>
      </c>
      <c r="W76" s="2"/>
      <c r="X76" s="6">
        <f t="shared" si="26"/>
        <v>-8962.010000000002</v>
      </c>
      <c r="Y76" s="2"/>
      <c r="Z76" s="7">
        <f t="shared" si="27"/>
        <v>-0.26288454007723439</v>
      </c>
    </row>
    <row r="77" spans="1:26" s="24" customFormat="1" hidden="1" outlineLevel="2" x14ac:dyDescent="0.25">
      <c r="A77" s="26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>
        <v>967.26</v>
      </c>
      <c r="Q77" s="2"/>
      <c r="R77" s="7">
        <f t="shared" si="24"/>
        <v>3.5206605677335419E-4</v>
      </c>
      <c r="S77" s="2"/>
      <c r="T77" s="6">
        <v>75759.693750000006</v>
      </c>
      <c r="U77" s="2"/>
      <c r="V77" s="7">
        <f t="shared" si="25"/>
        <v>1.6930357699947083E-2</v>
      </c>
      <c r="W77" s="2"/>
      <c r="X77" s="6">
        <f t="shared" si="26"/>
        <v>-74792.433750000011</v>
      </c>
      <c r="Y77" s="2"/>
      <c r="Z77" s="7">
        <f t="shared" si="27"/>
        <v>-0.9872325249466839</v>
      </c>
    </row>
    <row r="78" spans="1:26" s="24" customFormat="1" hidden="1" outlineLevel="2" x14ac:dyDescent="0.25">
      <c r="A78" s="26"/>
      <c r="B78" s="11" t="str">
        <f>CONCATENATE("          ", "6009", " - ", "TEMPORARY-SEASONAL")</f>
        <v xml:space="preserve">          6009 - TEMPORARY-SEASONAL</v>
      </c>
      <c r="C78" s="11"/>
      <c r="D78" s="6"/>
      <c r="E78" s="2"/>
      <c r="F78" s="7">
        <f t="shared" si="20"/>
        <v>0</v>
      </c>
      <c r="G78" s="2"/>
      <c r="H78" s="6">
        <v>0</v>
      </c>
      <c r="I78" s="2"/>
      <c r="J78" s="7">
        <f t="shared" si="21"/>
        <v>0</v>
      </c>
      <c r="K78" s="2"/>
      <c r="L78" s="6">
        <f t="shared" si="22"/>
        <v>0</v>
      </c>
      <c r="M78" s="2"/>
      <c r="N78" s="7">
        <f t="shared" si="23"/>
        <v>0</v>
      </c>
      <c r="O78" s="11"/>
      <c r="P78" s="6"/>
      <c r="Q78" s="2"/>
      <c r="R78" s="7">
        <f t="shared" si="24"/>
        <v>0</v>
      </c>
      <c r="S78" s="2"/>
      <c r="T78" s="6">
        <v>0</v>
      </c>
      <c r="U78" s="2"/>
      <c r="V78" s="7">
        <f t="shared" si="25"/>
        <v>0</v>
      </c>
      <c r="W78" s="2"/>
      <c r="X78" s="6">
        <f t="shared" si="26"/>
        <v>0</v>
      </c>
      <c r="Y78" s="2"/>
      <c r="Z78" s="7">
        <f t="shared" si="27"/>
        <v>0</v>
      </c>
    </row>
    <row r="79" spans="1:26" s="24" customFormat="1" hidden="1" outlineLevel="2" x14ac:dyDescent="0.25">
      <c r="A79" s="26"/>
      <c r="B79" s="11" t="str">
        <f>CONCATENATE("          ", "6010", " - ", "GRATUITY")</f>
        <v xml:space="preserve">          6010 - GRATUITY</v>
      </c>
      <c r="C79" s="11"/>
      <c r="D79" s="6"/>
      <c r="E79" s="2"/>
      <c r="F79" s="7">
        <f t="shared" si="20"/>
        <v>0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0</v>
      </c>
      <c r="M79" s="2"/>
      <c r="N79" s="7">
        <f t="shared" si="23"/>
        <v>0</v>
      </c>
      <c r="O79" s="11"/>
      <c r="P79" s="6"/>
      <c r="Q79" s="2"/>
      <c r="R79" s="7">
        <f t="shared" si="24"/>
        <v>0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0</v>
      </c>
      <c r="Y79" s="2"/>
      <c r="Z79" s="7">
        <f t="shared" si="27"/>
        <v>0</v>
      </c>
    </row>
    <row r="80" spans="1:26" s="27" customFormat="1" outlineLevel="1" collapsed="1" x14ac:dyDescent="0.25">
      <c r="A80" s="25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0</v>
      </c>
      <c r="E80" s="1"/>
      <c r="F80" s="5">
        <f t="shared" ref="F80:F84" si="28">IF(D$12=0,0,D80/D$12)</f>
        <v>0</v>
      </c>
      <c r="G80" s="1"/>
      <c r="H80" s="1">
        <f>SUM(OSRRefH22_2x_0)</f>
        <v>100</v>
      </c>
      <c r="I80" s="1"/>
      <c r="J80" s="5">
        <f t="shared" ref="J80:J84" si="29">IF(H$12=0,0,H80/H$12)</f>
        <v>5.1250512505125051E-3</v>
      </c>
      <c r="K80" s="1"/>
      <c r="L80" s="1">
        <f t="shared" ref="L80:L84" si="30">+D80-H80</f>
        <v>-100</v>
      </c>
      <c r="M80" s="1"/>
      <c r="N80" s="5">
        <f t="shared" ref="N80:N84" si="31">IF(H80=0,0,L80/H80)</f>
        <v>-1</v>
      </c>
      <c r="O80" s="13"/>
      <c r="P80" s="1">
        <f>SUM(OSRRefP22_2x_0)</f>
        <v>2380.9899999999998</v>
      </c>
      <c r="Q80" s="1"/>
      <c r="R80" s="5">
        <f t="shared" ref="R80:R84" si="32">IF(P$12=0,0,P80/P$12)</f>
        <v>8.6663953902444898E-4</v>
      </c>
      <c r="S80" s="1"/>
      <c r="T80" s="1">
        <f>SUM(OSRRefT22_2x_0)</f>
        <v>3000</v>
      </c>
      <c r="U80" s="1"/>
      <c r="V80" s="5">
        <f t="shared" ref="V80:V84" si="33">IF(T$12=0,0,T80/T$12)</f>
        <v>6.7042342155509624E-4</v>
      </c>
      <c r="W80" s="1"/>
      <c r="X80" s="1">
        <f t="shared" ref="X80:X84" si="34">+P80-T80</f>
        <v>-619.01000000000022</v>
      </c>
      <c r="Y80" s="1"/>
      <c r="Z80" s="5">
        <f t="shared" ref="Z80:Z84" si="35">IF(T80=0,0,X80/T80)</f>
        <v>-0.20633666666666675</v>
      </c>
    </row>
    <row r="81" spans="1:26" s="24" customFormat="1" hidden="1" outlineLevel="2" x14ac:dyDescent="0.25">
      <c r="A81" s="26"/>
      <c r="B81" s="11" t="str">
        <f>CONCATENATE("          ", "6362", " - ", "ADVERTISING EXPENSE")</f>
        <v xml:space="preserve">          6362 - ADVERTISING EXPENSE</v>
      </c>
      <c r="C81" s="11"/>
      <c r="D81" s="6"/>
      <c r="E81" s="2"/>
      <c r="F81" s="7">
        <f t="shared" si="28"/>
        <v>0</v>
      </c>
      <c r="G81" s="2"/>
      <c r="H81" s="6">
        <v>100</v>
      </c>
      <c r="I81" s="2"/>
      <c r="J81" s="7">
        <f t="shared" si="29"/>
        <v>5.1250512505125051E-3</v>
      </c>
      <c r="K81" s="2"/>
      <c r="L81" s="6">
        <f t="shared" si="30"/>
        <v>-100</v>
      </c>
      <c r="M81" s="2"/>
      <c r="N81" s="7">
        <f t="shared" si="31"/>
        <v>-1</v>
      </c>
      <c r="O81" s="11"/>
      <c r="P81" s="6">
        <v>2380.9899999999998</v>
      </c>
      <c r="Q81" s="2"/>
      <c r="R81" s="7">
        <f t="shared" si="32"/>
        <v>8.6663953902444898E-4</v>
      </c>
      <c r="S81" s="2"/>
      <c r="T81" s="6">
        <v>3000</v>
      </c>
      <c r="U81" s="2"/>
      <c r="V81" s="7">
        <f t="shared" si="33"/>
        <v>6.7042342155509624E-4</v>
      </c>
      <c r="W81" s="2"/>
      <c r="X81" s="6">
        <f t="shared" si="34"/>
        <v>-619.01000000000022</v>
      </c>
      <c r="Y81" s="2"/>
      <c r="Z81" s="7">
        <f t="shared" si="35"/>
        <v>-0.20633666666666675</v>
      </c>
    </row>
    <row r="82" spans="1:26" s="27" customFormat="1" outlineLevel="1" collapsed="1" x14ac:dyDescent="0.25">
      <c r="A82" s="25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0</v>
      </c>
      <c r="E82" s="1"/>
      <c r="F82" s="5">
        <f t="shared" si="28"/>
        <v>0</v>
      </c>
      <c r="G82" s="1"/>
      <c r="H82" s="1">
        <f>SUM(OSRRefH22_3x_0)</f>
        <v>1200</v>
      </c>
      <c r="I82" s="1"/>
      <c r="J82" s="5">
        <f t="shared" si="29"/>
        <v>6.1500615006150061E-2</v>
      </c>
      <c r="K82" s="1"/>
      <c r="L82" s="1">
        <f t="shared" si="30"/>
        <v>-1200</v>
      </c>
      <c r="M82" s="1"/>
      <c r="N82" s="5">
        <f t="shared" si="31"/>
        <v>-1</v>
      </c>
      <c r="O82" s="13"/>
      <c r="P82" s="1">
        <f>SUM(OSRRefP22_3x_0)</f>
        <v>0</v>
      </c>
      <c r="Q82" s="1"/>
      <c r="R82" s="5">
        <f t="shared" si="32"/>
        <v>0</v>
      </c>
      <c r="S82" s="1"/>
      <c r="T82" s="1">
        <f>SUM(OSRRefT22_3x_0)</f>
        <v>20000</v>
      </c>
      <c r="U82" s="1"/>
      <c r="V82" s="5">
        <f t="shared" si="33"/>
        <v>4.4694894770339749E-3</v>
      </c>
      <c r="W82" s="1"/>
      <c r="X82" s="1">
        <f t="shared" si="34"/>
        <v>-20000</v>
      </c>
      <c r="Y82" s="1"/>
      <c r="Z82" s="5">
        <f t="shared" si="35"/>
        <v>-1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6">
        <v>0</v>
      </c>
      <c r="E83" s="2"/>
      <c r="F83" s="7">
        <f t="shared" si="28"/>
        <v>0</v>
      </c>
      <c r="G83" s="2"/>
      <c r="H83" s="6">
        <v>1200</v>
      </c>
      <c r="I83" s="2"/>
      <c r="J83" s="7">
        <f t="shared" si="29"/>
        <v>6.1500615006150061E-2</v>
      </c>
      <c r="K83" s="2"/>
      <c r="L83" s="6">
        <f t="shared" si="30"/>
        <v>-1200</v>
      </c>
      <c r="M83" s="2"/>
      <c r="N83" s="7">
        <f t="shared" si="31"/>
        <v>-1</v>
      </c>
      <c r="O83" s="11"/>
      <c r="P83" s="6">
        <v>0</v>
      </c>
      <c r="Q83" s="2"/>
      <c r="R83" s="7">
        <f t="shared" si="32"/>
        <v>0</v>
      </c>
      <c r="S83" s="2"/>
      <c r="T83" s="6">
        <v>20000</v>
      </c>
      <c r="U83" s="2"/>
      <c r="V83" s="7">
        <f t="shared" si="33"/>
        <v>4.4694894770339749E-3</v>
      </c>
      <c r="W83" s="2"/>
      <c r="X83" s="6">
        <f t="shared" si="34"/>
        <v>-20000</v>
      </c>
      <c r="Y83" s="2"/>
      <c r="Z83" s="7">
        <f t="shared" si="35"/>
        <v>-1</v>
      </c>
    </row>
    <row r="84" spans="1:26" s="24" customFormat="1" hidden="1" outlineLevel="2" x14ac:dyDescent="0.25">
      <c r="A84" s="26"/>
      <c r="B84" s="11" t="str">
        <f>CONCATENATE("          ", "9175", " - ", "EARNED DISCOUNTS")</f>
        <v xml:space="preserve">          9175 - EARNED DISCOUNTS</v>
      </c>
      <c r="C84" s="11"/>
      <c r="D84" s="6"/>
      <c r="E84" s="2"/>
      <c r="F84" s="7">
        <f t="shared" si="28"/>
        <v>0</v>
      </c>
      <c r="G84" s="2"/>
      <c r="H84" s="6"/>
      <c r="I84" s="2"/>
      <c r="J84" s="7">
        <f t="shared" si="29"/>
        <v>0</v>
      </c>
      <c r="K84" s="2"/>
      <c r="L84" s="6">
        <f t="shared" si="30"/>
        <v>0</v>
      </c>
      <c r="M84" s="2"/>
      <c r="N84" s="7">
        <f t="shared" si="31"/>
        <v>0</v>
      </c>
      <c r="O84" s="11"/>
      <c r="P84" s="6">
        <v>0</v>
      </c>
      <c r="Q84" s="2"/>
      <c r="R84" s="7">
        <f t="shared" si="32"/>
        <v>0</v>
      </c>
      <c r="S84" s="2"/>
      <c r="T84" s="6"/>
      <c r="U84" s="2"/>
      <c r="V84" s="7">
        <f t="shared" si="33"/>
        <v>0</v>
      </c>
      <c r="W84" s="2"/>
      <c r="X84" s="6">
        <f t="shared" si="34"/>
        <v>0</v>
      </c>
      <c r="Y84" s="2"/>
      <c r="Z84" s="7">
        <f t="shared" si="35"/>
        <v>0</v>
      </c>
    </row>
    <row r="85" spans="1:26" s="27" customFormat="1" outlineLevel="1" collapsed="1" x14ac:dyDescent="0.25">
      <c r="A85" s="25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36">IF(D$12=0,0,D85/D$12)</f>
        <v>0</v>
      </c>
      <c r="G85" s="1"/>
      <c r="H85" s="1">
        <f>SUM(OSRRefH22_4x_0)</f>
        <v>75</v>
      </c>
      <c r="I85" s="1"/>
      <c r="J85" s="5">
        <f t="shared" ref="J85:J91" si="37">IF(H$12=0,0,H85/H$12)</f>
        <v>3.8437884378843788E-3</v>
      </c>
      <c r="K85" s="1"/>
      <c r="L85" s="1">
        <f t="shared" ref="L85:L91" si="38">+D85-H85</f>
        <v>-75</v>
      </c>
      <c r="M85" s="1"/>
      <c r="N85" s="5">
        <f t="shared" ref="N85:N91" si="39">IF(H85=0,0,L85/H85)</f>
        <v>-1</v>
      </c>
      <c r="O85" s="13"/>
      <c r="P85" s="1">
        <f>SUM(OSRRefP22_4x_0)</f>
        <v>107.7</v>
      </c>
      <c r="Q85" s="1"/>
      <c r="R85" s="5">
        <f t="shared" ref="R85:R91" si="40">IF(P$12=0,0,P85/P$12)</f>
        <v>3.9200953533166106E-5</v>
      </c>
      <c r="S85" s="1"/>
      <c r="T85" s="1">
        <f>SUM(OSRRefT22_4x_0)</f>
        <v>900</v>
      </c>
      <c r="U85" s="1"/>
      <c r="V85" s="5">
        <f t="shared" ref="V85:V91" si="41">IF(T$12=0,0,T85/T$12)</f>
        <v>2.0112702646652889E-4</v>
      </c>
      <c r="W85" s="1"/>
      <c r="X85" s="1">
        <f t="shared" ref="X85:X91" si="42">+P85-T85</f>
        <v>-792.3</v>
      </c>
      <c r="Y85" s="1"/>
      <c r="Z85" s="5">
        <f t="shared" ref="Z85:Z91" si="43">IF(T85=0,0,X85/T85)</f>
        <v>-0.8803333333333333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6"/>
      <c r="E86" s="2"/>
      <c r="F86" s="7">
        <f t="shared" si="36"/>
        <v>0</v>
      </c>
      <c r="G86" s="2"/>
      <c r="H86" s="6">
        <v>75</v>
      </c>
      <c r="I86" s="2"/>
      <c r="J86" s="7">
        <f t="shared" si="37"/>
        <v>3.8437884378843788E-3</v>
      </c>
      <c r="K86" s="2"/>
      <c r="L86" s="6">
        <f t="shared" si="38"/>
        <v>-75</v>
      </c>
      <c r="M86" s="2"/>
      <c r="N86" s="7">
        <f t="shared" si="39"/>
        <v>-1</v>
      </c>
      <c r="O86" s="11"/>
      <c r="P86" s="6">
        <v>107.7</v>
      </c>
      <c r="Q86" s="2"/>
      <c r="R86" s="7">
        <f t="shared" si="40"/>
        <v>3.9200953533166106E-5</v>
      </c>
      <c r="S86" s="2"/>
      <c r="T86" s="6">
        <v>900</v>
      </c>
      <c r="U86" s="2"/>
      <c r="V86" s="7">
        <f t="shared" si="41"/>
        <v>2.0112702646652889E-4</v>
      </c>
      <c r="W86" s="2"/>
      <c r="X86" s="6">
        <f t="shared" si="42"/>
        <v>-792.3</v>
      </c>
      <c r="Y86" s="2"/>
      <c r="Z86" s="7">
        <f t="shared" si="43"/>
        <v>-0.8803333333333333</v>
      </c>
    </row>
    <row r="87" spans="1:26" s="27" customFormat="1" outlineLevel="1" collapsed="1" x14ac:dyDescent="0.25">
      <c r="A87" s="25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36"/>
        <v>2.2523656503132004E-2</v>
      </c>
      <c r="G87" s="1"/>
      <c r="H87" s="1">
        <f>SUM(OSRRefH22_5x_0)</f>
        <v>100</v>
      </c>
      <c r="I87" s="1"/>
      <c r="J87" s="5">
        <f t="shared" si="37"/>
        <v>5.1250512505125051E-3</v>
      </c>
      <c r="K87" s="1"/>
      <c r="L87" s="1">
        <f t="shared" si="38"/>
        <v>-8.7399999999999949</v>
      </c>
      <c r="M87" s="1"/>
      <c r="N87" s="5">
        <f t="shared" si="39"/>
        <v>-8.739999999999995E-2</v>
      </c>
      <c r="O87" s="13"/>
      <c r="P87" s="1">
        <f>SUM(OSRRefP22_5x_0)</f>
        <v>1095.1199999999999</v>
      </c>
      <c r="Q87" s="1"/>
      <c r="R87" s="5">
        <f t="shared" si="40"/>
        <v>3.9860490467261709E-4</v>
      </c>
      <c r="S87" s="1"/>
      <c r="T87" s="1">
        <f>SUM(OSRRefT22_5x_0)</f>
        <v>1200</v>
      </c>
      <c r="U87" s="1"/>
      <c r="V87" s="5">
        <f t="shared" si="41"/>
        <v>2.6816936862203851E-4</v>
      </c>
      <c r="W87" s="1"/>
      <c r="X87" s="1">
        <f t="shared" si="42"/>
        <v>-104.88000000000011</v>
      </c>
      <c r="Y87" s="1"/>
      <c r="Z87" s="5">
        <f t="shared" si="43"/>
        <v>-8.7400000000000089E-2</v>
      </c>
    </row>
    <row r="88" spans="1:26" s="24" customFormat="1" hidden="1" outlineLevel="2" x14ac:dyDescent="0.25">
      <c r="A88" s="26"/>
      <c r="B88" s="11" t="str">
        <f>CONCATENATE("          ", "6351", " - ", "EQUIPMENT RENTAL")</f>
        <v xml:space="preserve">          6351 - EQUIPMENT RENTAL</v>
      </c>
      <c r="C88" s="11"/>
      <c r="D88" s="6">
        <v>91.26</v>
      </c>
      <c r="E88" s="2"/>
      <c r="F88" s="7">
        <f t="shared" si="36"/>
        <v>2.2523656503132004E-2</v>
      </c>
      <c r="G88" s="2"/>
      <c r="H88" s="6">
        <v>100</v>
      </c>
      <c r="I88" s="2"/>
      <c r="J88" s="7">
        <f t="shared" si="37"/>
        <v>5.1250512505125051E-3</v>
      </c>
      <c r="K88" s="2"/>
      <c r="L88" s="6">
        <f t="shared" si="38"/>
        <v>-8.7399999999999949</v>
      </c>
      <c r="M88" s="2"/>
      <c r="N88" s="7">
        <f t="shared" si="39"/>
        <v>-8.739999999999995E-2</v>
      </c>
      <c r="O88" s="11"/>
      <c r="P88" s="6">
        <v>1095.1199999999999</v>
      </c>
      <c r="Q88" s="2"/>
      <c r="R88" s="7">
        <f t="shared" si="40"/>
        <v>3.9860490467261709E-4</v>
      </c>
      <c r="S88" s="2"/>
      <c r="T88" s="6">
        <v>1200</v>
      </c>
      <c r="U88" s="2"/>
      <c r="V88" s="7">
        <f t="shared" si="41"/>
        <v>2.6816936862203851E-4</v>
      </c>
      <c r="W88" s="2"/>
      <c r="X88" s="6">
        <f t="shared" si="42"/>
        <v>-104.88000000000011</v>
      </c>
      <c r="Y88" s="2"/>
      <c r="Z88" s="7">
        <f t="shared" si="43"/>
        <v>-8.7400000000000089E-2</v>
      </c>
    </row>
    <row r="89" spans="1:26" s="27" customFormat="1" outlineLevel="1" collapsed="1" x14ac:dyDescent="0.25">
      <c r="A89" s="25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6"/>
        <v>0</v>
      </c>
      <c r="G89" s="1"/>
      <c r="H89" s="1">
        <f>SUM(OSRRefH22_6x_0)</f>
        <v>1000</v>
      </c>
      <c r="I89" s="1"/>
      <c r="J89" s="5">
        <f t="shared" si="37"/>
        <v>5.1250512505125051E-2</v>
      </c>
      <c r="K89" s="1"/>
      <c r="L89" s="1">
        <f t="shared" si="38"/>
        <v>-1000</v>
      </c>
      <c r="M89" s="1"/>
      <c r="N89" s="5">
        <f t="shared" si="39"/>
        <v>-1</v>
      </c>
      <c r="O89" s="13"/>
      <c r="P89" s="1">
        <f>SUM(OSRRefP22_6x_0)</f>
        <v>26453.74</v>
      </c>
      <c r="Q89" s="1"/>
      <c r="R89" s="5">
        <f t="shared" si="40"/>
        <v>9.6287078228269041E-3</v>
      </c>
      <c r="S89" s="1"/>
      <c r="T89" s="1">
        <f>SUM(OSRRefT22_6x_0)</f>
        <v>25000</v>
      </c>
      <c r="U89" s="1"/>
      <c r="V89" s="5">
        <f t="shared" si="41"/>
        <v>5.5868618462924695E-3</v>
      </c>
      <c r="W89" s="1"/>
      <c r="X89" s="1">
        <f t="shared" si="42"/>
        <v>1453.7400000000016</v>
      </c>
      <c r="Y89" s="1"/>
      <c r="Z89" s="5">
        <f t="shared" si="43"/>
        <v>5.8149600000000065E-2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6"/>
      <c r="E90" s="2"/>
      <c r="F90" s="7">
        <f t="shared" si="36"/>
        <v>0</v>
      </c>
      <c r="G90" s="2"/>
      <c r="H90" s="6">
        <v>1000</v>
      </c>
      <c r="I90" s="2"/>
      <c r="J90" s="7">
        <f t="shared" si="37"/>
        <v>5.1250512505125051E-2</v>
      </c>
      <c r="K90" s="2"/>
      <c r="L90" s="6">
        <f t="shared" si="38"/>
        <v>-1000</v>
      </c>
      <c r="M90" s="2"/>
      <c r="N90" s="7">
        <f t="shared" si="39"/>
        <v>-1</v>
      </c>
      <c r="O90" s="11"/>
      <c r="P90" s="6">
        <v>26453.24</v>
      </c>
      <c r="Q90" s="2"/>
      <c r="R90" s="7">
        <f t="shared" si="40"/>
        <v>9.6285258313991724E-3</v>
      </c>
      <c r="S90" s="2"/>
      <c r="T90" s="6">
        <v>25000</v>
      </c>
      <c r="U90" s="2"/>
      <c r="V90" s="7">
        <f t="shared" si="41"/>
        <v>5.5868618462924695E-3</v>
      </c>
      <c r="W90" s="2"/>
      <c r="X90" s="6">
        <f t="shared" si="42"/>
        <v>1453.2400000000016</v>
      </c>
      <c r="Y90" s="2"/>
      <c r="Z90" s="7">
        <f t="shared" si="43"/>
        <v>5.8129600000000066E-2</v>
      </c>
    </row>
    <row r="91" spans="1:26" s="24" customFormat="1" hidden="1" outlineLevel="2" x14ac:dyDescent="0.25">
      <c r="A91" s="26"/>
      <c r="B91" s="11" t="str">
        <f>CONCATENATE("          ", "6307", " - ", "POSTAGE")</f>
        <v xml:space="preserve">          6307 - POSTAGE</v>
      </c>
      <c r="C91" s="11"/>
      <c r="D91" s="6"/>
      <c r="E91" s="2"/>
      <c r="F91" s="7">
        <f t="shared" si="36"/>
        <v>0</v>
      </c>
      <c r="G91" s="2"/>
      <c r="H91" s="6"/>
      <c r="I91" s="2"/>
      <c r="J91" s="7">
        <f t="shared" si="37"/>
        <v>0</v>
      </c>
      <c r="K91" s="2"/>
      <c r="L91" s="6">
        <f t="shared" si="38"/>
        <v>0</v>
      </c>
      <c r="M91" s="2"/>
      <c r="N91" s="7">
        <f t="shared" si="39"/>
        <v>0</v>
      </c>
      <c r="O91" s="11"/>
      <c r="P91" s="6">
        <v>0.5</v>
      </c>
      <c r="Q91" s="2"/>
      <c r="R91" s="7">
        <f t="shared" si="40"/>
        <v>1.8199142773057615E-7</v>
      </c>
      <c r="S91" s="2"/>
      <c r="T91" s="6"/>
      <c r="U91" s="2"/>
      <c r="V91" s="7">
        <f t="shared" si="41"/>
        <v>0</v>
      </c>
      <c r="W91" s="2"/>
      <c r="X91" s="6">
        <f t="shared" si="42"/>
        <v>0.5</v>
      </c>
      <c r="Y91" s="2"/>
      <c r="Z91" s="7">
        <f t="shared" si="43"/>
        <v>0</v>
      </c>
    </row>
    <row r="92" spans="1:26" s="27" customFormat="1" outlineLevel="1" collapsed="1" x14ac:dyDescent="0.25">
      <c r="A92" s="25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-3391.74</v>
      </c>
      <c r="E92" s="1"/>
      <c r="F92" s="5">
        <f t="shared" ref="F92:F94" si="44">IF(D$12=0,0,D92/D$12)</f>
        <v>-0.83710702068740883</v>
      </c>
      <c r="G92" s="1"/>
      <c r="H92" s="1">
        <f>SUM(OSRRefH22_7x_0)</f>
        <v>0</v>
      </c>
      <c r="I92" s="1"/>
      <c r="J92" s="5">
        <f t="shared" ref="J92:J94" si="45">IF(H$12=0,0,H92/H$12)</f>
        <v>0</v>
      </c>
      <c r="K92" s="1"/>
      <c r="L92" s="1">
        <f t="shared" ref="L92:L94" si="46">+D92-H92</f>
        <v>-3391.74</v>
      </c>
      <c r="M92" s="1"/>
      <c r="N92" s="5">
        <f t="shared" ref="N92:N94" si="47">IF(H92=0,0,L92/H92)</f>
        <v>0</v>
      </c>
      <c r="O92" s="13"/>
      <c r="P92" s="1">
        <f>SUM(OSRRefP22_7x_0)</f>
        <v>-4434.76</v>
      </c>
      <c r="Q92" s="1"/>
      <c r="R92" s="5">
        <f t="shared" ref="R92:R94" si="48">IF(P$12=0,0,P92/P$12)</f>
        <v>-1.6141766080848999E-3</v>
      </c>
      <c r="S92" s="1"/>
      <c r="T92" s="1">
        <f>SUM(OSRRefT22_7x_0)</f>
        <v>2750</v>
      </c>
      <c r="U92" s="1"/>
      <c r="V92" s="5">
        <f t="shared" ref="V92:V94" si="49">IF(T$12=0,0,T92/T$12)</f>
        <v>6.1455480309217155E-4</v>
      </c>
      <c r="W92" s="1"/>
      <c r="X92" s="1">
        <f t="shared" ref="X92:X94" si="50">+P92-T92</f>
        <v>-7184.76</v>
      </c>
      <c r="Y92" s="1"/>
      <c r="Z92" s="5">
        <f t="shared" ref="Z92:Z94" si="51">IF(T92=0,0,X92/T92)</f>
        <v>-2.6126400000000003</v>
      </c>
    </row>
    <row r="93" spans="1:26" s="24" customFormat="1" hidden="1" outlineLevel="2" x14ac:dyDescent="0.25">
      <c r="A93" s="26"/>
      <c r="B93" s="11" t="str">
        <f>CONCATENATE("          ", "6269", " - ", "ENTERTAINMENT")</f>
        <v xml:space="preserve">          6269 - ENTERTAINMENT</v>
      </c>
      <c r="C93" s="11"/>
      <c r="D93" s="6"/>
      <c r="E93" s="2"/>
      <c r="F93" s="7">
        <f t="shared" si="44"/>
        <v>0</v>
      </c>
      <c r="G93" s="2"/>
      <c r="H93" s="6">
        <v>0</v>
      </c>
      <c r="I93" s="2"/>
      <c r="J93" s="7">
        <f t="shared" si="45"/>
        <v>0</v>
      </c>
      <c r="K93" s="2"/>
      <c r="L93" s="6">
        <f t="shared" si="46"/>
        <v>0</v>
      </c>
      <c r="M93" s="2"/>
      <c r="N93" s="7">
        <f t="shared" si="47"/>
        <v>0</v>
      </c>
      <c r="O93" s="11"/>
      <c r="P93" s="6"/>
      <c r="Q93" s="2"/>
      <c r="R93" s="7">
        <f t="shared" si="48"/>
        <v>0</v>
      </c>
      <c r="S93" s="2"/>
      <c r="T93" s="6">
        <v>2750</v>
      </c>
      <c r="U93" s="2"/>
      <c r="V93" s="7">
        <f t="shared" si="49"/>
        <v>6.1455480309217155E-4</v>
      </c>
      <c r="W93" s="2"/>
      <c r="X93" s="6">
        <f t="shared" si="50"/>
        <v>-2750</v>
      </c>
      <c r="Y93" s="2"/>
      <c r="Z93" s="7">
        <f t="shared" si="51"/>
        <v>-1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6">
        <v>-3391.74</v>
      </c>
      <c r="E94" s="2"/>
      <c r="F94" s="7">
        <f t="shared" si="44"/>
        <v>-0.83710702068740883</v>
      </c>
      <c r="G94" s="2"/>
      <c r="H94" s="6"/>
      <c r="I94" s="2"/>
      <c r="J94" s="7">
        <f t="shared" si="45"/>
        <v>0</v>
      </c>
      <c r="K94" s="2"/>
      <c r="L94" s="6">
        <f t="shared" si="46"/>
        <v>-3391.74</v>
      </c>
      <c r="M94" s="2"/>
      <c r="N94" s="7">
        <f t="shared" si="47"/>
        <v>0</v>
      </c>
      <c r="O94" s="11"/>
      <c r="P94" s="6">
        <v>-4434.76</v>
      </c>
      <c r="Q94" s="2"/>
      <c r="R94" s="7">
        <f t="shared" si="48"/>
        <v>-1.6141766080848999E-3</v>
      </c>
      <c r="S94" s="2"/>
      <c r="T94" s="6"/>
      <c r="U94" s="2"/>
      <c r="V94" s="7">
        <f t="shared" si="49"/>
        <v>0</v>
      </c>
      <c r="W94" s="2"/>
      <c r="X94" s="6">
        <f t="shared" si="50"/>
        <v>-4434.76</v>
      </c>
      <c r="Y94" s="2"/>
      <c r="Z94" s="7">
        <f t="shared" si="51"/>
        <v>0</v>
      </c>
    </row>
    <row r="95" spans="1:26" s="27" customFormat="1" outlineLevel="1" collapsed="1" x14ac:dyDescent="0.25">
      <c r="A95" s="25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-16000</v>
      </c>
      <c r="E95" s="1"/>
      <c r="F95" s="5">
        <f t="shared" ref="F95:F100" si="52">IF(D$12=0,0,D95/D$12)</f>
        <v>-3.9489207106082844</v>
      </c>
      <c r="G95" s="1"/>
      <c r="H95" s="1">
        <f>SUM(OSRRefH22_8x_0)</f>
        <v>44000</v>
      </c>
      <c r="I95" s="1"/>
      <c r="J95" s="5">
        <f t="shared" ref="J95:J100" si="53">IF(H$12=0,0,H95/H$12)</f>
        <v>2.2550225502255024</v>
      </c>
      <c r="K95" s="1"/>
      <c r="L95" s="1">
        <f t="shared" ref="L95:L100" si="54">+D95-H95</f>
        <v>-60000</v>
      </c>
      <c r="M95" s="1"/>
      <c r="N95" s="5">
        <f t="shared" ref="N95:N100" si="55">IF(H95=0,0,L95/H95)</f>
        <v>-1.3636363636363635</v>
      </c>
      <c r="O95" s="13"/>
      <c r="P95" s="1">
        <f>SUM(OSRRefP22_8x_0)</f>
        <v>0</v>
      </c>
      <c r="Q95" s="1"/>
      <c r="R95" s="5">
        <f t="shared" ref="R95:R100" si="56">IF(P$12=0,0,P95/P$12)</f>
        <v>0</v>
      </c>
      <c r="S95" s="1"/>
      <c r="T95" s="1">
        <f>SUM(OSRRefT22_8x_0)</f>
        <v>60000</v>
      </c>
      <c r="U95" s="1"/>
      <c r="V95" s="5">
        <f t="shared" ref="V95:V100" si="57">IF(T$12=0,0,T95/T$12)</f>
        <v>1.3408468431101927E-2</v>
      </c>
      <c r="W95" s="1"/>
      <c r="X95" s="1">
        <f t="shared" ref="X95:X100" si="58">+P95-T95</f>
        <v>-60000</v>
      </c>
      <c r="Y95" s="1"/>
      <c r="Z95" s="5">
        <f t="shared" ref="Z95:Z100" si="59">IF(T95=0,0,X95/T95)</f>
        <v>-1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6">
        <v>-16000</v>
      </c>
      <c r="E96" s="2"/>
      <c r="F96" s="7">
        <f t="shared" si="52"/>
        <v>-3.9489207106082844</v>
      </c>
      <c r="G96" s="2"/>
      <c r="H96" s="6">
        <v>44000</v>
      </c>
      <c r="I96" s="2"/>
      <c r="J96" s="7">
        <f t="shared" si="53"/>
        <v>2.2550225502255024</v>
      </c>
      <c r="K96" s="2"/>
      <c r="L96" s="6">
        <f t="shared" si="54"/>
        <v>-60000</v>
      </c>
      <c r="M96" s="2"/>
      <c r="N96" s="7">
        <f t="shared" si="55"/>
        <v>-1.3636363636363635</v>
      </c>
      <c r="O96" s="11"/>
      <c r="P96" s="6">
        <v>0</v>
      </c>
      <c r="Q96" s="2"/>
      <c r="R96" s="7">
        <f t="shared" si="56"/>
        <v>0</v>
      </c>
      <c r="S96" s="2"/>
      <c r="T96" s="6">
        <v>60000</v>
      </c>
      <c r="U96" s="2"/>
      <c r="V96" s="7">
        <f t="shared" si="57"/>
        <v>1.3408468431101927E-2</v>
      </c>
      <c r="W96" s="2"/>
      <c r="X96" s="6">
        <f t="shared" si="58"/>
        <v>-60000</v>
      </c>
      <c r="Y96" s="2"/>
      <c r="Z96" s="7">
        <f t="shared" si="59"/>
        <v>-1</v>
      </c>
    </row>
    <row r="97" spans="1:26" s="27" customFormat="1" outlineLevel="1" collapsed="1" x14ac:dyDescent="0.25">
      <c r="A97" s="25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10.35</v>
      </c>
      <c r="E97" s="1"/>
      <c r="F97" s="5">
        <f t="shared" si="52"/>
        <v>2.5544580846747337E-3</v>
      </c>
      <c r="G97" s="1"/>
      <c r="H97" s="1">
        <f>SUM(OSRRefH22_9x_0)</f>
        <v>140</v>
      </c>
      <c r="I97" s="1"/>
      <c r="J97" s="5">
        <f t="shared" si="53"/>
        <v>7.1750717507175071E-3</v>
      </c>
      <c r="K97" s="1"/>
      <c r="L97" s="1">
        <f t="shared" si="54"/>
        <v>-129.65</v>
      </c>
      <c r="M97" s="1"/>
      <c r="N97" s="5">
        <f t="shared" si="55"/>
        <v>-0.92607142857142866</v>
      </c>
      <c r="O97" s="13"/>
      <c r="P97" s="1">
        <f>SUM(OSRRefP22_9x_0)</f>
        <v>487.34000000000003</v>
      </c>
      <c r="Q97" s="1"/>
      <c r="R97" s="5">
        <f t="shared" si="56"/>
        <v>1.7738340478043799E-4</v>
      </c>
      <c r="S97" s="1"/>
      <c r="T97" s="1">
        <f>SUM(OSRRefT22_9x_0)</f>
        <v>13680</v>
      </c>
      <c r="U97" s="1"/>
      <c r="V97" s="5">
        <f t="shared" si="57"/>
        <v>3.057130802291239E-3</v>
      </c>
      <c r="W97" s="1"/>
      <c r="X97" s="1">
        <f t="shared" si="58"/>
        <v>-13192.66</v>
      </c>
      <c r="Y97" s="1"/>
      <c r="Z97" s="5">
        <f t="shared" si="59"/>
        <v>-0.96437573099415208</v>
      </c>
    </row>
    <row r="98" spans="1:26" s="24" customFormat="1" hidden="1" outlineLevel="2" x14ac:dyDescent="0.25">
      <c r="A98" s="26"/>
      <c r="B98" s="11" t="str">
        <f>CONCATENATE("          ", "6371", " - ", "COMPUTER SOFTWARE MAINTENANCE")</f>
        <v xml:space="preserve">          6371 - COMPUTER SOFTWARE MAINTENANCE</v>
      </c>
      <c r="C98" s="11"/>
      <c r="D98" s="6"/>
      <c r="E98" s="2"/>
      <c r="F98" s="7">
        <f t="shared" si="52"/>
        <v>0</v>
      </c>
      <c r="G98" s="2"/>
      <c r="H98" s="6"/>
      <c r="I98" s="2"/>
      <c r="J98" s="7">
        <f t="shared" si="53"/>
        <v>0</v>
      </c>
      <c r="K98" s="2"/>
      <c r="L98" s="6">
        <f t="shared" si="54"/>
        <v>0</v>
      </c>
      <c r="M98" s="2"/>
      <c r="N98" s="7">
        <f t="shared" si="55"/>
        <v>0</v>
      </c>
      <c r="O98" s="11"/>
      <c r="P98" s="6"/>
      <c r="Q98" s="2"/>
      <c r="R98" s="7">
        <f t="shared" si="56"/>
        <v>0</v>
      </c>
      <c r="S98" s="2"/>
      <c r="T98" s="6">
        <v>12000</v>
      </c>
      <c r="U98" s="2"/>
      <c r="V98" s="7">
        <f t="shared" si="57"/>
        <v>2.681693686220385E-3</v>
      </c>
      <c r="W98" s="2"/>
      <c r="X98" s="6">
        <f t="shared" si="58"/>
        <v>-12000</v>
      </c>
      <c r="Y98" s="2"/>
      <c r="Z98" s="7">
        <f t="shared" si="59"/>
        <v>-1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>
        <v>10.35</v>
      </c>
      <c r="E99" s="2"/>
      <c r="F99" s="7">
        <f t="shared" si="52"/>
        <v>2.5544580846747337E-3</v>
      </c>
      <c r="G99" s="2"/>
      <c r="H99" s="6">
        <v>40</v>
      </c>
      <c r="I99" s="2"/>
      <c r="J99" s="7">
        <f t="shared" si="53"/>
        <v>2.050020500205002E-3</v>
      </c>
      <c r="K99" s="2"/>
      <c r="L99" s="6">
        <f t="shared" si="54"/>
        <v>-29.65</v>
      </c>
      <c r="M99" s="2"/>
      <c r="N99" s="7">
        <f t="shared" si="55"/>
        <v>-0.74124999999999996</v>
      </c>
      <c r="O99" s="11"/>
      <c r="P99" s="6">
        <v>229.83</v>
      </c>
      <c r="Q99" s="2"/>
      <c r="R99" s="7">
        <f t="shared" si="56"/>
        <v>8.3654179670636641E-5</v>
      </c>
      <c r="S99" s="2"/>
      <c r="T99" s="6">
        <v>480</v>
      </c>
      <c r="U99" s="2"/>
      <c r="V99" s="7">
        <f t="shared" si="57"/>
        <v>1.0726774744881541E-4</v>
      </c>
      <c r="W99" s="2"/>
      <c r="X99" s="6">
        <f t="shared" si="58"/>
        <v>-250.17</v>
      </c>
      <c r="Y99" s="2"/>
      <c r="Z99" s="7">
        <f t="shared" si="59"/>
        <v>-0.52118750000000003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52"/>
        <v>0</v>
      </c>
      <c r="G100" s="2"/>
      <c r="H100" s="6">
        <v>100</v>
      </c>
      <c r="I100" s="2"/>
      <c r="J100" s="7">
        <f t="shared" si="53"/>
        <v>5.1250512505125051E-3</v>
      </c>
      <c r="K100" s="2"/>
      <c r="L100" s="6">
        <f t="shared" si="54"/>
        <v>-100</v>
      </c>
      <c r="M100" s="2"/>
      <c r="N100" s="7">
        <f t="shared" si="55"/>
        <v>-1</v>
      </c>
      <c r="O100" s="11"/>
      <c r="P100" s="6">
        <v>257.51</v>
      </c>
      <c r="Q100" s="2"/>
      <c r="R100" s="7">
        <f t="shared" si="56"/>
        <v>9.3729225109801334E-5</v>
      </c>
      <c r="S100" s="2"/>
      <c r="T100" s="6">
        <v>1200</v>
      </c>
      <c r="U100" s="2"/>
      <c r="V100" s="7">
        <f t="shared" si="57"/>
        <v>2.6816936862203851E-4</v>
      </c>
      <c r="W100" s="2"/>
      <c r="X100" s="6">
        <f t="shared" si="58"/>
        <v>-942.49</v>
      </c>
      <c r="Y100" s="2"/>
      <c r="Z100" s="7">
        <f t="shared" si="59"/>
        <v>-0.78540833333333337</v>
      </c>
    </row>
    <row r="101" spans="1:26" s="27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-911</v>
      </c>
      <c r="E101" s="1"/>
      <c r="F101" s="5">
        <f t="shared" ref="F101:F103" si="60">IF(D$12=0,0,D101/D$12)</f>
        <v>-0.2248416729602592</v>
      </c>
      <c r="G101" s="1"/>
      <c r="H101" s="1">
        <f>SUM(OSRRefH22_10x_0)</f>
        <v>300</v>
      </c>
      <c r="I101" s="1"/>
      <c r="J101" s="5">
        <f t="shared" ref="J101:J103" si="61">IF(H$12=0,0,H101/H$12)</f>
        <v>1.5375153751537515E-2</v>
      </c>
      <c r="K101" s="1"/>
      <c r="L101" s="1">
        <f t="shared" ref="L101:L103" si="62">+D101-H101</f>
        <v>-1211</v>
      </c>
      <c r="M101" s="1"/>
      <c r="N101" s="5">
        <f t="shared" ref="N101:N103" si="63">IF(H101=0,0,L101/H101)</f>
        <v>-4.0366666666666671</v>
      </c>
      <c r="O101" s="13"/>
      <c r="P101" s="1">
        <f>SUM(OSRRefP22_10x_0)</f>
        <v>4298.66</v>
      </c>
      <c r="Q101" s="1"/>
      <c r="R101" s="5">
        <f t="shared" ref="R101:R103" si="64">IF(P$12=0,0,P101/P$12)</f>
        <v>1.5646385414566368E-3</v>
      </c>
      <c r="S101" s="1"/>
      <c r="T101" s="1">
        <f>SUM(OSRRefT22_10x_0)</f>
        <v>5400</v>
      </c>
      <c r="U101" s="1"/>
      <c r="V101" s="5">
        <f t="shared" ref="V101:V103" si="65">IF(T$12=0,0,T101/T$12)</f>
        <v>1.2067621587991734E-3</v>
      </c>
      <c r="W101" s="1"/>
      <c r="X101" s="1">
        <f t="shared" ref="X101:X103" si="66">+P101-T101</f>
        <v>-1101.3400000000001</v>
      </c>
      <c r="Y101" s="1"/>
      <c r="Z101" s="5">
        <f t="shared" ref="Z101:Z103" si="67">IF(T101=0,0,X101/T101)</f>
        <v>-0.20395185185185188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6">
        <v>-911</v>
      </c>
      <c r="E102" s="2"/>
      <c r="F102" s="7">
        <f t="shared" si="60"/>
        <v>-0.2248416729602592</v>
      </c>
      <c r="G102" s="2"/>
      <c r="H102" s="6">
        <v>300</v>
      </c>
      <c r="I102" s="2"/>
      <c r="J102" s="7">
        <f t="shared" si="61"/>
        <v>1.5375153751537515E-2</v>
      </c>
      <c r="K102" s="2"/>
      <c r="L102" s="6">
        <f t="shared" si="62"/>
        <v>-1211</v>
      </c>
      <c r="M102" s="2"/>
      <c r="N102" s="7">
        <f t="shared" si="63"/>
        <v>-4.0366666666666671</v>
      </c>
      <c r="O102" s="11"/>
      <c r="P102" s="6">
        <v>2446.58</v>
      </c>
      <c r="Q102" s="2"/>
      <c r="R102" s="7">
        <f t="shared" si="64"/>
        <v>8.9051317451414598E-4</v>
      </c>
      <c r="S102" s="2"/>
      <c r="T102" s="6">
        <v>3600</v>
      </c>
      <c r="U102" s="2"/>
      <c r="V102" s="7">
        <f t="shared" si="65"/>
        <v>8.0450810586611557E-4</v>
      </c>
      <c r="W102" s="2"/>
      <c r="X102" s="6">
        <f t="shared" si="66"/>
        <v>-1153.42</v>
      </c>
      <c r="Y102" s="2"/>
      <c r="Z102" s="7">
        <f t="shared" si="67"/>
        <v>-0.32039444444444448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60"/>
        <v>0</v>
      </c>
      <c r="G103" s="2"/>
      <c r="H103" s="6"/>
      <c r="I103" s="2"/>
      <c r="J103" s="7">
        <f t="shared" si="61"/>
        <v>0</v>
      </c>
      <c r="K103" s="2"/>
      <c r="L103" s="6">
        <f t="shared" si="62"/>
        <v>0</v>
      </c>
      <c r="M103" s="2"/>
      <c r="N103" s="7">
        <f t="shared" si="63"/>
        <v>0</v>
      </c>
      <c r="O103" s="11"/>
      <c r="P103" s="6">
        <v>1852.08</v>
      </c>
      <c r="Q103" s="2"/>
      <c r="R103" s="7">
        <f t="shared" si="64"/>
        <v>6.7412536694249096E-4</v>
      </c>
      <c r="S103" s="2"/>
      <c r="T103" s="6">
        <v>1800</v>
      </c>
      <c r="U103" s="2"/>
      <c r="V103" s="7">
        <f t="shared" si="65"/>
        <v>4.0225405293305779E-4</v>
      </c>
      <c r="W103" s="2"/>
      <c r="X103" s="6">
        <f t="shared" si="66"/>
        <v>52.079999999999927</v>
      </c>
      <c r="Y103" s="2"/>
      <c r="Z103" s="7">
        <f t="shared" si="67"/>
        <v>2.8933333333333294E-2</v>
      </c>
    </row>
    <row r="104" spans="1:26" s="27" customFormat="1" outlineLevel="1" collapsed="1" x14ac:dyDescent="0.25">
      <c r="A104" s="25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238.34</v>
      </c>
      <c r="E104" s="1"/>
      <c r="F104" s="5">
        <f t="shared" ref="F104:F107" si="68">IF(D$12=0,0,D104/D$12)</f>
        <v>5.8824110135398656E-2</v>
      </c>
      <c r="G104" s="1"/>
      <c r="H104" s="1">
        <f>SUM(OSRRefH22_11x_0)</f>
        <v>700</v>
      </c>
      <c r="I104" s="1"/>
      <c r="J104" s="5">
        <f t="shared" ref="J104:J107" si="69">IF(H$12=0,0,H104/H$12)</f>
        <v>3.5875358753587536E-2</v>
      </c>
      <c r="K104" s="1"/>
      <c r="L104" s="1">
        <f t="shared" ref="L104:L107" si="70">+D104-H104</f>
        <v>-461.65999999999997</v>
      </c>
      <c r="M104" s="1"/>
      <c r="N104" s="5">
        <f t="shared" ref="N104:N107" si="71">IF(H104=0,0,L104/H104)</f>
        <v>-0.65951428571428572</v>
      </c>
      <c r="O104" s="13"/>
      <c r="P104" s="1">
        <f>SUM(OSRRefP22_11x_0)</f>
        <v>5604.71</v>
      </c>
      <c r="Q104" s="1"/>
      <c r="R104" s="5">
        <f t="shared" ref="R104:R107" si="72">IF(P$12=0,0,P104/P$12)</f>
        <v>2.0400183498316751E-3</v>
      </c>
      <c r="S104" s="1"/>
      <c r="T104" s="1">
        <f>SUM(OSRRefT22_11x_0)</f>
        <v>14000</v>
      </c>
      <c r="U104" s="1"/>
      <c r="V104" s="5">
        <f t="shared" ref="V104:V107" si="73">IF(T$12=0,0,T104/T$12)</f>
        <v>3.1286426339237829E-3</v>
      </c>
      <c r="W104" s="1"/>
      <c r="X104" s="1">
        <f t="shared" ref="X104:X107" si="74">+P104-T104</f>
        <v>-8395.2900000000009</v>
      </c>
      <c r="Y104" s="1"/>
      <c r="Z104" s="5">
        <f t="shared" ref="Z104:Z107" si="75">IF(T104=0,0,X104/T104)</f>
        <v>-0.59966357142857152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238.34</v>
      </c>
      <c r="E105" s="2"/>
      <c r="F105" s="7">
        <f t="shared" si="68"/>
        <v>5.8824110135398656E-2</v>
      </c>
      <c r="G105" s="2"/>
      <c r="H105" s="6">
        <v>200</v>
      </c>
      <c r="I105" s="2"/>
      <c r="J105" s="7">
        <f t="shared" si="69"/>
        <v>1.025010250102501E-2</v>
      </c>
      <c r="K105" s="2"/>
      <c r="L105" s="6">
        <f t="shared" si="70"/>
        <v>38.340000000000003</v>
      </c>
      <c r="M105" s="2"/>
      <c r="N105" s="7">
        <f t="shared" si="71"/>
        <v>0.19170000000000001</v>
      </c>
      <c r="O105" s="11"/>
      <c r="P105" s="6">
        <v>1863.09</v>
      </c>
      <c r="Q105" s="2"/>
      <c r="R105" s="7">
        <f t="shared" si="72"/>
        <v>6.7813281818111825E-4</v>
      </c>
      <c r="S105" s="2"/>
      <c r="T105" s="6">
        <v>4700</v>
      </c>
      <c r="U105" s="2"/>
      <c r="V105" s="7">
        <f t="shared" si="73"/>
        <v>1.0503300271029843E-3</v>
      </c>
      <c r="W105" s="2"/>
      <c r="X105" s="6">
        <f t="shared" si="74"/>
        <v>-2836.91</v>
      </c>
      <c r="Y105" s="2"/>
      <c r="Z105" s="7">
        <f t="shared" si="75"/>
        <v>-0.6035978723404255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68"/>
        <v>0</v>
      </c>
      <c r="G106" s="2"/>
      <c r="H106" s="6">
        <v>100</v>
      </c>
      <c r="I106" s="2"/>
      <c r="J106" s="7">
        <f t="shared" si="69"/>
        <v>5.1250512505125051E-3</v>
      </c>
      <c r="K106" s="2"/>
      <c r="L106" s="6">
        <f t="shared" si="70"/>
        <v>-100</v>
      </c>
      <c r="M106" s="2"/>
      <c r="N106" s="7">
        <f t="shared" si="71"/>
        <v>-1</v>
      </c>
      <c r="O106" s="11"/>
      <c r="P106" s="6"/>
      <c r="Q106" s="2"/>
      <c r="R106" s="7">
        <f t="shared" si="72"/>
        <v>0</v>
      </c>
      <c r="S106" s="2"/>
      <c r="T106" s="6">
        <v>2600</v>
      </c>
      <c r="U106" s="2"/>
      <c r="V106" s="7">
        <f t="shared" si="73"/>
        <v>5.8103363201441683E-4</v>
      </c>
      <c r="W106" s="2"/>
      <c r="X106" s="6">
        <f t="shared" si="74"/>
        <v>-2600</v>
      </c>
      <c r="Y106" s="2"/>
      <c r="Z106" s="7">
        <f t="shared" si="75"/>
        <v>-1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6"/>
      <c r="E107" s="2"/>
      <c r="F107" s="7">
        <f t="shared" si="68"/>
        <v>0</v>
      </c>
      <c r="G107" s="2"/>
      <c r="H107" s="6">
        <v>400</v>
      </c>
      <c r="I107" s="2"/>
      <c r="J107" s="7">
        <f t="shared" si="69"/>
        <v>2.050020500205002E-2</v>
      </c>
      <c r="K107" s="2"/>
      <c r="L107" s="6">
        <f t="shared" si="70"/>
        <v>-400</v>
      </c>
      <c r="M107" s="2"/>
      <c r="N107" s="7">
        <f t="shared" si="71"/>
        <v>-1</v>
      </c>
      <c r="O107" s="11"/>
      <c r="P107" s="6">
        <v>3741.62</v>
      </c>
      <c r="Q107" s="2"/>
      <c r="R107" s="7">
        <f t="shared" si="72"/>
        <v>1.3618855316505567E-3</v>
      </c>
      <c r="S107" s="2"/>
      <c r="T107" s="6">
        <v>6700</v>
      </c>
      <c r="U107" s="2"/>
      <c r="V107" s="7">
        <f t="shared" si="73"/>
        <v>1.4972789748063818E-3</v>
      </c>
      <c r="W107" s="2"/>
      <c r="X107" s="6">
        <f t="shared" si="74"/>
        <v>-2958.38</v>
      </c>
      <c r="Y107" s="2"/>
      <c r="Z107" s="7">
        <f t="shared" si="75"/>
        <v>-0.44154925373134329</v>
      </c>
    </row>
    <row r="108" spans="1:26" s="27" customFormat="1" outlineLevel="1" collapsed="1" x14ac:dyDescent="0.25">
      <c r="A108" s="25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721.2</v>
      </c>
      <c r="E108" s="1"/>
      <c r="F108" s="5">
        <f t="shared" ref="F108:F110" si="76">IF(D$12=0,0,D108/D$12)</f>
        <v>0.17799760103066842</v>
      </c>
      <c r="G108" s="1"/>
      <c r="H108" s="1">
        <f>SUM(OSRRefH22_12x_0)</f>
        <v>600</v>
      </c>
      <c r="I108" s="1"/>
      <c r="J108" s="5">
        <f t="shared" ref="J108:J110" si="77">IF(H$12=0,0,H108/H$12)</f>
        <v>3.0750307503075031E-2</v>
      </c>
      <c r="K108" s="1"/>
      <c r="L108" s="1">
        <f t="shared" ref="L108:L110" si="78">+D108-H108</f>
        <v>121.20000000000005</v>
      </c>
      <c r="M108" s="1"/>
      <c r="N108" s="5">
        <f t="shared" ref="N108:N110" si="79">IF(H108=0,0,L108/H108)</f>
        <v>0.20200000000000007</v>
      </c>
      <c r="O108" s="13"/>
      <c r="P108" s="1">
        <f>SUM(OSRRefP22_12x_0)</f>
        <v>9470.9</v>
      </c>
      <c r="Q108" s="1"/>
      <c r="R108" s="5">
        <f t="shared" ref="R108:R110" si="80">IF(P$12=0,0,P108/P$12)</f>
        <v>3.4472452257870274E-3</v>
      </c>
      <c r="S108" s="1"/>
      <c r="T108" s="1">
        <f>SUM(OSRRefT22_12x_0)</f>
        <v>9500</v>
      </c>
      <c r="U108" s="1"/>
      <c r="V108" s="5">
        <f t="shared" ref="V108:V110" si="81">IF(T$12=0,0,T108/T$12)</f>
        <v>2.1230075015911381E-3</v>
      </c>
      <c r="W108" s="1"/>
      <c r="X108" s="1">
        <f t="shared" ref="X108:X110" si="82">+P108-T108</f>
        <v>-29.100000000000364</v>
      </c>
      <c r="Y108" s="1"/>
      <c r="Z108" s="5">
        <f t="shared" ref="Z108:Z110" si="83">IF(T108=0,0,X108/T108)</f>
        <v>-3.0631578947368805E-3</v>
      </c>
    </row>
    <row r="109" spans="1:26" s="24" customFormat="1" hidden="1" outlineLevel="2" x14ac:dyDescent="0.25">
      <c r="A109" s="26"/>
      <c r="B109" s="11" t="str">
        <f>CONCATENATE("          ", "6303", " - ", "DATA PHONE LINES")</f>
        <v xml:space="preserve">          6303 - DATA PHONE LINES</v>
      </c>
      <c r="C109" s="11"/>
      <c r="D109" s="6"/>
      <c r="E109" s="2"/>
      <c r="F109" s="7">
        <f t="shared" si="76"/>
        <v>0</v>
      </c>
      <c r="G109" s="2"/>
      <c r="H109" s="6">
        <v>300</v>
      </c>
      <c r="I109" s="2"/>
      <c r="J109" s="7">
        <f t="shared" si="77"/>
        <v>1.5375153751537515E-2</v>
      </c>
      <c r="K109" s="2"/>
      <c r="L109" s="6">
        <f t="shared" si="78"/>
        <v>-300</v>
      </c>
      <c r="M109" s="2"/>
      <c r="N109" s="7">
        <f t="shared" si="79"/>
        <v>-1</v>
      </c>
      <c r="O109" s="11"/>
      <c r="P109" s="6">
        <v>3540</v>
      </c>
      <c r="Q109" s="2"/>
      <c r="R109" s="7">
        <f t="shared" si="80"/>
        <v>1.2884993083324791E-3</v>
      </c>
      <c r="S109" s="2"/>
      <c r="T109" s="6">
        <v>3600</v>
      </c>
      <c r="U109" s="2"/>
      <c r="V109" s="7">
        <f t="shared" si="81"/>
        <v>8.0450810586611557E-4</v>
      </c>
      <c r="W109" s="2"/>
      <c r="X109" s="6">
        <f t="shared" si="82"/>
        <v>-60</v>
      </c>
      <c r="Y109" s="2"/>
      <c r="Z109" s="7">
        <f t="shared" si="83"/>
        <v>-1.6666666666666666E-2</v>
      </c>
    </row>
    <row r="110" spans="1:26" s="24" customFormat="1" hidden="1" outlineLevel="2" x14ac:dyDescent="0.25">
      <c r="A110" s="26"/>
      <c r="B110" s="11" t="str">
        <f>CONCATENATE("          ", "6309", " - ", "TELEPHONE")</f>
        <v xml:space="preserve">          6309 - TELEPHONE</v>
      </c>
      <c r="C110" s="11"/>
      <c r="D110" s="6">
        <v>721.2</v>
      </c>
      <c r="E110" s="2"/>
      <c r="F110" s="7">
        <f t="shared" si="76"/>
        <v>0.17799760103066842</v>
      </c>
      <c r="G110" s="2"/>
      <c r="H110" s="6">
        <v>300</v>
      </c>
      <c r="I110" s="2"/>
      <c r="J110" s="7">
        <f t="shared" si="77"/>
        <v>1.5375153751537515E-2</v>
      </c>
      <c r="K110" s="2"/>
      <c r="L110" s="6">
        <f t="shared" si="78"/>
        <v>421.20000000000005</v>
      </c>
      <c r="M110" s="2"/>
      <c r="N110" s="7">
        <f t="shared" si="79"/>
        <v>1.4040000000000001</v>
      </c>
      <c r="O110" s="11"/>
      <c r="P110" s="6">
        <v>5930.9</v>
      </c>
      <c r="Q110" s="2"/>
      <c r="R110" s="7">
        <f t="shared" si="80"/>
        <v>2.1587459174545482E-3</v>
      </c>
      <c r="S110" s="2"/>
      <c r="T110" s="6">
        <v>5900</v>
      </c>
      <c r="U110" s="2"/>
      <c r="V110" s="7">
        <f t="shared" si="81"/>
        <v>1.3184993957250227E-3</v>
      </c>
      <c r="W110" s="2"/>
      <c r="X110" s="6">
        <f t="shared" si="82"/>
        <v>30.899999999999636</v>
      </c>
      <c r="Y110" s="2"/>
      <c r="Z110" s="7">
        <f t="shared" si="83"/>
        <v>5.2372881355931588E-3</v>
      </c>
    </row>
    <row r="111" spans="1:26" s="27" customFormat="1" outlineLevel="1" collapsed="1" x14ac:dyDescent="0.25">
      <c r="A111" s="25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0</v>
      </c>
      <c r="E111" s="1"/>
      <c r="F111" s="5">
        <f t="shared" ref="F111:F114" si="84">IF(D$12=0,0,D111/D$12)</f>
        <v>0</v>
      </c>
      <c r="G111" s="1"/>
      <c r="H111" s="1">
        <f>SUM(OSRRefH22_13x_0)</f>
        <v>0</v>
      </c>
      <c r="I111" s="1"/>
      <c r="J111" s="5">
        <f t="shared" ref="J111:J114" si="85">IF(H$12=0,0,H111/H$12)</f>
        <v>0</v>
      </c>
      <c r="K111" s="1"/>
      <c r="L111" s="1">
        <f t="shared" ref="L111:L114" si="86">+D111-H111</f>
        <v>0</v>
      </c>
      <c r="M111" s="1"/>
      <c r="N111" s="5">
        <f t="shared" ref="N111:N114" si="87">IF(H111=0,0,L111/H111)</f>
        <v>0</v>
      </c>
      <c r="O111" s="13"/>
      <c r="P111" s="1">
        <f>SUM(OSRRefP22_13x_0)</f>
        <v>0</v>
      </c>
      <c r="Q111" s="1"/>
      <c r="R111" s="5">
        <f t="shared" ref="R111:R114" si="88">IF(P$12=0,0,P111/P$12)</f>
        <v>0</v>
      </c>
      <c r="S111" s="1"/>
      <c r="T111" s="1">
        <f>SUM(OSRRefT22_13x_0)</f>
        <v>5000</v>
      </c>
      <c r="U111" s="1"/>
      <c r="V111" s="5">
        <f t="shared" ref="V111:V114" si="89">IF(T$12=0,0,T111/T$12)</f>
        <v>1.1173723692584937E-3</v>
      </c>
      <c r="W111" s="1"/>
      <c r="X111" s="1">
        <f t="shared" ref="X111:X114" si="90">+P111-T111</f>
        <v>-5000</v>
      </c>
      <c r="Y111" s="1"/>
      <c r="Z111" s="5">
        <f t="shared" ref="Z111:Z114" si="91">IF(T111=0,0,X111/T111)</f>
        <v>-1</v>
      </c>
    </row>
    <row r="112" spans="1:26" s="24" customFormat="1" hidden="1" outlineLevel="2" x14ac:dyDescent="0.25">
      <c r="A112" s="26"/>
      <c r="B112" s="11" t="str">
        <f>CONCATENATE("          ", "6376", " - ", "TRAINING")</f>
        <v xml:space="preserve">          6376 - TRAINING</v>
      </c>
      <c r="C112" s="11"/>
      <c r="D112" s="6"/>
      <c r="E112" s="2"/>
      <c r="F112" s="7">
        <f t="shared" si="84"/>
        <v>0</v>
      </c>
      <c r="G112" s="2"/>
      <c r="H112" s="6"/>
      <c r="I112" s="2"/>
      <c r="J112" s="7">
        <f t="shared" si="85"/>
        <v>0</v>
      </c>
      <c r="K112" s="2"/>
      <c r="L112" s="6">
        <f t="shared" si="86"/>
        <v>0</v>
      </c>
      <c r="M112" s="2"/>
      <c r="N112" s="7">
        <f t="shared" si="87"/>
        <v>0</v>
      </c>
      <c r="O112" s="11"/>
      <c r="P112" s="6"/>
      <c r="Q112" s="2"/>
      <c r="R112" s="7">
        <f t="shared" si="88"/>
        <v>0</v>
      </c>
      <c r="S112" s="2"/>
      <c r="T112" s="6">
        <v>5000</v>
      </c>
      <c r="U112" s="2"/>
      <c r="V112" s="7">
        <f t="shared" si="89"/>
        <v>1.1173723692584937E-3</v>
      </c>
      <c r="W112" s="2"/>
      <c r="X112" s="6">
        <f t="shared" si="90"/>
        <v>-5000</v>
      </c>
      <c r="Y112" s="2"/>
      <c r="Z112" s="7">
        <f t="shared" si="91"/>
        <v>-1</v>
      </c>
    </row>
    <row r="113" spans="1:26" s="27" customFormat="1" outlineLevel="1" collapsed="1" x14ac:dyDescent="0.25">
      <c r="A113" s="25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84"/>
        <v>0</v>
      </c>
      <c r="G113" s="1"/>
      <c r="H113" s="1">
        <f>SUM(OSRRefH22_14x_0)</f>
        <v>0</v>
      </c>
      <c r="I113" s="1"/>
      <c r="J113" s="5">
        <f t="shared" si="85"/>
        <v>0</v>
      </c>
      <c r="K113" s="1"/>
      <c r="L113" s="1">
        <f t="shared" si="86"/>
        <v>0</v>
      </c>
      <c r="M113" s="1"/>
      <c r="N113" s="5">
        <f t="shared" si="87"/>
        <v>0</v>
      </c>
      <c r="O113" s="13"/>
      <c r="P113" s="1">
        <f>SUM(OSRRefP22_14x_0)</f>
        <v>0.16</v>
      </c>
      <c r="Q113" s="1"/>
      <c r="R113" s="5">
        <f t="shared" si="88"/>
        <v>5.8237256873784368E-8</v>
      </c>
      <c r="S113" s="1"/>
      <c r="T113" s="1">
        <f>SUM(OSRRefT22_14x_0)</f>
        <v>0</v>
      </c>
      <c r="U113" s="1"/>
      <c r="V113" s="5">
        <f t="shared" si="89"/>
        <v>0</v>
      </c>
      <c r="W113" s="1"/>
      <c r="X113" s="1">
        <f t="shared" si="90"/>
        <v>0.16</v>
      </c>
      <c r="Y113" s="1"/>
      <c r="Z113" s="5">
        <f t="shared" si="91"/>
        <v>0</v>
      </c>
    </row>
    <row r="114" spans="1:26" s="24" customFormat="1" hidden="1" outlineLevel="2" x14ac:dyDescent="0.25">
      <c r="A114" s="26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84"/>
        <v>0</v>
      </c>
      <c r="G114" s="2"/>
      <c r="H114" s="6"/>
      <c r="I114" s="2"/>
      <c r="J114" s="7">
        <f t="shared" si="85"/>
        <v>0</v>
      </c>
      <c r="K114" s="2"/>
      <c r="L114" s="6">
        <f t="shared" si="86"/>
        <v>0</v>
      </c>
      <c r="M114" s="2"/>
      <c r="N114" s="7">
        <f t="shared" si="87"/>
        <v>0</v>
      </c>
      <c r="O114" s="11"/>
      <c r="P114" s="6">
        <v>0.16</v>
      </c>
      <c r="Q114" s="2"/>
      <c r="R114" s="7">
        <f t="shared" si="88"/>
        <v>5.8237256873784368E-8</v>
      </c>
      <c r="S114" s="2"/>
      <c r="T114" s="6"/>
      <c r="U114" s="2"/>
      <c r="V114" s="7">
        <f t="shared" si="89"/>
        <v>0</v>
      </c>
      <c r="W114" s="2"/>
      <c r="X114" s="6">
        <f t="shared" si="90"/>
        <v>0.16</v>
      </c>
      <c r="Y114" s="2"/>
      <c r="Z114" s="7">
        <f t="shared" si="91"/>
        <v>0</v>
      </c>
    </row>
    <row r="115" spans="1:26" s="61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293</v>
      </c>
      <c r="C116" s="10"/>
      <c r="D116" s="4">
        <f>SUM(OSRRefD25x_0)</f>
        <v>-78.120000000000118</v>
      </c>
      <c r="E116" s="4"/>
      <c r="F116" s="12">
        <f t="shared" ref="F116:F119" si="92">IF(D$12=0,0,D116/D$12)</f>
        <v>-1.9280605369544977E-2</v>
      </c>
      <c r="G116" s="4"/>
      <c r="H116" s="4">
        <f>SUM(OSRRefH25x_0)</f>
        <v>3100</v>
      </c>
      <c r="I116" s="4"/>
      <c r="J116" s="12">
        <f t="shared" ref="J116:J119" si="93">IF(H$12=0,0,H116/H$12)</f>
        <v>0.15887658876588767</v>
      </c>
      <c r="K116" s="4"/>
      <c r="L116" s="4">
        <f t="shared" ref="L116:L119" si="94">+D116-H116</f>
        <v>-3178.12</v>
      </c>
      <c r="M116" s="4"/>
      <c r="N116" s="12">
        <f t="shared" ref="N116:N119" si="95">IF(H116=0,0,L116/H116)</f>
        <v>-1.0251999999999999</v>
      </c>
      <c r="O116" s="10"/>
      <c r="P116" s="4">
        <f>SUM(OSRRefP25x_0)</f>
        <v>334238.96000000002</v>
      </c>
      <c r="Q116" s="4"/>
      <c r="R116" s="12">
        <f t="shared" ref="R116:R119" si="96">IF(P$12=0,0,P116/P$12)</f>
        <v>0.12165725106716588</v>
      </c>
      <c r="S116" s="4"/>
      <c r="T116" s="4">
        <f>SUM(OSRRefT25x_0)</f>
        <v>206180</v>
      </c>
      <c r="U116" s="4"/>
      <c r="V116" s="12">
        <f t="shared" ref="V116:V119" si="97">IF(T$12=0,0,T116/T$12)</f>
        <v>4.6075967018743252E-2</v>
      </c>
      <c r="W116" s="4"/>
      <c r="X116" s="4">
        <f t="shared" ref="X116:X119" si="98">+P116-T116</f>
        <v>128058.96000000002</v>
      </c>
      <c r="Y116" s="4"/>
      <c r="Z116" s="12">
        <f t="shared" ref="Z116:Z119" si="99">IF(T116=0,0,X116/T116)</f>
        <v>0.62110272577359604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-1833.66</f>
        <v>-1833.66</v>
      </c>
      <c r="E117" s="2"/>
      <c r="F117" s="19">
        <f t="shared" si="92"/>
        <v>-0.45256112188837416</v>
      </c>
      <c r="G117" s="2"/>
      <c r="H117" s="2">
        <v>1600</v>
      </c>
      <c r="I117" s="2"/>
      <c r="J117" s="19">
        <f t="shared" si="93"/>
        <v>8.2000820008200082E-2</v>
      </c>
      <c r="K117" s="2"/>
      <c r="L117" s="2">
        <f t="shared" si="94"/>
        <v>-3433.66</v>
      </c>
      <c r="M117" s="2"/>
      <c r="N117" s="19">
        <f t="shared" si="95"/>
        <v>-2.1460374999999998</v>
      </c>
      <c r="O117" s="11"/>
      <c r="P117" s="2">
        <f>--31202.39</f>
        <v>31202.39</v>
      </c>
      <c r="Q117" s="2"/>
      <c r="R117" s="19">
        <f t="shared" si="96"/>
        <v>1.1357135009412505E-2</v>
      </c>
      <c r="S117" s="2"/>
      <c r="T117" s="2">
        <v>33600</v>
      </c>
      <c r="U117" s="2"/>
      <c r="V117" s="19">
        <f t="shared" si="97"/>
        <v>7.5087423214170784E-3</v>
      </c>
      <c r="W117" s="2"/>
      <c r="X117" s="2">
        <f t="shared" si="98"/>
        <v>-2397.6100000000006</v>
      </c>
      <c r="Y117" s="2"/>
      <c r="Z117" s="19">
        <f t="shared" si="99"/>
        <v>-7.1357440476190498E-2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0</f>
        <v>0</v>
      </c>
      <c r="E118" s="2"/>
      <c r="F118" s="19">
        <f t="shared" si="92"/>
        <v>0</v>
      </c>
      <c r="G118" s="2"/>
      <c r="H118" s="2">
        <v>1500</v>
      </c>
      <c r="I118" s="2"/>
      <c r="J118" s="19">
        <f t="shared" si="93"/>
        <v>7.6875768757687576E-2</v>
      </c>
      <c r="K118" s="2"/>
      <c r="L118" s="2">
        <f t="shared" si="94"/>
        <v>-1500</v>
      </c>
      <c r="M118" s="2"/>
      <c r="N118" s="19">
        <f t="shared" si="95"/>
        <v>-1</v>
      </c>
      <c r="O118" s="11"/>
      <c r="P118" s="2">
        <f>--295628.46</f>
        <v>295628.46000000002</v>
      </c>
      <c r="Q118" s="2"/>
      <c r="R118" s="19">
        <f t="shared" si="96"/>
        <v>0.10760369102638305</v>
      </c>
      <c r="S118" s="2"/>
      <c r="T118" s="2">
        <v>172580</v>
      </c>
      <c r="U118" s="2"/>
      <c r="V118" s="19">
        <f t="shared" si="97"/>
        <v>3.8567224697326173E-2</v>
      </c>
      <c r="W118" s="2"/>
      <c r="X118" s="2">
        <f t="shared" si="98"/>
        <v>123048.46000000002</v>
      </c>
      <c r="Y118" s="2"/>
      <c r="Z118" s="19">
        <f t="shared" si="99"/>
        <v>0.71299374203268062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--1755.54</f>
        <v>1755.54</v>
      </c>
      <c r="E119" s="2"/>
      <c r="F119" s="19">
        <f t="shared" si="92"/>
        <v>0.43328051651882921</v>
      </c>
      <c r="G119" s="2"/>
      <c r="H119" s="2"/>
      <c r="I119" s="2"/>
      <c r="J119" s="19">
        <f t="shared" si="93"/>
        <v>0</v>
      </c>
      <c r="K119" s="2"/>
      <c r="L119" s="2">
        <f t="shared" si="94"/>
        <v>1755.54</v>
      </c>
      <c r="M119" s="2"/>
      <c r="N119" s="19">
        <f t="shared" si="95"/>
        <v>0</v>
      </c>
      <c r="O119" s="11"/>
      <c r="P119" s="2">
        <f>--7408.11</f>
        <v>7408.11</v>
      </c>
      <c r="Q119" s="2"/>
      <c r="R119" s="19">
        <f t="shared" si="96"/>
        <v>2.6964250313703171E-3</v>
      </c>
      <c r="S119" s="2"/>
      <c r="T119" s="2"/>
      <c r="U119" s="2"/>
      <c r="V119" s="19">
        <f t="shared" si="97"/>
        <v>0</v>
      </c>
      <c r="W119" s="2"/>
      <c r="X119" s="2">
        <f t="shared" si="98"/>
        <v>7408.11</v>
      </c>
      <c r="Y119" s="2"/>
      <c r="Z119" s="19">
        <f t="shared" si="99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277</v>
      </c>
      <c r="C121" s="28"/>
      <c r="D121" s="20">
        <f>+D55-D57+D116</f>
        <v>-89866.76999999996</v>
      </c>
      <c r="E121" s="14"/>
      <c r="F121" s="22">
        <f>IF(D$12=0,0,D121/D$12)</f>
        <v>-22.179796828029442</v>
      </c>
      <c r="G121" s="14"/>
      <c r="H121" s="20">
        <f>+H55-H57+H116</f>
        <v>-78682.09217023653</v>
      </c>
      <c r="I121" s="14"/>
      <c r="J121" s="22">
        <f>IF(H$12=0,0,H121/H$12)</f>
        <v>-4.0324975487001096</v>
      </c>
      <c r="K121" s="16"/>
      <c r="L121" s="20">
        <f>+D121-H121</f>
        <v>-11184.67782976343</v>
      </c>
      <c r="M121" s="16"/>
      <c r="N121" s="22">
        <f>IF(H121=0,0,L121/H121)</f>
        <v>0.14215023420531658</v>
      </c>
      <c r="O121" s="29"/>
      <c r="P121" s="20">
        <f>+P55-P57+P116</f>
        <v>522909.42000000057</v>
      </c>
      <c r="Q121" s="14"/>
      <c r="R121" s="22">
        <f>IF(P$12=0,0,P121/P$12)</f>
        <v>0.1903300638391352</v>
      </c>
      <c r="S121" s="14"/>
      <c r="T121" s="20">
        <f>+T55-T57+T116</f>
        <v>724587.83919167495</v>
      </c>
      <c r="U121" s="14"/>
      <c r="V121" s="22">
        <f>IF(T$12=0,0,T121/T$12)</f>
        <v>0.16192688612269887</v>
      </c>
      <c r="W121" s="16"/>
      <c r="X121" s="20">
        <f>+P121-T121</f>
        <v>-201678.41919167439</v>
      </c>
      <c r="Y121" s="16"/>
      <c r="Z121" s="22">
        <f>IF(T121=0,0,X121/T121)</f>
        <v>-0.27833536292392075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128</v>
      </c>
      <c r="C123" s="10"/>
      <c r="D123" s="4">
        <v>174236.97</v>
      </c>
      <c r="E123" s="4"/>
      <c r="F123" s="12">
        <f>IF(D$12=0,0,D123/D$12)</f>
        <v>43.002998711664645</v>
      </c>
      <c r="G123" s="4"/>
      <c r="H123" s="4">
        <v>-66372</v>
      </c>
      <c r="I123" s="4"/>
      <c r="J123" s="12">
        <f>IF(H$12=0,0,H123/H$12)</f>
        <v>-3.4015990159901599</v>
      </c>
      <c r="K123" s="4"/>
      <c r="L123" s="4">
        <f>+D123-H123</f>
        <v>240608.97</v>
      </c>
      <c r="M123" s="4"/>
      <c r="N123" s="12">
        <f>IF(H123=0,0,L123/H123)</f>
        <v>-3.6251577472428131</v>
      </c>
      <c r="O123" s="10"/>
      <c r="P123" s="4">
        <v>760460.67</v>
      </c>
      <c r="Q123" s="4"/>
      <c r="R123" s="12">
        <f>IF(P$12=0,0,P123/P$12)</f>
        <v>0.27679464613250104</v>
      </c>
      <c r="S123" s="4"/>
      <c r="T123" s="4">
        <v>756141</v>
      </c>
      <c r="U123" s="4"/>
      <c r="V123" s="12">
        <f>IF(T$12=0,0,T123/T$12)</f>
        <v>0.16897821213269734</v>
      </c>
      <c r="W123" s="4"/>
      <c r="X123" s="4">
        <f>+P123-T123</f>
        <v>4319.6700000000419</v>
      </c>
      <c r="Y123" s="4"/>
      <c r="Z123" s="12">
        <f>IF(T123=0,0,X123/T123)</f>
        <v>5.7127837268446521E-3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126</v>
      </c>
      <c r="C125" s="28"/>
      <c r="D125" s="34">
        <f>+D121-D123</f>
        <v>-264103.74</v>
      </c>
      <c r="E125" s="14"/>
      <c r="F125" s="35">
        <f>IF(D$12=0,0,D125/D$12)</f>
        <v>-65.182795539694098</v>
      </c>
      <c r="G125" s="14"/>
      <c r="H125" s="34">
        <f>+H121-H123</f>
        <v>-12310.09217023653</v>
      </c>
      <c r="I125" s="14"/>
      <c r="J125" s="35">
        <f>IF(H$12=0,0,H125/H$12)</f>
        <v>-0.63089853270994933</v>
      </c>
      <c r="K125" s="16"/>
      <c r="L125" s="34">
        <f>D125-H125</f>
        <v>-251793.64782976347</v>
      </c>
      <c r="M125" s="16"/>
      <c r="N125" s="35">
        <f>IF(H125=0,0,L125/H125)</f>
        <v>20.454245536727402</v>
      </c>
      <c r="O125" s="29"/>
      <c r="P125" s="34">
        <f>+P121-P123</f>
        <v>-237551.24999999948</v>
      </c>
      <c r="Q125" s="14"/>
      <c r="R125" s="35">
        <f>IF(P$12=0,0,P125/P$12)</f>
        <v>-8.6464582293365871E-2</v>
      </c>
      <c r="S125" s="14"/>
      <c r="T125" s="34">
        <f>+T121-T123</f>
        <v>-31553.160808325047</v>
      </c>
      <c r="U125" s="14"/>
      <c r="V125" s="35">
        <f>IF(T$12=0,0,T125/T$12)</f>
        <v>-7.0513260099984822E-3</v>
      </c>
      <c r="W125" s="16"/>
      <c r="X125" s="34">
        <f>P125-T125</f>
        <v>-205998.08919167443</v>
      </c>
      <c r="Y125" s="16"/>
      <c r="Z125" s="35">
        <f>IF(T125=0,0,X125/T125)</f>
        <v>6.5286039152478033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294</v>
      </c>
      <c r="C128" s="28"/>
      <c r="D128" s="33">
        <f>SUM(D125:D127)</f>
        <v>-264103.74</v>
      </c>
      <c r="E128" s="14"/>
      <c r="F128" s="31">
        <f>IF(D$12=0,0,D128/D$12)</f>
        <v>-65.182795539694098</v>
      </c>
      <c r="G128" s="14"/>
      <c r="H128" s="33">
        <f>SUM(H125:H127)</f>
        <v>-12310.09217023653</v>
      </c>
      <c r="I128" s="14"/>
      <c r="J128" s="31">
        <f>IF(H$12=0,0,H128/H$12)</f>
        <v>-0.63089853270994933</v>
      </c>
      <c r="K128" s="16"/>
      <c r="L128" s="33">
        <f>+D128-H128</f>
        <v>-251793.64782976347</v>
      </c>
      <c r="M128" s="16"/>
      <c r="N128" s="31">
        <f>IF(H128=0,0,L128/H128)</f>
        <v>20.454245536727402</v>
      </c>
      <c r="O128" s="29"/>
      <c r="P128" s="33">
        <f>SUM(P125:P127)</f>
        <v>-237551.24999999948</v>
      </c>
      <c r="Q128" s="14"/>
      <c r="R128" s="31">
        <f>IF(P$12=0,0,P128/P$12)</f>
        <v>-8.6464582293365871E-2</v>
      </c>
      <c r="S128" s="14"/>
      <c r="T128" s="33">
        <f>SUM(T125:T127)</f>
        <v>-31553.160808325047</v>
      </c>
      <c r="U128" s="14"/>
      <c r="V128" s="31">
        <f>IF(T$12=0,0,T128/T$12)</f>
        <v>-7.0513260099984822E-3</v>
      </c>
      <c r="W128" s="16"/>
      <c r="X128" s="33">
        <f>+P128-T128</f>
        <v>-205998.08919167443</v>
      </c>
      <c r="Y128" s="16"/>
      <c r="Z128" s="31">
        <f>IF(T128=0,0,X128/T128)</f>
        <v>6.5286039152478033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6">
        <v>44454.686058101855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5" t="s">
        <v>56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63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10542.05</v>
      </c>
      <c r="E12" s="4"/>
      <c r="F12" s="12"/>
      <c r="G12" s="4"/>
      <c r="H12" s="4">
        <f>SUM(OSRRefH13x_0)</f>
        <v>25994</v>
      </c>
      <c r="I12" s="4"/>
      <c r="J12" s="12"/>
      <c r="K12" s="4"/>
      <c r="L12" s="4">
        <f t="shared" ref="L12:L34" si="0">+D12-H12</f>
        <v>-15451.95</v>
      </c>
      <c r="M12" s="4"/>
      <c r="N12" s="12">
        <f t="shared" ref="N12:N34" si="1">IF(H12=0,0,L12/H12)</f>
        <v>-0.5944429483727014</v>
      </c>
      <c r="O12" s="10"/>
      <c r="P12" s="4">
        <f>SUM(OSRRefP13x_0)</f>
        <v>1976687.1099999999</v>
      </c>
      <c r="Q12" s="4"/>
      <c r="R12" s="12"/>
      <c r="S12" s="4"/>
      <c r="T12" s="4">
        <f>SUM(OSRRefT13x_0)</f>
        <v>3051982</v>
      </c>
      <c r="U12" s="4"/>
      <c r="V12" s="12"/>
      <c r="W12" s="4"/>
      <c r="X12" s="4">
        <f t="shared" ref="X12:X34" si="2">+P12-T12</f>
        <v>-1075294.8900000001</v>
      </c>
      <c r="Y12" s="4"/>
      <c r="Z12" s="12">
        <f t="shared" ref="Z12:Z34" si="3">IF(T12=0,0,X12/T12)</f>
        <v>-0.35232674701226946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-260.84</f>
        <v>-260.83999999999997</v>
      </c>
      <c r="E13" s="2"/>
      <c r="F13" s="19"/>
      <c r="G13" s="2"/>
      <c r="H13" s="2">
        <v>25994</v>
      </c>
      <c r="I13" s="2"/>
      <c r="J13" s="19"/>
      <c r="K13" s="2"/>
      <c r="L13" s="2">
        <f t="shared" si="0"/>
        <v>-26254.84</v>
      </c>
      <c r="M13" s="2"/>
      <c r="N13" s="19">
        <f t="shared" si="1"/>
        <v>-1.0100346233746249</v>
      </c>
      <c r="O13" s="11"/>
      <c r="P13" s="2">
        <f>-9541.2</f>
        <v>-9541.2000000000007</v>
      </c>
      <c r="Q13" s="2"/>
      <c r="R13" s="19"/>
      <c r="S13" s="2"/>
      <c r="T13" s="2">
        <v>3051982</v>
      </c>
      <c r="U13" s="2"/>
      <c r="V13" s="19"/>
      <c r="W13" s="2"/>
      <c r="X13" s="2">
        <f t="shared" si="2"/>
        <v>-3061523.2</v>
      </c>
      <c r="Y13" s="2"/>
      <c r="Z13" s="19">
        <f t="shared" si="3"/>
        <v>-1.0031262307575863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--5351.15</f>
        <v>5351.15</v>
      </c>
      <c r="E14" s="2"/>
      <c r="F14" s="19"/>
      <c r="G14" s="2"/>
      <c r="H14" s="2"/>
      <c r="I14" s="2"/>
      <c r="J14" s="19"/>
      <c r="K14" s="2"/>
      <c r="L14" s="2">
        <f t="shared" si="0"/>
        <v>5351.15</v>
      </c>
      <c r="M14" s="2"/>
      <c r="N14" s="19">
        <f t="shared" si="1"/>
        <v>0</v>
      </c>
      <c r="O14" s="11"/>
      <c r="P14" s="2">
        <f>--1034593.04</f>
        <v>1034593.04</v>
      </c>
      <c r="Q14" s="2"/>
      <c r="R14" s="19"/>
      <c r="S14" s="2"/>
      <c r="T14" s="2"/>
      <c r="U14" s="2"/>
      <c r="V14" s="19"/>
      <c r="W14" s="2"/>
      <c r="X14" s="2">
        <f t="shared" si="2"/>
        <v>1034593.04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--2986.1</f>
        <v>2986.1</v>
      </c>
      <c r="E15" s="2"/>
      <c r="F15" s="19"/>
      <c r="G15" s="2"/>
      <c r="H15" s="2"/>
      <c r="I15" s="2"/>
      <c r="J15" s="19"/>
      <c r="K15" s="2"/>
      <c r="L15" s="2">
        <f t="shared" si="0"/>
        <v>2986.1</v>
      </c>
      <c r="M15" s="2"/>
      <c r="N15" s="19">
        <f t="shared" si="1"/>
        <v>0</v>
      </c>
      <c r="O15" s="11"/>
      <c r="P15" s="2">
        <f>--363302.87</f>
        <v>363302.87</v>
      </c>
      <c r="Q15" s="2"/>
      <c r="R15" s="19"/>
      <c r="S15" s="2"/>
      <c r="T15" s="2"/>
      <c r="U15" s="2"/>
      <c r="V15" s="19"/>
      <c r="W15" s="2"/>
      <c r="X15" s="2">
        <f t="shared" si="2"/>
        <v>363302.87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--1103.98</f>
        <v>1103.98</v>
      </c>
      <c r="E16" s="2"/>
      <c r="F16" s="19"/>
      <c r="G16" s="2"/>
      <c r="H16" s="2"/>
      <c r="I16" s="2"/>
      <c r="J16" s="19"/>
      <c r="K16" s="2"/>
      <c r="L16" s="2">
        <f t="shared" si="0"/>
        <v>1103.98</v>
      </c>
      <c r="M16" s="2"/>
      <c r="N16" s="19">
        <f t="shared" si="1"/>
        <v>0</v>
      </c>
      <c r="O16" s="11"/>
      <c r="P16" s="2">
        <f>--19596.82</f>
        <v>19596.82</v>
      </c>
      <c r="Q16" s="2"/>
      <c r="R16" s="19"/>
      <c r="S16" s="2"/>
      <c r="T16" s="2"/>
      <c r="U16" s="2"/>
      <c r="V16" s="19"/>
      <c r="W16" s="2"/>
      <c r="X16" s="2">
        <f t="shared" si="2"/>
        <v>19596.82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--92.84</f>
        <v>92.84</v>
      </c>
      <c r="E18" s="2"/>
      <c r="F18" s="19"/>
      <c r="G18" s="2"/>
      <c r="H18" s="2"/>
      <c r="I18" s="2"/>
      <c r="J18" s="19"/>
      <c r="K18" s="2"/>
      <c r="L18" s="2">
        <f t="shared" si="0"/>
        <v>92.84</v>
      </c>
      <c r="M18" s="2"/>
      <c r="N18" s="19">
        <f t="shared" si="1"/>
        <v>0</v>
      </c>
      <c r="O18" s="11"/>
      <c r="P18" s="2">
        <f>--1418.63</f>
        <v>1418.63</v>
      </c>
      <c r="Q18" s="2"/>
      <c r="R18" s="19"/>
      <c r="S18" s="2"/>
      <c r="T18" s="2"/>
      <c r="U18" s="2"/>
      <c r="V18" s="19"/>
      <c r="W18" s="2"/>
      <c r="X18" s="2">
        <f t="shared" si="2"/>
        <v>1418.63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19"/>
      <c r="G19" s="2"/>
      <c r="H19" s="2"/>
      <c r="I19" s="2"/>
      <c r="J19" s="19"/>
      <c r="K19" s="2"/>
      <c r="L19" s="2">
        <f t="shared" si="0"/>
        <v>31.84</v>
      </c>
      <c r="M19" s="2"/>
      <c r="N19" s="19">
        <f t="shared" si="1"/>
        <v>0</v>
      </c>
      <c r="O19" s="11"/>
      <c r="P19" s="2">
        <f>--547.56</f>
        <v>547.55999999999995</v>
      </c>
      <c r="Q19" s="2"/>
      <c r="R19" s="19"/>
      <c r="S19" s="2"/>
      <c r="T19" s="2"/>
      <c r="U19" s="2"/>
      <c r="V19" s="19"/>
      <c r="W19" s="2"/>
      <c r="X19" s="2">
        <f t="shared" si="2"/>
        <v>547.55999999999995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--114.01</f>
        <v>114.01</v>
      </c>
      <c r="E20" s="2"/>
      <c r="F20" s="19"/>
      <c r="G20" s="2"/>
      <c r="H20" s="2"/>
      <c r="I20" s="2"/>
      <c r="J20" s="19"/>
      <c r="K20" s="2"/>
      <c r="L20" s="2">
        <f t="shared" si="0"/>
        <v>114.01</v>
      </c>
      <c r="M20" s="2"/>
      <c r="N20" s="19">
        <f t="shared" si="1"/>
        <v>0</v>
      </c>
      <c r="O20" s="11"/>
      <c r="P20" s="2">
        <f>--622.49</f>
        <v>622.49</v>
      </c>
      <c r="Q20" s="2"/>
      <c r="R20" s="19"/>
      <c r="S20" s="2"/>
      <c r="T20" s="2"/>
      <c r="U20" s="2"/>
      <c r="V20" s="19"/>
      <c r="W20" s="2"/>
      <c r="X20" s="2">
        <f t="shared" si="2"/>
        <v>622.49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--1301.39</f>
        <v>1301.3900000000001</v>
      </c>
      <c r="E21" s="2"/>
      <c r="F21" s="19"/>
      <c r="G21" s="2"/>
      <c r="H21" s="2"/>
      <c r="I21" s="2"/>
      <c r="J21" s="19"/>
      <c r="K21" s="2"/>
      <c r="L21" s="2">
        <f t="shared" si="0"/>
        <v>1301.3900000000001</v>
      </c>
      <c r="M21" s="2"/>
      <c r="N21" s="19">
        <f t="shared" si="1"/>
        <v>0</v>
      </c>
      <c r="O21" s="11"/>
      <c r="P21" s="2">
        <f>--120548.46</f>
        <v>120548.46</v>
      </c>
      <c r="Q21" s="2"/>
      <c r="R21" s="19"/>
      <c r="S21" s="2"/>
      <c r="T21" s="2"/>
      <c r="U21" s="2"/>
      <c r="V21" s="19"/>
      <c r="W21" s="2"/>
      <c r="X21" s="2">
        <f t="shared" si="2"/>
        <v>120548.46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--540.91</f>
        <v>540.91</v>
      </c>
      <c r="E22" s="2"/>
      <c r="F22" s="19"/>
      <c r="G22" s="2"/>
      <c r="H22" s="2"/>
      <c r="I22" s="2"/>
      <c r="J22" s="19"/>
      <c r="K22" s="2"/>
      <c r="L22" s="2">
        <f t="shared" si="0"/>
        <v>540.91</v>
      </c>
      <c r="M22" s="2"/>
      <c r="N22" s="19">
        <f t="shared" si="1"/>
        <v>0</v>
      </c>
      <c r="O22" s="11"/>
      <c r="P22" s="2">
        <f>--51587.64</f>
        <v>51587.64</v>
      </c>
      <c r="Q22" s="2"/>
      <c r="R22" s="19"/>
      <c r="S22" s="2"/>
      <c r="T22" s="2"/>
      <c r="U22" s="2"/>
      <c r="V22" s="19"/>
      <c r="W22" s="2"/>
      <c r="X22" s="2">
        <f t="shared" si="2"/>
        <v>51587.64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--1138.95</f>
        <v>1138.95</v>
      </c>
      <c r="Q23" s="2"/>
      <c r="R23" s="19"/>
      <c r="S23" s="2"/>
      <c r="T23" s="2"/>
      <c r="U23" s="2"/>
      <c r="V23" s="19"/>
      <c r="W23" s="2"/>
      <c r="X23" s="2">
        <f t="shared" si="2"/>
        <v>1138.95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--695.53</f>
        <v>695.53</v>
      </c>
      <c r="E24" s="2"/>
      <c r="F24" s="19"/>
      <c r="G24" s="2"/>
      <c r="H24" s="2"/>
      <c r="I24" s="2"/>
      <c r="J24" s="19"/>
      <c r="K24" s="2"/>
      <c r="L24" s="2">
        <f t="shared" si="0"/>
        <v>695.53</v>
      </c>
      <c r="M24" s="2"/>
      <c r="N24" s="19">
        <f t="shared" si="1"/>
        <v>0</v>
      </c>
      <c r="O24" s="11"/>
      <c r="P24" s="2">
        <f>--491583.26</f>
        <v>491583.26</v>
      </c>
      <c r="Q24" s="2"/>
      <c r="R24" s="19"/>
      <c r="S24" s="2"/>
      <c r="T24" s="2"/>
      <c r="U24" s="2"/>
      <c r="V24" s="19"/>
      <c r="W24" s="2"/>
      <c r="X24" s="2">
        <f t="shared" si="2"/>
        <v>491583.26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--12127.25</f>
        <v>12127.25</v>
      </c>
      <c r="Q25" s="2"/>
      <c r="R25" s="19"/>
      <c r="S25" s="2"/>
      <c r="T25" s="2"/>
      <c r="U25" s="2"/>
      <c r="V25" s="19"/>
      <c r="W25" s="2"/>
      <c r="X25" s="2">
        <f t="shared" si="2"/>
        <v>12127.25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--594.22</f>
        <v>594.22</v>
      </c>
      <c r="E26" s="2"/>
      <c r="F26" s="19"/>
      <c r="G26" s="2"/>
      <c r="H26" s="2"/>
      <c r="I26" s="2"/>
      <c r="J26" s="19"/>
      <c r="K26" s="2"/>
      <c r="L26" s="2">
        <f t="shared" si="0"/>
        <v>594.22</v>
      </c>
      <c r="M26" s="2"/>
      <c r="N26" s="19">
        <f t="shared" si="1"/>
        <v>0</v>
      </c>
      <c r="O26" s="11"/>
      <c r="P26" s="2">
        <f>--1365.95</f>
        <v>1365.95</v>
      </c>
      <c r="Q26" s="2"/>
      <c r="R26" s="19"/>
      <c r="S26" s="2"/>
      <c r="T26" s="2"/>
      <c r="U26" s="2"/>
      <c r="V26" s="19"/>
      <c r="W26" s="2"/>
      <c r="X26" s="2">
        <f t="shared" si="2"/>
        <v>1365.95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-1101.25</f>
        <v>-1101.25</v>
      </c>
      <c r="E27" s="2"/>
      <c r="F27" s="19"/>
      <c r="G27" s="2"/>
      <c r="H27" s="2"/>
      <c r="I27" s="2"/>
      <c r="J27" s="19"/>
      <c r="K27" s="2"/>
      <c r="L27" s="2">
        <f t="shared" si="0"/>
        <v>-1101.25</v>
      </c>
      <c r="M27" s="2"/>
      <c r="N27" s="19">
        <f t="shared" si="1"/>
        <v>0</v>
      </c>
      <c r="O27" s="11"/>
      <c r="P27" s="2">
        <f>-53397.67</f>
        <v>-53397.67</v>
      </c>
      <c r="Q27" s="2"/>
      <c r="R27" s="19"/>
      <c r="S27" s="2"/>
      <c r="T27" s="2"/>
      <c r="U27" s="2"/>
      <c r="V27" s="19"/>
      <c r="W27" s="2"/>
      <c r="X27" s="2">
        <f t="shared" si="2"/>
        <v>-53397.67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-433.75</f>
        <v>-433.75</v>
      </c>
      <c r="E28" s="2"/>
      <c r="F28" s="19"/>
      <c r="G28" s="2"/>
      <c r="H28" s="2"/>
      <c r="I28" s="2"/>
      <c r="J28" s="19"/>
      <c r="K28" s="2"/>
      <c r="L28" s="2">
        <f t="shared" si="0"/>
        <v>-433.75</v>
      </c>
      <c r="M28" s="2"/>
      <c r="N28" s="19">
        <f t="shared" si="1"/>
        <v>0</v>
      </c>
      <c r="O28" s="11"/>
      <c r="P28" s="2">
        <f>-20889.41</f>
        <v>-20889.41</v>
      </c>
      <c r="Q28" s="2"/>
      <c r="R28" s="19"/>
      <c r="S28" s="2"/>
      <c r="T28" s="2"/>
      <c r="U28" s="2"/>
      <c r="V28" s="19"/>
      <c r="W28" s="2"/>
      <c r="X28" s="2">
        <f t="shared" si="2"/>
        <v>-20889.41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-1763.1</f>
        <v>-1763.1</v>
      </c>
      <c r="Q29" s="2"/>
      <c r="R29" s="19"/>
      <c r="S29" s="2"/>
      <c r="T29" s="2"/>
      <c r="U29" s="2"/>
      <c r="V29" s="19"/>
      <c r="W29" s="2"/>
      <c r="X29" s="2">
        <f t="shared" si="2"/>
        <v>-1763.1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>-25</f>
        <v>-25</v>
      </c>
      <c r="E30" s="2"/>
      <c r="F30" s="19"/>
      <c r="G30" s="2"/>
      <c r="H30" s="2"/>
      <c r="I30" s="2"/>
      <c r="J30" s="19"/>
      <c r="K30" s="2"/>
      <c r="L30" s="2">
        <f t="shared" si="0"/>
        <v>-25</v>
      </c>
      <c r="M30" s="2"/>
      <c r="N30" s="19">
        <f t="shared" si="1"/>
        <v>0</v>
      </c>
      <c r="O30" s="11"/>
      <c r="P30" s="2">
        <f>-103.92</f>
        <v>-103.92</v>
      </c>
      <c r="Q30" s="2"/>
      <c r="R30" s="19"/>
      <c r="S30" s="2"/>
      <c r="T30" s="2"/>
      <c r="U30" s="2"/>
      <c r="V30" s="19"/>
      <c r="W30" s="2"/>
      <c r="X30" s="2">
        <f t="shared" si="2"/>
        <v>-103.92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-23.44</f>
        <v>-23.44</v>
      </c>
      <c r="E31" s="2"/>
      <c r="F31" s="19"/>
      <c r="G31" s="2"/>
      <c r="H31" s="2"/>
      <c r="I31" s="2"/>
      <c r="J31" s="19"/>
      <c r="K31" s="2"/>
      <c r="L31" s="2">
        <f t="shared" si="0"/>
        <v>-23.44</v>
      </c>
      <c r="M31" s="2"/>
      <c r="N31" s="19">
        <f t="shared" si="1"/>
        <v>0</v>
      </c>
      <c r="O31" s="11"/>
      <c r="P31" s="2">
        <f>-28.65</f>
        <v>-28.65</v>
      </c>
      <c r="Q31" s="2"/>
      <c r="R31" s="19"/>
      <c r="S31" s="2"/>
      <c r="T31" s="2"/>
      <c r="U31" s="2"/>
      <c r="V31" s="19"/>
      <c r="W31" s="2"/>
      <c r="X31" s="2">
        <f t="shared" si="2"/>
        <v>-28.65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-169.32</f>
        <v>-169.32</v>
      </c>
      <c r="E32" s="2"/>
      <c r="F32" s="19"/>
      <c r="G32" s="2"/>
      <c r="H32" s="2"/>
      <c r="I32" s="2"/>
      <c r="J32" s="19"/>
      <c r="K32" s="2"/>
      <c r="L32" s="2">
        <f t="shared" si="0"/>
        <v>-169.32</v>
      </c>
      <c r="M32" s="2"/>
      <c r="N32" s="19">
        <f t="shared" si="1"/>
        <v>0</v>
      </c>
      <c r="O32" s="11"/>
      <c r="P32" s="2">
        <f>-4965.68</f>
        <v>-4965.68</v>
      </c>
      <c r="Q32" s="2"/>
      <c r="R32" s="19"/>
      <c r="S32" s="2"/>
      <c r="T32" s="2"/>
      <c r="U32" s="2"/>
      <c r="V32" s="19"/>
      <c r="W32" s="2"/>
      <c r="X32" s="2">
        <f t="shared" si="2"/>
        <v>-4965.68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-111.43</f>
        <v>-111.43</v>
      </c>
      <c r="E33" s="2"/>
      <c r="F33" s="19"/>
      <c r="G33" s="2"/>
      <c r="H33" s="2"/>
      <c r="I33" s="2"/>
      <c r="J33" s="19"/>
      <c r="K33" s="2"/>
      <c r="L33" s="2">
        <f t="shared" si="0"/>
        <v>-111.43</v>
      </c>
      <c r="M33" s="2"/>
      <c r="N33" s="19">
        <f t="shared" si="1"/>
        <v>0</v>
      </c>
      <c r="O33" s="11"/>
      <c r="P33" s="2">
        <f>-2688.97</f>
        <v>-2688.97</v>
      </c>
      <c r="Q33" s="2"/>
      <c r="R33" s="19"/>
      <c r="S33" s="2"/>
      <c r="T33" s="2"/>
      <c r="U33" s="2"/>
      <c r="V33" s="19"/>
      <c r="W33" s="2"/>
      <c r="X33" s="2">
        <f t="shared" si="2"/>
        <v>-2688.97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-144.89</f>
        <v>-144.88999999999999</v>
      </c>
      <c r="E34" s="2"/>
      <c r="F34" s="19"/>
      <c r="G34" s="2"/>
      <c r="H34" s="2"/>
      <c r="I34" s="2"/>
      <c r="J34" s="19"/>
      <c r="K34" s="2"/>
      <c r="L34" s="2">
        <f t="shared" si="0"/>
        <v>-144.88999999999999</v>
      </c>
      <c r="M34" s="2"/>
      <c r="N34" s="19">
        <f t="shared" si="1"/>
        <v>0</v>
      </c>
      <c r="O34" s="11"/>
      <c r="P34" s="2">
        <f>-31026.87</f>
        <v>-31026.87</v>
      </c>
      <c r="Q34" s="2"/>
      <c r="R34" s="19"/>
      <c r="S34" s="2"/>
      <c r="T34" s="2"/>
      <c r="U34" s="2"/>
      <c r="V34" s="19"/>
      <c r="W34" s="2"/>
      <c r="X34" s="2">
        <f t="shared" si="2"/>
        <v>-31026.87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257</v>
      </c>
      <c r="C36" s="10"/>
      <c r="D36" s="4">
        <f>SUM(OSRRefD16x_0)</f>
        <v>72505.529999999955</v>
      </c>
      <c r="E36" s="4"/>
      <c r="F36" s="12">
        <f t="shared" ref="F36:F52" si="4">IF(D$12=0,0,D36/D$12)</f>
        <v>6.8777448408990622</v>
      </c>
      <c r="G36" s="4"/>
      <c r="H36" s="4">
        <f>SUM(OSRRefH16x_0)</f>
        <v>18975</v>
      </c>
      <c r="I36" s="4"/>
      <c r="J36" s="12">
        <f t="shared" ref="J36:J52" si="5">IF(H$12=0,0,H36/H$12)</f>
        <v>0.72997614834192504</v>
      </c>
      <c r="K36" s="4"/>
      <c r="L36" s="4">
        <f t="shared" ref="L36:L52" si="6">+D36-H36</f>
        <v>53530.529999999955</v>
      </c>
      <c r="M36" s="4"/>
      <c r="N36" s="12">
        <f t="shared" ref="N36:N52" si="7">IF(H36=0,0,L36/H36)</f>
        <v>2.8211083003952546</v>
      </c>
      <c r="O36" s="10"/>
      <c r="P36" s="4">
        <f>SUM(OSRRefP16x_0)</f>
        <v>1479413.5299999998</v>
      </c>
      <c r="Q36" s="4"/>
      <c r="R36" s="12">
        <f t="shared" ref="R36:R52" si="8">IF(P$12=0,0,P36/P$12)</f>
        <v>0.74843080754444735</v>
      </c>
      <c r="S36" s="4"/>
      <c r="T36" s="4">
        <f>SUM(OSRRefT16x_0)</f>
        <v>2220317</v>
      </c>
      <c r="U36" s="4"/>
      <c r="V36" s="12">
        <f t="shared" ref="V36:V52" si="9">IF(T$12=0,0,T36/T$12)</f>
        <v>0.72750003112731332</v>
      </c>
      <c r="W36" s="4"/>
      <c r="X36" s="4">
        <f t="shared" ref="X36:X52" si="10">+P36-T36</f>
        <v>-740903.4700000002</v>
      </c>
      <c r="Y36" s="4"/>
      <c r="Z36" s="12">
        <f t="shared" ref="Z36:Z52" si="11">IF(T36=0,0,X36/T36)</f>
        <v>-0.33369265289596045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4"/>
        <v>0</v>
      </c>
      <c r="G37" s="2"/>
      <c r="H37" s="2">
        <v>18975</v>
      </c>
      <c r="I37" s="2"/>
      <c r="J37" s="19">
        <f t="shared" si="5"/>
        <v>0.72997614834192504</v>
      </c>
      <c r="K37" s="2"/>
      <c r="L37" s="2">
        <f t="shared" si="6"/>
        <v>-18975</v>
      </c>
      <c r="M37" s="2"/>
      <c r="N37" s="19">
        <f t="shared" si="7"/>
        <v>-1</v>
      </c>
      <c r="O37" s="11"/>
      <c r="P37" s="2">
        <v>0</v>
      </c>
      <c r="Q37" s="2"/>
      <c r="R37" s="19">
        <f t="shared" si="8"/>
        <v>0</v>
      </c>
      <c r="S37" s="2"/>
      <c r="T37" s="2">
        <v>2220317</v>
      </c>
      <c r="U37" s="2"/>
      <c r="V37" s="19">
        <f t="shared" si="9"/>
        <v>0.72750003112731332</v>
      </c>
      <c r="W37" s="2"/>
      <c r="X37" s="2">
        <f t="shared" si="10"/>
        <v>-2220317</v>
      </c>
      <c r="Y37" s="2"/>
      <c r="Z37" s="19">
        <f t="shared" si="11"/>
        <v>-1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142777.26</v>
      </c>
      <c r="E38" s="2"/>
      <c r="F38" s="19">
        <f t="shared" si="4"/>
        <v>13.543595410759769</v>
      </c>
      <c r="G38" s="2"/>
      <c r="H38" s="2"/>
      <c r="I38" s="2"/>
      <c r="J38" s="19">
        <f t="shared" si="5"/>
        <v>0</v>
      </c>
      <c r="K38" s="2"/>
      <c r="L38" s="2">
        <f t="shared" si="6"/>
        <v>142777.26</v>
      </c>
      <c r="M38" s="2"/>
      <c r="N38" s="19">
        <f t="shared" si="7"/>
        <v>0</v>
      </c>
      <c r="O38" s="11"/>
      <c r="P38" s="2">
        <v>908998.77</v>
      </c>
      <c r="Q38" s="2"/>
      <c r="R38" s="19">
        <f t="shared" si="8"/>
        <v>0.45985971446942864</v>
      </c>
      <c r="S38" s="2"/>
      <c r="T38" s="2"/>
      <c r="U38" s="2"/>
      <c r="V38" s="19">
        <f t="shared" si="9"/>
        <v>0</v>
      </c>
      <c r="W38" s="2"/>
      <c r="X38" s="2">
        <f t="shared" si="10"/>
        <v>908998.77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-17366.759999999998</v>
      </c>
      <c r="E39" s="2"/>
      <c r="F39" s="19">
        <f t="shared" si="4"/>
        <v>-1.6473797790752274</v>
      </c>
      <c r="G39" s="2"/>
      <c r="H39" s="2"/>
      <c r="I39" s="2"/>
      <c r="J39" s="19">
        <f t="shared" si="5"/>
        <v>0</v>
      </c>
      <c r="K39" s="2"/>
      <c r="L39" s="2">
        <f t="shared" si="6"/>
        <v>-17366.759999999998</v>
      </c>
      <c r="M39" s="2"/>
      <c r="N39" s="19">
        <f t="shared" si="7"/>
        <v>0</v>
      </c>
      <c r="O39" s="11"/>
      <c r="P39" s="2">
        <v>17335.73</v>
      </c>
      <c r="Q39" s="2"/>
      <c r="R39" s="19">
        <f t="shared" si="8"/>
        <v>8.7700931079577899E-3</v>
      </c>
      <c r="S39" s="2"/>
      <c r="T39" s="2"/>
      <c r="U39" s="2"/>
      <c r="V39" s="19">
        <f t="shared" si="9"/>
        <v>0</v>
      </c>
      <c r="W39" s="2"/>
      <c r="X39" s="2">
        <f t="shared" si="10"/>
        <v>17335.73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>
        <v>6024.36</v>
      </c>
      <c r="E40" s="2"/>
      <c r="F40" s="19">
        <f t="shared" si="4"/>
        <v>0.5714600101498285</v>
      </c>
      <c r="G40" s="2"/>
      <c r="H40" s="2"/>
      <c r="I40" s="2"/>
      <c r="J40" s="19">
        <f t="shared" si="5"/>
        <v>0</v>
      </c>
      <c r="K40" s="2"/>
      <c r="L40" s="2">
        <f t="shared" si="6"/>
        <v>6024.36</v>
      </c>
      <c r="M40" s="2"/>
      <c r="N40" s="19">
        <f t="shared" si="7"/>
        <v>0</v>
      </c>
      <c r="O40" s="11"/>
      <c r="P40" s="2">
        <v>13236.44</v>
      </c>
      <c r="Q40" s="2"/>
      <c r="R40" s="19">
        <f t="shared" si="8"/>
        <v>6.6962747584264877E-3</v>
      </c>
      <c r="S40" s="2"/>
      <c r="T40" s="2"/>
      <c r="U40" s="2"/>
      <c r="V40" s="19">
        <f t="shared" si="9"/>
        <v>0</v>
      </c>
      <c r="W40" s="2"/>
      <c r="X40" s="2">
        <f t="shared" si="10"/>
        <v>13236.44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178285.37</v>
      </c>
      <c r="E41" s="2"/>
      <c r="F41" s="19">
        <f t="shared" si="4"/>
        <v>16.911831190328257</v>
      </c>
      <c r="G41" s="2"/>
      <c r="H41" s="2"/>
      <c r="I41" s="2"/>
      <c r="J41" s="19">
        <f t="shared" si="5"/>
        <v>0</v>
      </c>
      <c r="K41" s="2"/>
      <c r="L41" s="2">
        <f t="shared" si="6"/>
        <v>178285.37</v>
      </c>
      <c r="M41" s="2"/>
      <c r="N41" s="19">
        <f t="shared" si="7"/>
        <v>0</v>
      </c>
      <c r="O41" s="11"/>
      <c r="P41" s="2">
        <v>377891.8</v>
      </c>
      <c r="Q41" s="2"/>
      <c r="R41" s="19">
        <f t="shared" si="8"/>
        <v>0.19117431286330391</v>
      </c>
      <c r="S41" s="2"/>
      <c r="T41" s="2"/>
      <c r="U41" s="2"/>
      <c r="V41" s="19">
        <f t="shared" si="9"/>
        <v>0</v>
      </c>
      <c r="W41" s="2"/>
      <c r="X41" s="2">
        <f t="shared" si="10"/>
        <v>377891.8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"5011", " - ", "PURCHASES @ COST-NO VALUE TEXT")</f>
        <v xml:space="preserve">          5011 - PURCHASES @ COST-NO VALUE TEXT</v>
      </c>
      <c r="C42" s="11"/>
      <c r="D42" s="2">
        <v>63.17</v>
      </c>
      <c r="E42" s="2"/>
      <c r="F42" s="19">
        <f t="shared" si="4"/>
        <v>5.9921931692602489E-3</v>
      </c>
      <c r="G42" s="2"/>
      <c r="H42" s="2"/>
      <c r="I42" s="2"/>
      <c r="J42" s="19">
        <f t="shared" si="5"/>
        <v>0</v>
      </c>
      <c r="K42" s="2"/>
      <c r="L42" s="2">
        <f t="shared" si="6"/>
        <v>63.17</v>
      </c>
      <c r="M42" s="2"/>
      <c r="N42" s="19">
        <f t="shared" si="7"/>
        <v>0</v>
      </c>
      <c r="O42" s="11"/>
      <c r="P42" s="2">
        <v>130.34</v>
      </c>
      <c r="Q42" s="2"/>
      <c r="R42" s="19">
        <f t="shared" si="8"/>
        <v>6.5938609778256715E-5</v>
      </c>
      <c r="S42" s="2"/>
      <c r="T42" s="2"/>
      <c r="U42" s="2"/>
      <c r="V42" s="19">
        <f t="shared" si="9"/>
        <v>0</v>
      </c>
      <c r="W42" s="2"/>
      <c r="X42" s="2">
        <f t="shared" si="10"/>
        <v>130.34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"5013", " - ", "PURCHASES @ COST-TRADE BOOKS")</f>
        <v xml:space="preserve">          5013 - PURCHASES @ COST-TRADE BOOKS</v>
      </c>
      <c r="C43" s="11"/>
      <c r="D43" s="2">
        <v>1964.92</v>
      </c>
      <c r="E43" s="2"/>
      <c r="F43" s="19">
        <f t="shared" si="4"/>
        <v>0.18638879534815336</v>
      </c>
      <c r="G43" s="2"/>
      <c r="H43" s="2"/>
      <c r="I43" s="2"/>
      <c r="J43" s="19">
        <f t="shared" si="5"/>
        <v>0</v>
      </c>
      <c r="K43" s="2"/>
      <c r="L43" s="2">
        <f t="shared" si="6"/>
        <v>1964.92</v>
      </c>
      <c r="M43" s="2"/>
      <c r="N43" s="19">
        <f t="shared" si="7"/>
        <v>0</v>
      </c>
      <c r="O43" s="11"/>
      <c r="P43" s="2">
        <v>11634.94</v>
      </c>
      <c r="Q43" s="2"/>
      <c r="R43" s="19">
        <f t="shared" si="8"/>
        <v>5.8860807768408028E-3</v>
      </c>
      <c r="S43" s="2"/>
      <c r="T43" s="2"/>
      <c r="U43" s="2"/>
      <c r="V43" s="19">
        <f t="shared" si="9"/>
        <v>0</v>
      </c>
      <c r="W43" s="2"/>
      <c r="X43" s="2">
        <f t="shared" si="10"/>
        <v>11634.94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>
        <v>-161.43</v>
      </c>
      <c r="E44" s="2"/>
      <c r="F44" s="19">
        <f t="shared" si="4"/>
        <v>-1.5312960951617572E-2</v>
      </c>
      <c r="G44" s="2"/>
      <c r="H44" s="2"/>
      <c r="I44" s="2"/>
      <c r="J44" s="19">
        <f t="shared" si="5"/>
        <v>0</v>
      </c>
      <c r="K44" s="2"/>
      <c r="L44" s="2">
        <f t="shared" si="6"/>
        <v>-161.43</v>
      </c>
      <c r="M44" s="2"/>
      <c r="N44" s="19">
        <f t="shared" si="7"/>
        <v>0</v>
      </c>
      <c r="O44" s="11"/>
      <c r="P44" s="2">
        <v>-49.86</v>
      </c>
      <c r="Q44" s="2"/>
      <c r="R44" s="19">
        <f t="shared" si="8"/>
        <v>-2.5224022430135644E-5</v>
      </c>
      <c r="S44" s="2"/>
      <c r="T44" s="2"/>
      <c r="U44" s="2"/>
      <c r="V44" s="19">
        <f t="shared" si="9"/>
        <v>0</v>
      </c>
      <c r="W44" s="2"/>
      <c r="X44" s="2">
        <f t="shared" si="10"/>
        <v>-49.86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"5018", " - ", "PURCHASES @ COST-STUDY GUIDES")</f>
        <v xml:space="preserve">          5018 - PURCHASES @ COST-STUDY GUIDES</v>
      </c>
      <c r="C45" s="11"/>
      <c r="D45" s="2">
        <v>476.17</v>
      </c>
      <c r="E45" s="2"/>
      <c r="F45" s="19">
        <f t="shared" si="4"/>
        <v>4.516863418405339E-2</v>
      </c>
      <c r="G45" s="2"/>
      <c r="H45" s="2"/>
      <c r="I45" s="2"/>
      <c r="J45" s="19">
        <f t="shared" si="5"/>
        <v>0</v>
      </c>
      <c r="K45" s="2"/>
      <c r="L45" s="2">
        <f t="shared" si="6"/>
        <v>476.17</v>
      </c>
      <c r="M45" s="2"/>
      <c r="N45" s="19">
        <f t="shared" si="7"/>
        <v>0</v>
      </c>
      <c r="O45" s="11"/>
      <c r="P45" s="2">
        <v>1443.38</v>
      </c>
      <c r="Q45" s="2"/>
      <c r="R45" s="19">
        <f t="shared" si="8"/>
        <v>7.3020155425610085E-4</v>
      </c>
      <c r="S45" s="2"/>
      <c r="T45" s="2"/>
      <c r="U45" s="2"/>
      <c r="V45" s="19">
        <f t="shared" si="9"/>
        <v>0</v>
      </c>
      <c r="W45" s="2"/>
      <c r="X45" s="2">
        <f t="shared" si="10"/>
        <v>1443.38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-250433.46</v>
      </c>
      <c r="E46" s="2"/>
      <c r="F46" s="19">
        <f t="shared" si="4"/>
        <v>-23.755669912398442</v>
      </c>
      <c r="G46" s="2"/>
      <c r="H46" s="2"/>
      <c r="I46" s="2"/>
      <c r="J46" s="19">
        <f t="shared" si="5"/>
        <v>0</v>
      </c>
      <c r="K46" s="2"/>
      <c r="L46" s="2">
        <f t="shared" si="6"/>
        <v>-250433.46</v>
      </c>
      <c r="M46" s="2"/>
      <c r="N46" s="19">
        <f t="shared" si="7"/>
        <v>0</v>
      </c>
      <c r="O46" s="11"/>
      <c r="P46" s="2">
        <v>-1338935.1499999999</v>
      </c>
      <c r="Q46" s="2"/>
      <c r="R46" s="19">
        <f t="shared" si="8"/>
        <v>-0.67736322214394362</v>
      </c>
      <c r="S46" s="2"/>
      <c r="T46" s="2"/>
      <c r="U46" s="2"/>
      <c r="V46" s="19">
        <f t="shared" si="9"/>
        <v>0</v>
      </c>
      <c r="W46" s="2"/>
      <c r="X46" s="2">
        <f t="shared" si="10"/>
        <v>-1338935.1499999999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9156</v>
      </c>
      <c r="E47" s="2"/>
      <c r="F47" s="19">
        <f t="shared" si="4"/>
        <v>0.86852177707371914</v>
      </c>
      <c r="G47" s="2"/>
      <c r="H47" s="2"/>
      <c r="I47" s="2"/>
      <c r="J47" s="19">
        <f t="shared" si="5"/>
        <v>0</v>
      </c>
      <c r="K47" s="2"/>
      <c r="L47" s="2">
        <f t="shared" si="6"/>
        <v>9156</v>
      </c>
      <c r="M47" s="2"/>
      <c r="N47" s="19">
        <f t="shared" si="7"/>
        <v>0</v>
      </c>
      <c r="O47" s="11"/>
      <c r="P47" s="2">
        <v>1416064</v>
      </c>
      <c r="Q47" s="2"/>
      <c r="R47" s="19">
        <f t="shared" si="8"/>
        <v>0.71638247289425594</v>
      </c>
      <c r="S47" s="2"/>
      <c r="T47" s="2"/>
      <c r="U47" s="2"/>
      <c r="V47" s="19">
        <f t="shared" si="9"/>
        <v>0</v>
      </c>
      <c r="W47" s="2"/>
      <c r="X47" s="2">
        <f t="shared" si="10"/>
        <v>1416064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0</v>
      </c>
      <c r="Q48" s="2"/>
      <c r="R48" s="19">
        <f t="shared" si="8"/>
        <v>0</v>
      </c>
      <c r="S48" s="2"/>
      <c r="T48" s="2"/>
      <c r="U48" s="2"/>
      <c r="V48" s="19">
        <f t="shared" si="9"/>
        <v>0</v>
      </c>
      <c r="W48" s="2"/>
      <c r="X48" s="2">
        <f t="shared" si="10"/>
        <v>0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1565.85</v>
      </c>
      <c r="E49" s="2"/>
      <c r="F49" s="19">
        <f t="shared" si="4"/>
        <v>0.14853372920826594</v>
      </c>
      <c r="G49" s="2"/>
      <c r="H49" s="2"/>
      <c r="I49" s="2"/>
      <c r="J49" s="19">
        <f t="shared" si="5"/>
        <v>0</v>
      </c>
      <c r="K49" s="2"/>
      <c r="L49" s="2">
        <f t="shared" si="6"/>
        <v>1565.85</v>
      </c>
      <c r="M49" s="2"/>
      <c r="N49" s="19">
        <f t="shared" si="7"/>
        <v>0</v>
      </c>
      <c r="O49" s="11"/>
      <c r="P49" s="2">
        <v>53401.99</v>
      </c>
      <c r="Q49" s="2"/>
      <c r="R49" s="19">
        <f t="shared" si="8"/>
        <v>2.7015904403808251E-2</v>
      </c>
      <c r="S49" s="2"/>
      <c r="T49" s="2"/>
      <c r="U49" s="2"/>
      <c r="V49" s="19">
        <f t="shared" si="9"/>
        <v>0</v>
      </c>
      <c r="W49" s="2"/>
      <c r="X49" s="2">
        <f t="shared" si="10"/>
        <v>53401.99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149.80000000000001</v>
      </c>
      <c r="E50" s="2"/>
      <c r="F50" s="19">
        <f t="shared" si="4"/>
        <v>1.4209759961297853E-2</v>
      </c>
      <c r="G50" s="2"/>
      <c r="H50" s="2"/>
      <c r="I50" s="2"/>
      <c r="J50" s="19">
        <f t="shared" si="5"/>
        <v>0</v>
      </c>
      <c r="K50" s="2"/>
      <c r="L50" s="2">
        <f t="shared" si="6"/>
        <v>149.80000000000001</v>
      </c>
      <c r="M50" s="2"/>
      <c r="N50" s="19">
        <f t="shared" si="7"/>
        <v>0</v>
      </c>
      <c r="O50" s="11"/>
      <c r="P50" s="2">
        <v>18142.669999999998</v>
      </c>
      <c r="Q50" s="2"/>
      <c r="R50" s="19">
        <f t="shared" si="8"/>
        <v>9.1783216009335943E-3</v>
      </c>
      <c r="S50" s="2"/>
      <c r="T50" s="2"/>
      <c r="U50" s="2"/>
      <c r="V50" s="19">
        <f t="shared" si="9"/>
        <v>0</v>
      </c>
      <c r="W50" s="2"/>
      <c r="X50" s="2">
        <f t="shared" si="10"/>
        <v>18142.669999999998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"5504", " - ", "FREIGHT-IN-DIGITAL TEXT")</f>
        <v xml:space="preserve">          5504 - FREIGHT-IN-DIGITAL TEXT</v>
      </c>
      <c r="C51" s="11"/>
      <c r="D51" s="2">
        <v>4.28</v>
      </c>
      <c r="E51" s="2"/>
      <c r="F51" s="19">
        <f t="shared" si="4"/>
        <v>4.0599314175136721E-4</v>
      </c>
      <c r="G51" s="2"/>
      <c r="H51" s="2"/>
      <c r="I51" s="2"/>
      <c r="J51" s="19">
        <f t="shared" si="5"/>
        <v>0</v>
      </c>
      <c r="K51" s="2"/>
      <c r="L51" s="2">
        <f t="shared" si="6"/>
        <v>4.28</v>
      </c>
      <c r="M51" s="2"/>
      <c r="N51" s="19">
        <f t="shared" si="7"/>
        <v>0</v>
      </c>
      <c r="O51" s="11"/>
      <c r="P51" s="2">
        <v>33.200000000000003</v>
      </c>
      <c r="Q51" s="2"/>
      <c r="R51" s="19">
        <f t="shared" si="8"/>
        <v>1.6795779075020124E-5</v>
      </c>
      <c r="S51" s="2"/>
      <c r="T51" s="2"/>
      <c r="U51" s="2"/>
      <c r="V51" s="19">
        <f t="shared" si="9"/>
        <v>0</v>
      </c>
      <c r="W51" s="2"/>
      <c r="X51" s="2">
        <f t="shared" si="10"/>
        <v>33.200000000000003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"5513", " - ", "FREIGHT-IN-TRADE BOOKS")</f>
        <v xml:space="preserve">          5513 - FREIGHT-IN-TRADE BOOKS</v>
      </c>
      <c r="C52" s="11"/>
      <c r="D52" s="2"/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85.28</v>
      </c>
      <c r="Q52" s="2"/>
      <c r="R52" s="19">
        <f t="shared" si="8"/>
        <v>4.3142892756557714E-5</v>
      </c>
      <c r="S52" s="2"/>
      <c r="T52" s="2"/>
      <c r="U52" s="2"/>
      <c r="V52" s="19">
        <f t="shared" si="9"/>
        <v>0</v>
      </c>
      <c r="W52" s="2"/>
      <c r="X52" s="2">
        <f t="shared" si="10"/>
        <v>85.28</v>
      </c>
      <c r="Y52" s="2"/>
      <c r="Z52" s="19">
        <f t="shared" si="11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108</v>
      </c>
      <c r="C54" s="28"/>
      <c r="D54" s="20">
        <f>D12-D36</f>
        <v>-61963.479999999952</v>
      </c>
      <c r="E54" s="14"/>
      <c r="F54" s="22">
        <f>IF(D$12=0,0,D54/D$12)</f>
        <v>-5.8777448408990622</v>
      </c>
      <c r="G54" s="14"/>
      <c r="H54" s="20">
        <f>H12-H36</f>
        <v>7019</v>
      </c>
      <c r="I54" s="14"/>
      <c r="J54" s="22">
        <f>IF(H$12=0,0,H54/H$12)</f>
        <v>0.27002385165807496</v>
      </c>
      <c r="K54" s="16"/>
      <c r="L54" s="20">
        <f>+D54-H54</f>
        <v>-68982.479999999952</v>
      </c>
      <c r="M54" s="16"/>
      <c r="N54" s="22">
        <f>IF(H54=0,0,L54/H54)</f>
        <v>-9.8279640974497724</v>
      </c>
      <c r="O54" s="29"/>
      <c r="P54" s="20">
        <f>P12-P36</f>
        <v>497273.58000000007</v>
      </c>
      <c r="Q54" s="14"/>
      <c r="R54" s="22">
        <f>IF(P$12=0,0,P54/P$12)</f>
        <v>0.25156919245555259</v>
      </c>
      <c r="S54" s="14"/>
      <c r="T54" s="20">
        <f>T12-T36</f>
        <v>831665</v>
      </c>
      <c r="U54" s="14"/>
      <c r="V54" s="22">
        <f>IF(T$12=0,0,T54/T$12)</f>
        <v>0.27249996887268668</v>
      </c>
      <c r="W54" s="16"/>
      <c r="X54" s="20">
        <f>+P54-T54</f>
        <v>-334391.41999999993</v>
      </c>
      <c r="Y54" s="16"/>
      <c r="Z54" s="22">
        <f>IF(T54=0,0,X54/T54)</f>
        <v>-0.40207465746424331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295</v>
      </c>
      <c r="C56" s="10"/>
      <c r="D56" s="21">
        <f>SUM(OSRRefD22x_0)</f>
        <v>21334.860000000008</v>
      </c>
      <c r="E56" s="21"/>
      <c r="F56" s="30">
        <f t="shared" ref="F56:F67" si="12">IF(D$12=0,0,D56/D$12)</f>
        <v>2.0237866449125179</v>
      </c>
      <c r="G56" s="21"/>
      <c r="H56" s="21">
        <f>SUM(OSRRefH22x_0)</f>
        <v>87018.09217023653</v>
      </c>
      <c r="I56" s="21"/>
      <c r="J56" s="30">
        <f t="shared" ref="J56:J67" si="13">IF(H$12=0,0,H56/H$12)</f>
        <v>3.3476222270614961</v>
      </c>
      <c r="K56" s="4"/>
      <c r="L56" s="21">
        <f t="shared" ref="L56:L67" si="14">+D56-H56</f>
        <v>-65683.23217023653</v>
      </c>
      <c r="M56" s="4"/>
      <c r="N56" s="30">
        <f t="shared" ref="N56:N67" si="15">IF(H56=0,0,L56/H56)</f>
        <v>-0.75482271022143455</v>
      </c>
      <c r="O56" s="10"/>
      <c r="P56" s="21">
        <f>SUM(OSRRefP22x_0)</f>
        <v>528742.40000000002</v>
      </c>
      <c r="Q56" s="21"/>
      <c r="R56" s="30">
        <f t="shared" ref="R56:R67" si="16">IF(P$12=0,0,P56/P$12)</f>
        <v>0.26748917283120244</v>
      </c>
      <c r="S56" s="21"/>
      <c r="T56" s="21">
        <f>SUM(OSRRefT22x_0)</f>
        <v>701682.16080832505</v>
      </c>
      <c r="U56" s="21"/>
      <c r="V56" s="30">
        <f t="shared" ref="V56:V67" si="17">IF(T$12=0,0,T56/T$12)</f>
        <v>0.22991032083686111</v>
      </c>
      <c r="W56" s="4"/>
      <c r="X56" s="21">
        <f t="shared" ref="X56:X67" si="18">+P56-T56</f>
        <v>-172939.76080832502</v>
      </c>
      <c r="Y56" s="4"/>
      <c r="Z56" s="30">
        <f t="shared" ref="Z56:Z67" si="19">IF(T56=0,0,X56/T56)</f>
        <v>-0.24646452548986222</v>
      </c>
    </row>
    <row r="57" spans="1:26" s="27" customFormat="1" outlineLevel="1" collapsed="1" x14ac:dyDescent="0.25">
      <c r="A57" s="25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12433.619999999999</v>
      </c>
      <c r="E57" s="1"/>
      <c r="F57" s="5">
        <f t="shared" si="12"/>
        <v>1.1794309455940732</v>
      </c>
      <c r="G57" s="1"/>
      <c r="H57" s="1">
        <f>SUM(OSRRefH22_0x_0)</f>
        <v>11771.65752654423</v>
      </c>
      <c r="I57" s="1"/>
      <c r="J57" s="5">
        <f t="shared" si="13"/>
        <v>0.45286056499746979</v>
      </c>
      <c r="K57" s="1"/>
      <c r="L57" s="1">
        <f t="shared" si="14"/>
        <v>661.96247345576921</v>
      </c>
      <c r="M57" s="1"/>
      <c r="N57" s="5">
        <f t="shared" si="15"/>
        <v>5.6233582395944844E-2</v>
      </c>
      <c r="O57" s="13"/>
      <c r="P57" s="1">
        <f>SUM(OSRRefP22_0x_0)</f>
        <v>144311.99</v>
      </c>
      <c r="Q57" s="1"/>
      <c r="R57" s="5">
        <f t="shared" si="16"/>
        <v>7.3006997045678104E-2</v>
      </c>
      <c r="S57" s="1"/>
      <c r="T57" s="1">
        <f>SUM(OSRRefT22_0x_0)</f>
        <v>148876.62919032498</v>
      </c>
      <c r="U57" s="1"/>
      <c r="V57" s="5">
        <f t="shared" si="17"/>
        <v>4.8780310365632885E-2</v>
      </c>
      <c r="W57" s="1"/>
      <c r="X57" s="1">
        <f t="shared" si="18"/>
        <v>-4564.6391903249896</v>
      </c>
      <c r="Y57" s="1"/>
      <c r="Z57" s="5">
        <f t="shared" si="19"/>
        <v>-3.0660549040840528E-2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2190.84</v>
      </c>
      <c r="E58" s="2"/>
      <c r="F58" s="7">
        <f t="shared" si="12"/>
        <v>0.20781916230714143</v>
      </c>
      <c r="G58" s="2"/>
      <c r="H58" s="6">
        <v>1927.7259585634599</v>
      </c>
      <c r="I58" s="2"/>
      <c r="J58" s="7">
        <f t="shared" si="13"/>
        <v>7.4160420041681149E-2</v>
      </c>
      <c r="K58" s="2"/>
      <c r="L58" s="6">
        <f t="shared" si="14"/>
        <v>263.11404143654022</v>
      </c>
      <c r="M58" s="2"/>
      <c r="N58" s="7">
        <f t="shared" si="15"/>
        <v>0.1364893387816454</v>
      </c>
      <c r="O58" s="11"/>
      <c r="P58" s="6">
        <v>26197.69</v>
      </c>
      <c r="Q58" s="2"/>
      <c r="R58" s="7">
        <f t="shared" si="16"/>
        <v>1.3253331732405541E-2</v>
      </c>
      <c r="S58" s="2"/>
      <c r="T58" s="6">
        <v>22997.1111747</v>
      </c>
      <c r="U58" s="2"/>
      <c r="V58" s="7">
        <f t="shared" si="17"/>
        <v>7.5351398450908295E-3</v>
      </c>
      <c r="W58" s="2"/>
      <c r="X58" s="6">
        <f t="shared" si="18"/>
        <v>3200.5788252999992</v>
      </c>
      <c r="Y58" s="2"/>
      <c r="Z58" s="7">
        <f t="shared" si="19"/>
        <v>0.13917308139211321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129.68</v>
      </c>
      <c r="E59" s="2"/>
      <c r="F59" s="7">
        <f t="shared" si="12"/>
        <v>1.2301212762223668E-2</v>
      </c>
      <c r="G59" s="2"/>
      <c r="H59" s="6">
        <v>538.92856971153901</v>
      </c>
      <c r="I59" s="2"/>
      <c r="J59" s="7">
        <f t="shared" si="13"/>
        <v>2.0732806405768217E-2</v>
      </c>
      <c r="K59" s="2"/>
      <c r="L59" s="6">
        <f t="shared" si="14"/>
        <v>-409.24856971153901</v>
      </c>
      <c r="M59" s="2"/>
      <c r="N59" s="7">
        <f t="shared" si="15"/>
        <v>-0.75937441937915617</v>
      </c>
      <c r="O59" s="11"/>
      <c r="P59" s="6">
        <v>1501.57</v>
      </c>
      <c r="Q59" s="2"/>
      <c r="R59" s="7">
        <f t="shared" si="16"/>
        <v>7.596396983637942E-4</v>
      </c>
      <c r="S59" s="2"/>
      <c r="T59" s="6">
        <v>7763.9587093749997</v>
      </c>
      <c r="U59" s="2"/>
      <c r="V59" s="7">
        <f t="shared" si="17"/>
        <v>2.5439071099944231E-3</v>
      </c>
      <c r="W59" s="2"/>
      <c r="X59" s="6">
        <f t="shared" si="18"/>
        <v>-6262.388709375</v>
      </c>
      <c r="Y59" s="2"/>
      <c r="Z59" s="7">
        <f t="shared" si="19"/>
        <v>-0.80659737432827272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4943.91</v>
      </c>
      <c r="E60" s="2"/>
      <c r="F60" s="7">
        <f t="shared" si="12"/>
        <v>0.46897045641028073</v>
      </c>
      <c r="G60" s="2"/>
      <c r="H60" s="6">
        <v>4662.6923076923104</v>
      </c>
      <c r="I60" s="2"/>
      <c r="J60" s="7">
        <f t="shared" si="13"/>
        <v>0.17937571392214782</v>
      </c>
      <c r="K60" s="2"/>
      <c r="L60" s="6">
        <f t="shared" si="14"/>
        <v>281.2176923076895</v>
      </c>
      <c r="M60" s="2"/>
      <c r="N60" s="7">
        <f t="shared" si="15"/>
        <v>6.0312298935906318E-2</v>
      </c>
      <c r="O60" s="11"/>
      <c r="P60" s="6">
        <v>55051.68</v>
      </c>
      <c r="Q60" s="2"/>
      <c r="R60" s="7">
        <f t="shared" si="16"/>
        <v>2.7850477559900718E-2</v>
      </c>
      <c r="S60" s="2"/>
      <c r="T60" s="6">
        <v>57180</v>
      </c>
      <c r="U60" s="2"/>
      <c r="V60" s="7">
        <f t="shared" si="17"/>
        <v>1.8735366067034472E-2</v>
      </c>
      <c r="W60" s="2"/>
      <c r="X60" s="6">
        <f t="shared" si="18"/>
        <v>-2128.3199999999997</v>
      </c>
      <c r="Y60" s="2"/>
      <c r="Z60" s="7">
        <f t="shared" si="19"/>
        <v>-3.7221406086044066E-2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78.42</v>
      </c>
      <c r="E61" s="2"/>
      <c r="F61" s="7">
        <f t="shared" si="12"/>
        <v>7.4387808822762181E-3</v>
      </c>
      <c r="G61" s="2"/>
      <c r="H61" s="6">
        <v>75.741312500000006</v>
      </c>
      <c r="I61" s="2"/>
      <c r="J61" s="7">
        <f t="shared" si="13"/>
        <v>2.9137998191890438E-3</v>
      </c>
      <c r="K61" s="2"/>
      <c r="L61" s="6">
        <f t="shared" si="14"/>
        <v>2.6786874999999952</v>
      </c>
      <c r="M61" s="2"/>
      <c r="N61" s="7">
        <f t="shared" si="15"/>
        <v>3.5366267253422561E-2</v>
      </c>
      <c r="O61" s="11"/>
      <c r="P61" s="6">
        <v>953.93</v>
      </c>
      <c r="Q61" s="2"/>
      <c r="R61" s="7">
        <f t="shared" si="16"/>
        <v>4.8259028713957668E-4</v>
      </c>
      <c r="S61" s="2"/>
      <c r="T61" s="6">
        <v>1091.1509537500001</v>
      </c>
      <c r="U61" s="2"/>
      <c r="V61" s="7">
        <f t="shared" si="17"/>
        <v>3.5752208032354061E-4</v>
      </c>
      <c r="W61" s="2"/>
      <c r="X61" s="6">
        <f t="shared" si="18"/>
        <v>-137.22095375000015</v>
      </c>
      <c r="Y61" s="2"/>
      <c r="Z61" s="7">
        <f t="shared" si="19"/>
        <v>-0.12575799276755215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2644.54</v>
      </c>
      <c r="E62" s="2"/>
      <c r="F62" s="7">
        <f t="shared" si="12"/>
        <v>0.25085633249700012</v>
      </c>
      <c r="G62" s="2"/>
      <c r="H62" s="6">
        <v>1268.5379723076901</v>
      </c>
      <c r="I62" s="2"/>
      <c r="J62" s="7">
        <f t="shared" si="13"/>
        <v>4.8801183823485805E-2</v>
      </c>
      <c r="K62" s="2"/>
      <c r="L62" s="6">
        <f t="shared" si="14"/>
        <v>1376.0020276923099</v>
      </c>
      <c r="M62" s="2"/>
      <c r="N62" s="7">
        <f t="shared" si="15"/>
        <v>1.084714890472789</v>
      </c>
      <c r="O62" s="11"/>
      <c r="P62" s="6">
        <v>22892.11</v>
      </c>
      <c r="Q62" s="2"/>
      <c r="R62" s="7">
        <f t="shared" si="16"/>
        <v>1.1581048859068041E-2</v>
      </c>
      <c r="S62" s="2"/>
      <c r="T62" s="6">
        <v>16490.993640000001</v>
      </c>
      <c r="U62" s="2"/>
      <c r="V62" s="7">
        <f t="shared" si="17"/>
        <v>5.4033718547488157E-3</v>
      </c>
      <c r="W62" s="2"/>
      <c r="X62" s="6">
        <f t="shared" si="18"/>
        <v>6401.11636</v>
      </c>
      <c r="Y62" s="2"/>
      <c r="Z62" s="7">
        <f t="shared" si="19"/>
        <v>0.38815831839711995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2"/>
        <v>0</v>
      </c>
      <c r="G63" s="2"/>
      <c r="H63" s="6">
        <v>0</v>
      </c>
      <c r="I63" s="2"/>
      <c r="J63" s="7">
        <f t="shared" si="13"/>
        <v>0</v>
      </c>
      <c r="K63" s="2"/>
      <c r="L63" s="6">
        <f t="shared" si="14"/>
        <v>0</v>
      </c>
      <c r="M63" s="2"/>
      <c r="N63" s="7">
        <f t="shared" si="15"/>
        <v>0</v>
      </c>
      <c r="O63" s="11"/>
      <c r="P63" s="6"/>
      <c r="Q63" s="2"/>
      <c r="R63" s="7">
        <f t="shared" si="16"/>
        <v>0</v>
      </c>
      <c r="S63" s="2"/>
      <c r="T63" s="6">
        <v>0</v>
      </c>
      <c r="U63" s="2"/>
      <c r="V63" s="7">
        <f t="shared" si="17"/>
        <v>0</v>
      </c>
      <c r="W63" s="2"/>
      <c r="X63" s="6">
        <f t="shared" si="18"/>
        <v>0</v>
      </c>
      <c r="Y63" s="2"/>
      <c r="Z63" s="7">
        <f t="shared" si="19"/>
        <v>0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6">
        <v>246.25</v>
      </c>
      <c r="E64" s="2"/>
      <c r="F64" s="7">
        <f t="shared" si="12"/>
        <v>2.3358834382307049E-2</v>
      </c>
      <c r="G64" s="2"/>
      <c r="H64" s="6"/>
      <c r="I64" s="2"/>
      <c r="J64" s="7">
        <f t="shared" si="13"/>
        <v>0</v>
      </c>
      <c r="K64" s="2"/>
      <c r="L64" s="6">
        <f t="shared" si="14"/>
        <v>246.25</v>
      </c>
      <c r="M64" s="2"/>
      <c r="N64" s="7">
        <f t="shared" si="15"/>
        <v>0</v>
      </c>
      <c r="O64" s="11"/>
      <c r="P64" s="6">
        <v>3247.65</v>
      </c>
      <c r="Q64" s="2"/>
      <c r="R64" s="7">
        <f t="shared" si="16"/>
        <v>1.6429762624394308E-3</v>
      </c>
      <c r="S64" s="2"/>
      <c r="T64" s="6"/>
      <c r="U64" s="2"/>
      <c r="V64" s="7">
        <f t="shared" si="17"/>
        <v>0</v>
      </c>
      <c r="W64" s="2"/>
      <c r="X64" s="6">
        <f t="shared" si="18"/>
        <v>3247.65</v>
      </c>
      <c r="Y64" s="2"/>
      <c r="Z64" s="7">
        <f t="shared" si="19"/>
        <v>0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6">
        <v>1512.33</v>
      </c>
      <c r="E65" s="2"/>
      <c r="F65" s="7">
        <f t="shared" si="12"/>
        <v>0.14345691777216008</v>
      </c>
      <c r="G65" s="2"/>
      <c r="H65" s="6">
        <v>1346.2077200000001</v>
      </c>
      <c r="I65" s="2"/>
      <c r="J65" s="7">
        <f t="shared" si="13"/>
        <v>5.178917134723398E-2</v>
      </c>
      <c r="K65" s="2"/>
      <c r="L65" s="6">
        <f t="shared" si="14"/>
        <v>166.12227999999982</v>
      </c>
      <c r="M65" s="2"/>
      <c r="N65" s="7">
        <f t="shared" si="15"/>
        <v>0.12340018373984649</v>
      </c>
      <c r="O65" s="11"/>
      <c r="P65" s="6">
        <v>17657.46</v>
      </c>
      <c r="Q65" s="2"/>
      <c r="R65" s="7">
        <f t="shared" si="16"/>
        <v>8.9328553369278554E-3</v>
      </c>
      <c r="S65" s="2"/>
      <c r="T65" s="6">
        <v>17500.700359999999</v>
      </c>
      <c r="U65" s="2"/>
      <c r="V65" s="7">
        <f t="shared" si="17"/>
        <v>5.7342082489346266E-3</v>
      </c>
      <c r="W65" s="2"/>
      <c r="X65" s="6">
        <f t="shared" si="18"/>
        <v>156.75964000000022</v>
      </c>
      <c r="Y65" s="2"/>
      <c r="Z65" s="7">
        <f t="shared" si="19"/>
        <v>8.95733523661108E-3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6">
        <v>284.64</v>
      </c>
      <c r="E66" s="2"/>
      <c r="F66" s="7">
        <f t="shared" si="12"/>
        <v>2.7000441090679707E-2</v>
      </c>
      <c r="G66" s="2"/>
      <c r="H66" s="6">
        <v>1201.82368576923</v>
      </c>
      <c r="I66" s="2"/>
      <c r="J66" s="7">
        <f t="shared" si="13"/>
        <v>4.6234657450535892E-2</v>
      </c>
      <c r="K66" s="2"/>
      <c r="L66" s="6">
        <f t="shared" si="14"/>
        <v>-917.18368576923001</v>
      </c>
      <c r="M66" s="2"/>
      <c r="N66" s="7">
        <f t="shared" si="15"/>
        <v>-0.76315993488028533</v>
      </c>
      <c r="O66" s="11"/>
      <c r="P66" s="6">
        <v>11746.18</v>
      </c>
      <c r="Q66" s="2"/>
      <c r="R66" s="7">
        <f t="shared" si="16"/>
        <v>5.942356754681322E-3</v>
      </c>
      <c r="S66" s="2"/>
      <c r="T66" s="6">
        <v>16852.714352499999</v>
      </c>
      <c r="U66" s="2"/>
      <c r="V66" s="7">
        <f t="shared" si="17"/>
        <v>5.5218917911376928E-3</v>
      </c>
      <c r="W66" s="2"/>
      <c r="X66" s="6">
        <f t="shared" si="18"/>
        <v>-5106.5343524999989</v>
      </c>
      <c r="Y66" s="2"/>
      <c r="Z66" s="7">
        <f t="shared" si="19"/>
        <v>-0.30300960698016433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6">
        <v>403.01</v>
      </c>
      <c r="E67" s="2"/>
      <c r="F67" s="7">
        <f t="shared" si="12"/>
        <v>3.8228807490004318E-2</v>
      </c>
      <c r="G67" s="2"/>
      <c r="H67" s="6">
        <v>750</v>
      </c>
      <c r="I67" s="2"/>
      <c r="J67" s="7">
        <f t="shared" si="13"/>
        <v>2.8852812187427867E-2</v>
      </c>
      <c r="K67" s="2"/>
      <c r="L67" s="6">
        <f t="shared" si="14"/>
        <v>-346.99</v>
      </c>
      <c r="M67" s="2"/>
      <c r="N67" s="7">
        <f t="shared" si="15"/>
        <v>-0.46265333333333336</v>
      </c>
      <c r="O67" s="11"/>
      <c r="P67" s="6">
        <v>5063.72</v>
      </c>
      <c r="Q67" s="2"/>
      <c r="R67" s="7">
        <f t="shared" si="16"/>
        <v>2.5617205547518347E-3</v>
      </c>
      <c r="S67" s="2"/>
      <c r="T67" s="6">
        <v>9000</v>
      </c>
      <c r="U67" s="2"/>
      <c r="V67" s="7">
        <f t="shared" si="17"/>
        <v>2.9489033683684899E-3</v>
      </c>
      <c r="W67" s="2"/>
      <c r="X67" s="6">
        <f t="shared" si="18"/>
        <v>-3936.2799999999997</v>
      </c>
      <c r="Y67" s="2"/>
      <c r="Z67" s="7">
        <f t="shared" si="19"/>
        <v>-0.43736444444444439</v>
      </c>
    </row>
    <row r="68" spans="1:26" s="27" customFormat="1" outlineLevel="1" collapsed="1" x14ac:dyDescent="0.25">
      <c r="A68" s="25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28142.829999999998</v>
      </c>
      <c r="E68" s="1"/>
      <c r="F68" s="5">
        <f t="shared" ref="F68:F78" si="20">IF(D$12=0,0,D68/D$12)</f>
        <v>2.669578497540801</v>
      </c>
      <c r="G68" s="1"/>
      <c r="H68" s="1">
        <f>SUM(OSRRefH22_1x_0)</f>
        <v>27031.434643692297</v>
      </c>
      <c r="I68" s="1"/>
      <c r="J68" s="5">
        <f t="shared" ref="J68:J78" si="21">IF(H$12=0,0,H68/H$12)</f>
        <v>1.0399105425749133</v>
      </c>
      <c r="K68" s="1"/>
      <c r="L68" s="1">
        <f t="shared" ref="L68:L78" si="22">+D68-H68</f>
        <v>1111.3953563077011</v>
      </c>
      <c r="M68" s="1"/>
      <c r="N68" s="5">
        <f t="shared" ref="N68:N78" si="23">IF(H68=0,0,L68/H68)</f>
        <v>4.1114923087037923E-2</v>
      </c>
      <c r="O68" s="13"/>
      <c r="P68" s="1">
        <f>SUM(OSRRefP22_1x_0)</f>
        <v>338965.84999999992</v>
      </c>
      <c r="Q68" s="1"/>
      <c r="R68" s="5">
        <f t="shared" ref="R68:R78" si="24">IF(P$12=0,0,P68/P$12)</f>
        <v>0.17148179308965086</v>
      </c>
      <c r="S68" s="1"/>
      <c r="T68" s="1">
        <f>SUM(OSRRefT22_1x_0)</f>
        <v>392375.53161800001</v>
      </c>
      <c r="U68" s="1"/>
      <c r="V68" s="5">
        <f t="shared" ref="V68:V78" si="25">IF(T$12=0,0,T68/T$12)</f>
        <v>0.12856416965041079</v>
      </c>
      <c r="W68" s="1"/>
      <c r="X68" s="1">
        <f t="shared" ref="X68:X78" si="26">+P68-T68</f>
        <v>-53409.68161800009</v>
      </c>
      <c r="Y68" s="1"/>
      <c r="Z68" s="5">
        <f t="shared" ref="Z68:Z78" si="27">IF(T68=0,0,X68/T68)</f>
        <v>-0.13611878752418605</v>
      </c>
    </row>
    <row r="69" spans="1:26" s="24" customFormat="1" hidden="1" outlineLevel="2" x14ac:dyDescent="0.25">
      <c r="A69" s="26"/>
      <c r="B69" s="11" t="str">
        <f>CONCATENATE("          ", "6001", " - ", "ADMINISTRATIVE SALARIES")</f>
        <v xml:space="preserve">          6001 - ADMINISTRATIVE SALARIES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>
        <v>-311.32</v>
      </c>
      <c r="Q69" s="2"/>
      <c r="R69" s="7">
        <f t="shared" si="24"/>
        <v>-1.5749584161552001E-4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-311.32</v>
      </c>
      <c r="Y69" s="2"/>
      <c r="Z69" s="7">
        <f t="shared" si="27"/>
        <v>0</v>
      </c>
    </row>
    <row r="70" spans="1:26" s="24" customFormat="1" hidden="1" outlineLevel="2" x14ac:dyDescent="0.25">
      <c r="A70" s="26"/>
      <c r="B70" s="11" t="str">
        <f>CONCATENATE("          ", "6002", " - ", "STAFF SALARIES")</f>
        <v xml:space="preserve">          6002 - STAFF SALARIES</v>
      </c>
      <c r="C70" s="11"/>
      <c r="D70" s="6">
        <v>18030.77</v>
      </c>
      <c r="E70" s="2"/>
      <c r="F70" s="7">
        <f t="shared" si="20"/>
        <v>1.7103665795552101</v>
      </c>
      <c r="G70" s="2"/>
      <c r="H70" s="6">
        <v>13107.2520636923</v>
      </c>
      <c r="I70" s="2"/>
      <c r="J70" s="7">
        <f t="shared" si="21"/>
        <v>0.5042414427826537</v>
      </c>
      <c r="K70" s="2"/>
      <c r="L70" s="6">
        <f t="shared" si="22"/>
        <v>4923.5179363077004</v>
      </c>
      <c r="M70" s="2"/>
      <c r="N70" s="7">
        <f t="shared" si="23"/>
        <v>0.37563311610875899</v>
      </c>
      <c r="O70" s="11"/>
      <c r="P70" s="6">
        <v>210246.3</v>
      </c>
      <c r="Q70" s="2"/>
      <c r="R70" s="7">
        <f t="shared" si="24"/>
        <v>0.1063629640403736</v>
      </c>
      <c r="S70" s="2"/>
      <c r="T70" s="6">
        <v>170394.276828</v>
      </c>
      <c r="U70" s="2"/>
      <c r="V70" s="7">
        <f t="shared" si="25"/>
        <v>5.5830695209866901E-2</v>
      </c>
      <c r="W70" s="2"/>
      <c r="X70" s="6">
        <f t="shared" si="26"/>
        <v>39852.023171999987</v>
      </c>
      <c r="Y70" s="2"/>
      <c r="Z70" s="7">
        <f t="shared" si="27"/>
        <v>0.23388123071896105</v>
      </c>
    </row>
    <row r="71" spans="1:26" s="24" customFormat="1" hidden="1" outlineLevel="2" x14ac:dyDescent="0.25">
      <c r="A71" s="26"/>
      <c r="B71" s="11" t="str">
        <f>CONCATENATE("          ", "6003", " - ", "STAFF HOURLY-9 MONTH")</f>
        <v xml:space="preserve">          6003 - STAFF HOURLY-9 MONTH</v>
      </c>
      <c r="C71" s="11"/>
      <c r="D71" s="6"/>
      <c r="E71" s="2"/>
      <c r="F71" s="7">
        <f t="shared" si="20"/>
        <v>0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0</v>
      </c>
      <c r="M71" s="2"/>
      <c r="N71" s="7">
        <f t="shared" si="23"/>
        <v>0</v>
      </c>
      <c r="O71" s="11"/>
      <c r="P71" s="6"/>
      <c r="Q71" s="2"/>
      <c r="R71" s="7">
        <f t="shared" si="24"/>
        <v>0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0</v>
      </c>
      <c r="Y71" s="2"/>
      <c r="Z71" s="7">
        <f t="shared" si="27"/>
        <v>0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6">
        <v>6138.5</v>
      </c>
      <c r="E72" s="2"/>
      <c r="F72" s="7">
        <f t="shared" si="20"/>
        <v>0.58228712631793633</v>
      </c>
      <c r="G72" s="2"/>
      <c r="H72" s="6">
        <v>5285.7500799999998</v>
      </c>
      <c r="I72" s="2"/>
      <c r="J72" s="7">
        <f t="shared" si="21"/>
        <v>0.20334500577056244</v>
      </c>
      <c r="K72" s="2"/>
      <c r="L72" s="6">
        <f t="shared" si="22"/>
        <v>852.7499200000002</v>
      </c>
      <c r="M72" s="2"/>
      <c r="N72" s="7">
        <f t="shared" si="23"/>
        <v>0.16132997343680697</v>
      </c>
      <c r="O72" s="11"/>
      <c r="P72" s="6">
        <v>80583.929999999993</v>
      </c>
      <c r="Q72" s="2"/>
      <c r="R72" s="7">
        <f t="shared" si="24"/>
        <v>4.0767165219183325E-2</v>
      </c>
      <c r="S72" s="2"/>
      <c r="T72" s="6">
        <v>68714.751040000003</v>
      </c>
      <c r="U72" s="2"/>
      <c r="V72" s="7">
        <f t="shared" si="25"/>
        <v>2.2514795644273132E-2</v>
      </c>
      <c r="W72" s="2"/>
      <c r="X72" s="6">
        <f t="shared" si="26"/>
        <v>11869.17895999999</v>
      </c>
      <c r="Y72" s="2"/>
      <c r="Z72" s="7">
        <f t="shared" si="27"/>
        <v>0.17273116442044217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6">
        <v>3881.44</v>
      </c>
      <c r="E73" s="2"/>
      <c r="F73" s="7">
        <f t="shared" si="20"/>
        <v>0.36818645329893146</v>
      </c>
      <c r="G73" s="2"/>
      <c r="H73" s="6">
        <v>3942.12</v>
      </c>
      <c r="I73" s="2"/>
      <c r="J73" s="7">
        <f t="shared" si="21"/>
        <v>0.15165499730707085</v>
      </c>
      <c r="K73" s="2"/>
      <c r="L73" s="6">
        <f t="shared" si="22"/>
        <v>-60.679999999999836</v>
      </c>
      <c r="M73" s="2"/>
      <c r="N73" s="7">
        <f t="shared" si="23"/>
        <v>-1.5392732844256348E-2</v>
      </c>
      <c r="O73" s="11"/>
      <c r="P73" s="6">
        <v>21436.6</v>
      </c>
      <c r="Q73" s="2"/>
      <c r="R73" s="7">
        <f t="shared" si="24"/>
        <v>1.0844710774686035E-2</v>
      </c>
      <c r="S73" s="2"/>
      <c r="T73" s="6">
        <v>43415.76</v>
      </c>
      <c r="U73" s="2"/>
      <c r="V73" s="7">
        <f t="shared" si="25"/>
        <v>1.4225431211586438E-2</v>
      </c>
      <c r="W73" s="2"/>
      <c r="X73" s="6">
        <f t="shared" si="26"/>
        <v>-21979.160000000003</v>
      </c>
      <c r="Y73" s="2"/>
      <c r="Z73" s="7">
        <f t="shared" si="27"/>
        <v>-0.5062484222319269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0"/>
        <v>0</v>
      </c>
      <c r="G74" s="2"/>
      <c r="H74" s="6">
        <v>0</v>
      </c>
      <c r="I74" s="2"/>
      <c r="J74" s="7">
        <f t="shared" si="21"/>
        <v>0</v>
      </c>
      <c r="K74" s="2"/>
      <c r="L74" s="6">
        <f t="shared" si="22"/>
        <v>0</v>
      </c>
      <c r="M74" s="2"/>
      <c r="N74" s="7">
        <f t="shared" si="23"/>
        <v>0</v>
      </c>
      <c r="O74" s="11"/>
      <c r="P74" s="6">
        <v>914.04</v>
      </c>
      <c r="Q74" s="2"/>
      <c r="R74" s="7">
        <f t="shared" si="24"/>
        <v>4.6241005740154799E-4</v>
      </c>
      <c r="S74" s="2"/>
      <c r="T74" s="6">
        <v>0</v>
      </c>
      <c r="U74" s="2"/>
      <c r="V74" s="7">
        <f t="shared" si="25"/>
        <v>0</v>
      </c>
      <c r="W74" s="2"/>
      <c r="X74" s="6">
        <f t="shared" si="26"/>
        <v>914.04</v>
      </c>
      <c r="Y74" s="2"/>
      <c r="Z74" s="7">
        <f t="shared" si="27"/>
        <v>0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6">
        <v>92.12</v>
      </c>
      <c r="E75" s="2"/>
      <c r="F75" s="7">
        <f t="shared" si="20"/>
        <v>8.7383383687233522E-3</v>
      </c>
      <c r="G75" s="2"/>
      <c r="H75" s="6">
        <v>4696.3125</v>
      </c>
      <c r="I75" s="2"/>
      <c r="J75" s="7">
        <f t="shared" si="21"/>
        <v>0.18066909671462644</v>
      </c>
      <c r="K75" s="2"/>
      <c r="L75" s="6">
        <f t="shared" si="22"/>
        <v>-4604.1925000000001</v>
      </c>
      <c r="M75" s="2"/>
      <c r="N75" s="7">
        <f t="shared" si="23"/>
        <v>-0.98038461026603319</v>
      </c>
      <c r="O75" s="11"/>
      <c r="P75" s="6">
        <v>25129.040000000001</v>
      </c>
      <c r="Q75" s="2"/>
      <c r="R75" s="7">
        <f t="shared" si="24"/>
        <v>1.2712704946004329E-2</v>
      </c>
      <c r="S75" s="2"/>
      <c r="T75" s="6">
        <v>34091.050000000003</v>
      </c>
      <c r="U75" s="2"/>
      <c r="V75" s="7">
        <f t="shared" si="25"/>
        <v>1.1170134686246513E-2</v>
      </c>
      <c r="W75" s="2"/>
      <c r="X75" s="6">
        <f t="shared" si="26"/>
        <v>-8962.010000000002</v>
      </c>
      <c r="Y75" s="2"/>
      <c r="Z75" s="7">
        <f t="shared" si="27"/>
        <v>-0.26288454007723439</v>
      </c>
    </row>
    <row r="76" spans="1:26" s="24" customFormat="1" hidden="1" outlineLevel="2" x14ac:dyDescent="0.25">
      <c r="A76" s="26"/>
      <c r="B76" s="11" t="str">
        <f>CONCATENATE("          ", "6008", " - ", "STUDENT HOURLY-FICA EXEMPT")</f>
        <v xml:space="preserve">          6008 - STUDENT HOURLY-FICA EXEMPT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>
        <v>967.26</v>
      </c>
      <c r="Q76" s="2"/>
      <c r="R76" s="7">
        <f t="shared" si="24"/>
        <v>4.8933389361758932E-4</v>
      </c>
      <c r="S76" s="2"/>
      <c r="T76" s="6">
        <v>75759.693750000006</v>
      </c>
      <c r="U76" s="2"/>
      <c r="V76" s="7">
        <f t="shared" si="25"/>
        <v>2.4823112898437805E-2</v>
      </c>
      <c r="W76" s="2"/>
      <c r="X76" s="6">
        <f t="shared" si="26"/>
        <v>-74792.433750000011</v>
      </c>
      <c r="Y76" s="2"/>
      <c r="Z76" s="7">
        <f t="shared" si="27"/>
        <v>-0.9872325249466839</v>
      </c>
    </row>
    <row r="77" spans="1:26" s="24" customFormat="1" hidden="1" outlineLevel="2" x14ac:dyDescent="0.25">
      <c r="A77" s="26"/>
      <c r="B77" s="11" t="str">
        <f>CONCATENATE("          ", "6009", " - ", "TEMPORARY-SEASONAL")</f>
        <v xml:space="preserve">          6009 - TEMPORARY-SEASONAL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0</v>
      </c>
      <c r="U77" s="2"/>
      <c r="V77" s="7">
        <f t="shared" si="25"/>
        <v>0</v>
      </c>
      <c r="W77" s="2"/>
      <c r="X77" s="6">
        <f t="shared" si="26"/>
        <v>0</v>
      </c>
      <c r="Y77" s="2"/>
      <c r="Z77" s="7">
        <f t="shared" si="27"/>
        <v>0</v>
      </c>
    </row>
    <row r="78" spans="1:26" s="24" customFormat="1" hidden="1" outlineLevel="2" x14ac:dyDescent="0.25">
      <c r="A78" s="26"/>
      <c r="B78" s="11" t="str">
        <f>CONCATENATE("          ", "6010", " - ", "GRATUITY")</f>
        <v xml:space="preserve">          6010 - GRATUITY</v>
      </c>
      <c r="C78" s="11"/>
      <c r="D78" s="6"/>
      <c r="E78" s="2"/>
      <c r="F78" s="7">
        <f t="shared" si="20"/>
        <v>0</v>
      </c>
      <c r="G78" s="2"/>
      <c r="H78" s="6">
        <v>0</v>
      </c>
      <c r="I78" s="2"/>
      <c r="J78" s="7">
        <f t="shared" si="21"/>
        <v>0</v>
      </c>
      <c r="K78" s="2"/>
      <c r="L78" s="6">
        <f t="shared" si="22"/>
        <v>0</v>
      </c>
      <c r="M78" s="2"/>
      <c r="N78" s="7">
        <f t="shared" si="23"/>
        <v>0</v>
      </c>
      <c r="O78" s="11"/>
      <c r="P78" s="6"/>
      <c r="Q78" s="2"/>
      <c r="R78" s="7">
        <f t="shared" si="24"/>
        <v>0</v>
      </c>
      <c r="S78" s="2"/>
      <c r="T78" s="6">
        <v>0</v>
      </c>
      <c r="U78" s="2"/>
      <c r="V78" s="7">
        <f t="shared" si="25"/>
        <v>0</v>
      </c>
      <c r="W78" s="2"/>
      <c r="X78" s="6">
        <f t="shared" si="26"/>
        <v>0</v>
      </c>
      <c r="Y78" s="2"/>
      <c r="Z78" s="7">
        <f t="shared" si="27"/>
        <v>0</v>
      </c>
    </row>
    <row r="79" spans="1:26" s="27" customFormat="1" outlineLevel="1" collapsed="1" x14ac:dyDescent="0.25">
      <c r="A79" s="25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0</v>
      </c>
      <c r="E79" s="1"/>
      <c r="F79" s="5">
        <f t="shared" ref="F79:F83" si="28">IF(D$12=0,0,D79/D$12)</f>
        <v>0</v>
      </c>
      <c r="G79" s="1"/>
      <c r="H79" s="1">
        <f>SUM(OSRRefH22_2x_0)</f>
        <v>100</v>
      </c>
      <c r="I79" s="1"/>
      <c r="J79" s="5">
        <f t="shared" ref="J79:J83" si="29">IF(H$12=0,0,H79/H$12)</f>
        <v>3.8470416249903822E-3</v>
      </c>
      <c r="K79" s="1"/>
      <c r="L79" s="1">
        <f t="shared" ref="L79:L83" si="30">+D79-H79</f>
        <v>-100</v>
      </c>
      <c r="M79" s="1"/>
      <c r="N79" s="5">
        <f t="shared" ref="N79:N83" si="31">IF(H79=0,0,L79/H79)</f>
        <v>-1</v>
      </c>
      <c r="O79" s="13"/>
      <c r="P79" s="1">
        <f>SUM(OSRRefP22_2x_0)</f>
        <v>2380.9899999999998</v>
      </c>
      <c r="Q79" s="1"/>
      <c r="R79" s="5">
        <f t="shared" ref="R79:R83" si="32">IF(P$12=0,0,P79/P$12)</f>
        <v>1.2045356030069927E-3</v>
      </c>
      <c r="S79" s="1"/>
      <c r="T79" s="1">
        <f>SUM(OSRRefT22_2x_0)</f>
        <v>3000</v>
      </c>
      <c r="U79" s="1"/>
      <c r="V79" s="5">
        <f t="shared" ref="V79:V83" si="33">IF(T$12=0,0,T79/T$12)</f>
        <v>9.8296778945616316E-4</v>
      </c>
      <c r="W79" s="1"/>
      <c r="X79" s="1">
        <f t="shared" ref="X79:X83" si="34">+P79-T79</f>
        <v>-619.01000000000022</v>
      </c>
      <c r="Y79" s="1"/>
      <c r="Z79" s="5">
        <f t="shared" ref="Z79:Z83" si="35">IF(T79=0,0,X79/T79)</f>
        <v>-0.20633666666666675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6"/>
      <c r="E80" s="2"/>
      <c r="F80" s="7">
        <f t="shared" si="28"/>
        <v>0</v>
      </c>
      <c r="G80" s="2"/>
      <c r="H80" s="6">
        <v>100</v>
      </c>
      <c r="I80" s="2"/>
      <c r="J80" s="7">
        <f t="shared" si="29"/>
        <v>3.8470416249903822E-3</v>
      </c>
      <c r="K80" s="2"/>
      <c r="L80" s="6">
        <f t="shared" si="30"/>
        <v>-100</v>
      </c>
      <c r="M80" s="2"/>
      <c r="N80" s="7">
        <f t="shared" si="31"/>
        <v>-1</v>
      </c>
      <c r="O80" s="11"/>
      <c r="P80" s="6">
        <v>2380.9899999999998</v>
      </c>
      <c r="Q80" s="2"/>
      <c r="R80" s="7">
        <f t="shared" si="32"/>
        <v>1.2045356030069927E-3</v>
      </c>
      <c r="S80" s="2"/>
      <c r="T80" s="6">
        <v>3000</v>
      </c>
      <c r="U80" s="2"/>
      <c r="V80" s="7">
        <f t="shared" si="33"/>
        <v>9.8296778945616316E-4</v>
      </c>
      <c r="W80" s="2"/>
      <c r="X80" s="6">
        <f t="shared" si="34"/>
        <v>-619.01000000000022</v>
      </c>
      <c r="Y80" s="2"/>
      <c r="Z80" s="7">
        <f t="shared" si="35"/>
        <v>-0.20633666666666675</v>
      </c>
    </row>
    <row r="81" spans="1:26" s="27" customFormat="1" outlineLevel="1" collapsed="1" x14ac:dyDescent="0.25">
      <c r="A81" s="25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28"/>
        <v>0</v>
      </c>
      <c r="G81" s="1"/>
      <c r="H81" s="1">
        <f>SUM(OSRRefH22_3x_0)</f>
        <v>1200</v>
      </c>
      <c r="I81" s="1"/>
      <c r="J81" s="5">
        <f t="shared" si="29"/>
        <v>4.616449949988459E-2</v>
      </c>
      <c r="K81" s="1"/>
      <c r="L81" s="1">
        <f t="shared" si="30"/>
        <v>-1200</v>
      </c>
      <c r="M81" s="1"/>
      <c r="N81" s="5">
        <f t="shared" si="31"/>
        <v>-1</v>
      </c>
      <c r="O81" s="13"/>
      <c r="P81" s="1">
        <f>SUM(OSRRefP22_3x_0)</f>
        <v>0</v>
      </c>
      <c r="Q81" s="1"/>
      <c r="R81" s="5">
        <f t="shared" si="32"/>
        <v>0</v>
      </c>
      <c r="S81" s="1"/>
      <c r="T81" s="1">
        <f>SUM(OSRRefT22_3x_0)</f>
        <v>20000</v>
      </c>
      <c r="U81" s="1"/>
      <c r="V81" s="5">
        <f t="shared" si="33"/>
        <v>6.5531185963744213E-3</v>
      </c>
      <c r="W81" s="1"/>
      <c r="X81" s="1">
        <f t="shared" si="34"/>
        <v>-20000</v>
      </c>
      <c r="Y81" s="1"/>
      <c r="Z81" s="5">
        <f t="shared" si="35"/>
        <v>-1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6">
        <v>0</v>
      </c>
      <c r="E82" s="2"/>
      <c r="F82" s="7">
        <f t="shared" si="28"/>
        <v>0</v>
      </c>
      <c r="G82" s="2"/>
      <c r="H82" s="6">
        <v>1200</v>
      </c>
      <c r="I82" s="2"/>
      <c r="J82" s="7">
        <f t="shared" si="29"/>
        <v>4.616449949988459E-2</v>
      </c>
      <c r="K82" s="2"/>
      <c r="L82" s="6">
        <f t="shared" si="30"/>
        <v>-1200</v>
      </c>
      <c r="M82" s="2"/>
      <c r="N82" s="7">
        <f t="shared" si="31"/>
        <v>-1</v>
      </c>
      <c r="O82" s="11"/>
      <c r="P82" s="6">
        <v>0</v>
      </c>
      <c r="Q82" s="2"/>
      <c r="R82" s="7">
        <f t="shared" si="32"/>
        <v>0</v>
      </c>
      <c r="S82" s="2"/>
      <c r="T82" s="6">
        <v>20000</v>
      </c>
      <c r="U82" s="2"/>
      <c r="V82" s="7">
        <f t="shared" si="33"/>
        <v>6.5531185963744213E-3</v>
      </c>
      <c r="W82" s="2"/>
      <c r="X82" s="6">
        <f t="shared" si="34"/>
        <v>-20000</v>
      </c>
      <c r="Y82" s="2"/>
      <c r="Z82" s="7">
        <f t="shared" si="35"/>
        <v>-1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28"/>
        <v>0</v>
      </c>
      <c r="G83" s="2"/>
      <c r="H83" s="6"/>
      <c r="I83" s="2"/>
      <c r="J83" s="7">
        <f t="shared" si="29"/>
        <v>0</v>
      </c>
      <c r="K83" s="2"/>
      <c r="L83" s="6">
        <f t="shared" si="30"/>
        <v>0</v>
      </c>
      <c r="M83" s="2"/>
      <c r="N83" s="7">
        <f t="shared" si="31"/>
        <v>0</v>
      </c>
      <c r="O83" s="11"/>
      <c r="P83" s="6">
        <v>0</v>
      </c>
      <c r="Q83" s="2"/>
      <c r="R83" s="7">
        <f t="shared" si="32"/>
        <v>0</v>
      </c>
      <c r="S83" s="2"/>
      <c r="T83" s="6"/>
      <c r="U83" s="2"/>
      <c r="V83" s="7">
        <f t="shared" si="33"/>
        <v>0</v>
      </c>
      <c r="W83" s="2"/>
      <c r="X83" s="6">
        <f t="shared" si="34"/>
        <v>0</v>
      </c>
      <c r="Y83" s="2"/>
      <c r="Z83" s="7">
        <f t="shared" si="35"/>
        <v>0</v>
      </c>
    </row>
    <row r="84" spans="1:26" s="27" customFormat="1" outlineLevel="1" collapsed="1" x14ac:dyDescent="0.25">
      <c r="A84" s="25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6">IF(D$12=0,0,D84/D$12)</f>
        <v>0</v>
      </c>
      <c r="G84" s="1"/>
      <c r="H84" s="1">
        <f>SUM(OSRRefH22_4x_0)</f>
        <v>75</v>
      </c>
      <c r="I84" s="1"/>
      <c r="J84" s="5">
        <f t="shared" ref="J84:J90" si="37">IF(H$12=0,0,H84/H$12)</f>
        <v>2.8852812187427869E-3</v>
      </c>
      <c r="K84" s="1"/>
      <c r="L84" s="1">
        <f t="shared" ref="L84:L90" si="38">+D84-H84</f>
        <v>-75</v>
      </c>
      <c r="M84" s="1"/>
      <c r="N84" s="5">
        <f t="shared" ref="N84:N90" si="39">IF(H84=0,0,L84/H84)</f>
        <v>-1</v>
      </c>
      <c r="O84" s="13"/>
      <c r="P84" s="1">
        <f>SUM(OSRRefP22_4x_0)</f>
        <v>107.7</v>
      </c>
      <c r="Q84" s="1"/>
      <c r="R84" s="5">
        <f t="shared" ref="R84:R90" si="40">IF(P$12=0,0,P84/P$12)</f>
        <v>5.4485102601797214E-5</v>
      </c>
      <c r="S84" s="1"/>
      <c r="T84" s="1">
        <f>SUM(OSRRefT22_4x_0)</f>
        <v>900</v>
      </c>
      <c r="U84" s="1"/>
      <c r="V84" s="5">
        <f t="shared" ref="V84:V90" si="41">IF(T$12=0,0,T84/T$12)</f>
        <v>2.9489033683684896E-4</v>
      </c>
      <c r="W84" s="1"/>
      <c r="X84" s="1">
        <f t="shared" ref="X84:X90" si="42">+P84-T84</f>
        <v>-792.3</v>
      </c>
      <c r="Y84" s="1"/>
      <c r="Z84" s="5">
        <f t="shared" ref="Z84:Z90" si="43">IF(T84=0,0,X84/T84)</f>
        <v>-0.8803333333333333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6"/>
        <v>0</v>
      </c>
      <c r="G85" s="2"/>
      <c r="H85" s="6">
        <v>75</v>
      </c>
      <c r="I85" s="2"/>
      <c r="J85" s="7">
        <f t="shared" si="37"/>
        <v>2.8852812187427869E-3</v>
      </c>
      <c r="K85" s="2"/>
      <c r="L85" s="6">
        <f t="shared" si="38"/>
        <v>-75</v>
      </c>
      <c r="M85" s="2"/>
      <c r="N85" s="7">
        <f t="shared" si="39"/>
        <v>-1</v>
      </c>
      <c r="O85" s="11"/>
      <c r="P85" s="6">
        <v>107.7</v>
      </c>
      <c r="Q85" s="2"/>
      <c r="R85" s="7">
        <f t="shared" si="40"/>
        <v>5.4485102601797214E-5</v>
      </c>
      <c r="S85" s="2"/>
      <c r="T85" s="6">
        <v>900</v>
      </c>
      <c r="U85" s="2"/>
      <c r="V85" s="7">
        <f t="shared" si="41"/>
        <v>2.9489033683684896E-4</v>
      </c>
      <c r="W85" s="2"/>
      <c r="X85" s="6">
        <f t="shared" si="42"/>
        <v>-792.3</v>
      </c>
      <c r="Y85" s="2"/>
      <c r="Z85" s="7">
        <f t="shared" si="43"/>
        <v>-0.8803333333333333</v>
      </c>
    </row>
    <row r="86" spans="1:26" s="27" customFormat="1" outlineLevel="1" collapsed="1" x14ac:dyDescent="0.25">
      <c r="A86" s="25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6"/>
        <v>8.6567603075303201E-3</v>
      </c>
      <c r="G86" s="1"/>
      <c r="H86" s="1">
        <f>SUM(OSRRefH22_5x_0)</f>
        <v>100</v>
      </c>
      <c r="I86" s="1"/>
      <c r="J86" s="5">
        <f t="shared" si="37"/>
        <v>3.8470416249903822E-3</v>
      </c>
      <c r="K86" s="1"/>
      <c r="L86" s="1">
        <f t="shared" si="38"/>
        <v>-8.7399999999999949</v>
      </c>
      <c r="M86" s="1"/>
      <c r="N86" s="5">
        <f t="shared" si="39"/>
        <v>-8.739999999999995E-2</v>
      </c>
      <c r="O86" s="13"/>
      <c r="P86" s="1">
        <f>SUM(OSRRefP22_5x_0)</f>
        <v>1095.1199999999999</v>
      </c>
      <c r="Q86" s="1"/>
      <c r="R86" s="5">
        <f t="shared" si="40"/>
        <v>5.540178789348204E-4</v>
      </c>
      <c r="S86" s="1"/>
      <c r="T86" s="1">
        <f>SUM(OSRRefT22_5x_0)</f>
        <v>1200</v>
      </c>
      <c r="U86" s="1"/>
      <c r="V86" s="5">
        <f t="shared" si="41"/>
        <v>3.931871157824653E-4</v>
      </c>
      <c r="W86" s="1"/>
      <c r="X86" s="1">
        <f t="shared" si="42"/>
        <v>-104.88000000000011</v>
      </c>
      <c r="Y86" s="1"/>
      <c r="Z86" s="5">
        <f t="shared" si="43"/>
        <v>-8.7400000000000089E-2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6">
        <v>91.26</v>
      </c>
      <c r="E87" s="2"/>
      <c r="F87" s="7">
        <f t="shared" si="36"/>
        <v>8.6567603075303201E-3</v>
      </c>
      <c r="G87" s="2"/>
      <c r="H87" s="6">
        <v>100</v>
      </c>
      <c r="I87" s="2"/>
      <c r="J87" s="7">
        <f t="shared" si="37"/>
        <v>3.8470416249903822E-3</v>
      </c>
      <c r="K87" s="2"/>
      <c r="L87" s="6">
        <f t="shared" si="38"/>
        <v>-8.7399999999999949</v>
      </c>
      <c r="M87" s="2"/>
      <c r="N87" s="7">
        <f t="shared" si="39"/>
        <v>-8.739999999999995E-2</v>
      </c>
      <c r="O87" s="11"/>
      <c r="P87" s="6">
        <v>1095.1199999999999</v>
      </c>
      <c r="Q87" s="2"/>
      <c r="R87" s="7">
        <f t="shared" si="40"/>
        <v>5.540178789348204E-4</v>
      </c>
      <c r="S87" s="2"/>
      <c r="T87" s="6">
        <v>1200</v>
      </c>
      <c r="U87" s="2"/>
      <c r="V87" s="7">
        <f t="shared" si="41"/>
        <v>3.931871157824653E-4</v>
      </c>
      <c r="W87" s="2"/>
      <c r="X87" s="6">
        <f t="shared" si="42"/>
        <v>-104.88000000000011</v>
      </c>
      <c r="Y87" s="2"/>
      <c r="Z87" s="7">
        <f t="shared" si="43"/>
        <v>-8.7400000000000089E-2</v>
      </c>
    </row>
    <row r="88" spans="1:26" s="27" customFormat="1" outlineLevel="1" collapsed="1" x14ac:dyDescent="0.25">
      <c r="A88" s="25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0</v>
      </c>
      <c r="E88" s="1"/>
      <c r="F88" s="5">
        <f t="shared" si="36"/>
        <v>0</v>
      </c>
      <c r="G88" s="1"/>
      <c r="H88" s="1">
        <f>SUM(OSRRefH22_6x_0)</f>
        <v>1000</v>
      </c>
      <c r="I88" s="1"/>
      <c r="J88" s="5">
        <f t="shared" si="37"/>
        <v>3.8470416249903827E-2</v>
      </c>
      <c r="K88" s="1"/>
      <c r="L88" s="1">
        <f t="shared" si="38"/>
        <v>-1000</v>
      </c>
      <c r="M88" s="1"/>
      <c r="N88" s="5">
        <f t="shared" si="39"/>
        <v>-1</v>
      </c>
      <c r="O88" s="13"/>
      <c r="P88" s="1">
        <f>SUM(OSRRefP22_6x_0)</f>
        <v>26453.74</v>
      </c>
      <c r="Q88" s="1"/>
      <c r="R88" s="5">
        <f t="shared" si="40"/>
        <v>1.3382866649036833E-2</v>
      </c>
      <c r="S88" s="1"/>
      <c r="T88" s="1">
        <f>SUM(OSRRefT22_6x_0)</f>
        <v>25000</v>
      </c>
      <c r="U88" s="1"/>
      <c r="V88" s="5">
        <f t="shared" si="41"/>
        <v>8.1913982454680269E-3</v>
      </c>
      <c r="W88" s="1"/>
      <c r="X88" s="1">
        <f t="shared" si="42"/>
        <v>1453.7400000000016</v>
      </c>
      <c r="Y88" s="1"/>
      <c r="Z88" s="5">
        <f t="shared" si="43"/>
        <v>5.8149600000000065E-2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6"/>
      <c r="E89" s="2"/>
      <c r="F89" s="7">
        <f t="shared" si="36"/>
        <v>0</v>
      </c>
      <c r="G89" s="2"/>
      <c r="H89" s="6">
        <v>1000</v>
      </c>
      <c r="I89" s="2"/>
      <c r="J89" s="7">
        <f t="shared" si="37"/>
        <v>3.8470416249903827E-2</v>
      </c>
      <c r="K89" s="2"/>
      <c r="L89" s="6">
        <f t="shared" si="38"/>
        <v>-1000</v>
      </c>
      <c r="M89" s="2"/>
      <c r="N89" s="7">
        <f t="shared" si="39"/>
        <v>-1</v>
      </c>
      <c r="O89" s="11"/>
      <c r="P89" s="6">
        <v>26453.24</v>
      </c>
      <c r="Q89" s="2"/>
      <c r="R89" s="7">
        <f t="shared" si="40"/>
        <v>1.3382613700556788E-2</v>
      </c>
      <c r="S89" s="2"/>
      <c r="T89" s="6">
        <v>25000</v>
      </c>
      <c r="U89" s="2"/>
      <c r="V89" s="7">
        <f t="shared" si="41"/>
        <v>8.1913982454680269E-3</v>
      </c>
      <c r="W89" s="2"/>
      <c r="X89" s="6">
        <f t="shared" si="42"/>
        <v>1453.2400000000016</v>
      </c>
      <c r="Y89" s="2"/>
      <c r="Z89" s="7">
        <f t="shared" si="43"/>
        <v>5.8129600000000066E-2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6"/>
      <c r="E90" s="2"/>
      <c r="F90" s="7">
        <f t="shared" si="36"/>
        <v>0</v>
      </c>
      <c r="G90" s="2"/>
      <c r="H90" s="6"/>
      <c r="I90" s="2"/>
      <c r="J90" s="7">
        <f t="shared" si="37"/>
        <v>0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>
        <v>0.5</v>
      </c>
      <c r="Q90" s="2"/>
      <c r="R90" s="7">
        <f t="shared" si="40"/>
        <v>2.5294848004548381E-7</v>
      </c>
      <c r="S90" s="2"/>
      <c r="T90" s="6"/>
      <c r="U90" s="2"/>
      <c r="V90" s="7">
        <f t="shared" si="41"/>
        <v>0</v>
      </c>
      <c r="W90" s="2"/>
      <c r="X90" s="6">
        <f t="shared" si="42"/>
        <v>0.5</v>
      </c>
      <c r="Y90" s="2"/>
      <c r="Z90" s="7">
        <f t="shared" si="43"/>
        <v>0</v>
      </c>
    </row>
    <row r="91" spans="1:26" s="27" customFormat="1" outlineLevel="1" collapsed="1" x14ac:dyDescent="0.25">
      <c r="A91" s="25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-3391.74</v>
      </c>
      <c r="E91" s="1"/>
      <c r="F91" s="5">
        <f t="shared" ref="F91:F93" si="44">IF(D$12=0,0,D91/D$12)</f>
        <v>-0.32173438752424816</v>
      </c>
      <c r="G91" s="1"/>
      <c r="H91" s="1">
        <f>SUM(OSRRefH22_7x_0)</f>
        <v>0</v>
      </c>
      <c r="I91" s="1"/>
      <c r="J91" s="5">
        <f t="shared" ref="J91:J93" si="45">IF(H$12=0,0,H91/H$12)</f>
        <v>0</v>
      </c>
      <c r="K91" s="1"/>
      <c r="L91" s="1">
        <f t="shared" ref="L91:L93" si="46">+D91-H91</f>
        <v>-3391.74</v>
      </c>
      <c r="M91" s="1"/>
      <c r="N91" s="5">
        <f t="shared" ref="N91:N93" si="47">IF(H91=0,0,L91/H91)</f>
        <v>0</v>
      </c>
      <c r="O91" s="13"/>
      <c r="P91" s="1">
        <f>SUM(OSRRefP22_7x_0)</f>
        <v>-4434.76</v>
      </c>
      <c r="Q91" s="1"/>
      <c r="R91" s="5">
        <f t="shared" ref="R91:R93" si="48">IF(P$12=0,0,P91/P$12)</f>
        <v>-2.2435316027330197E-3</v>
      </c>
      <c r="S91" s="1"/>
      <c r="T91" s="1">
        <f>SUM(OSRRefT22_7x_0)</f>
        <v>2750</v>
      </c>
      <c r="U91" s="1"/>
      <c r="V91" s="5">
        <f t="shared" ref="V91:V93" si="49">IF(T$12=0,0,T91/T$12)</f>
        <v>9.0105380700148297E-4</v>
      </c>
      <c r="W91" s="1"/>
      <c r="X91" s="1">
        <f t="shared" ref="X91:X93" si="50">+P91-T91</f>
        <v>-7184.76</v>
      </c>
      <c r="Y91" s="1"/>
      <c r="Z91" s="5">
        <f t="shared" ref="Z91:Z93" si="51">IF(T91=0,0,X91/T91)</f>
        <v>-2.6126400000000003</v>
      </c>
    </row>
    <row r="92" spans="1:26" s="24" customFormat="1" hidden="1" outlineLevel="2" x14ac:dyDescent="0.25">
      <c r="A92" s="26"/>
      <c r="B92" s="11" t="str">
        <f>CONCATENATE("          ", "6269", " - ", "ENTERTAINMENT")</f>
        <v xml:space="preserve">          6269 - ENTERTAINMENT</v>
      </c>
      <c r="C92" s="11"/>
      <c r="D92" s="6"/>
      <c r="E92" s="2"/>
      <c r="F92" s="7">
        <f t="shared" si="44"/>
        <v>0</v>
      </c>
      <c r="G92" s="2"/>
      <c r="H92" s="6">
        <v>0</v>
      </c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2750</v>
      </c>
      <c r="U92" s="2"/>
      <c r="V92" s="7">
        <f t="shared" si="49"/>
        <v>9.0105380700148297E-4</v>
      </c>
      <c r="W92" s="2"/>
      <c r="X92" s="6">
        <f t="shared" si="50"/>
        <v>-2750</v>
      </c>
      <c r="Y92" s="2"/>
      <c r="Z92" s="7">
        <f t="shared" si="51"/>
        <v>-1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6">
        <v>-3391.74</v>
      </c>
      <c r="E93" s="2"/>
      <c r="F93" s="7">
        <f t="shared" si="44"/>
        <v>-0.32173438752424816</v>
      </c>
      <c r="G93" s="2"/>
      <c r="H93" s="6"/>
      <c r="I93" s="2"/>
      <c r="J93" s="7">
        <f t="shared" si="45"/>
        <v>0</v>
      </c>
      <c r="K93" s="2"/>
      <c r="L93" s="6">
        <f t="shared" si="46"/>
        <v>-3391.74</v>
      </c>
      <c r="M93" s="2"/>
      <c r="N93" s="7">
        <f t="shared" si="47"/>
        <v>0</v>
      </c>
      <c r="O93" s="11"/>
      <c r="P93" s="6">
        <v>-4434.76</v>
      </c>
      <c r="Q93" s="2"/>
      <c r="R93" s="7">
        <f t="shared" si="48"/>
        <v>-2.2435316027330197E-3</v>
      </c>
      <c r="S93" s="2"/>
      <c r="T93" s="6"/>
      <c r="U93" s="2"/>
      <c r="V93" s="7">
        <f t="shared" si="49"/>
        <v>0</v>
      </c>
      <c r="W93" s="2"/>
      <c r="X93" s="6">
        <f t="shared" si="50"/>
        <v>-4434.76</v>
      </c>
      <c r="Y93" s="2"/>
      <c r="Z93" s="7">
        <f t="shared" si="51"/>
        <v>0</v>
      </c>
    </row>
    <row r="94" spans="1:26" s="27" customFormat="1" outlineLevel="1" collapsed="1" x14ac:dyDescent="0.25">
      <c r="A94" s="25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-16000</v>
      </c>
      <c r="E94" s="1"/>
      <c r="F94" s="5">
        <f t="shared" ref="F94:F99" si="52">IF(D$12=0,0,D94/D$12)</f>
        <v>-1.5177313710331484</v>
      </c>
      <c r="G94" s="1"/>
      <c r="H94" s="1">
        <f>SUM(OSRRefH22_8x_0)</f>
        <v>44000</v>
      </c>
      <c r="I94" s="1"/>
      <c r="J94" s="5">
        <f t="shared" ref="J94:J99" si="53">IF(H$12=0,0,H94/H$12)</f>
        <v>1.6926983149957682</v>
      </c>
      <c r="K94" s="1"/>
      <c r="L94" s="1">
        <f t="shared" ref="L94:L99" si="54">+D94-H94</f>
        <v>-60000</v>
      </c>
      <c r="M94" s="1"/>
      <c r="N94" s="5">
        <f t="shared" ref="N94:N99" si="55">IF(H94=0,0,L94/H94)</f>
        <v>-1.3636363636363635</v>
      </c>
      <c r="O94" s="13"/>
      <c r="P94" s="1">
        <f>SUM(OSRRefP22_8x_0)</f>
        <v>0</v>
      </c>
      <c r="Q94" s="1"/>
      <c r="R94" s="5">
        <f t="shared" ref="R94:R99" si="56">IF(P$12=0,0,P94/P$12)</f>
        <v>0</v>
      </c>
      <c r="S94" s="1"/>
      <c r="T94" s="1">
        <f>SUM(OSRRefT22_8x_0)</f>
        <v>60000</v>
      </c>
      <c r="U94" s="1"/>
      <c r="V94" s="5">
        <f t="shared" ref="V94:V99" si="57">IF(T$12=0,0,T94/T$12)</f>
        <v>1.9659355789123263E-2</v>
      </c>
      <c r="W94" s="1"/>
      <c r="X94" s="1">
        <f t="shared" ref="X94:X99" si="58">+P94-T94</f>
        <v>-60000</v>
      </c>
      <c r="Y94" s="1"/>
      <c r="Z94" s="5">
        <f t="shared" ref="Z94:Z99" si="59">IF(T94=0,0,X94/T94)</f>
        <v>-1</v>
      </c>
    </row>
    <row r="95" spans="1:26" s="24" customFormat="1" hidden="1" outlineLevel="2" x14ac:dyDescent="0.25">
      <c r="A95" s="26"/>
      <c r="B95" s="11" t="str">
        <f>CONCATENATE("          ", "6408", " - ", "INVENTORY ADJUSTMENT")</f>
        <v xml:space="preserve">          6408 - INVENTORY ADJUSTMENT</v>
      </c>
      <c r="C95" s="11"/>
      <c r="D95" s="6">
        <v>-16000</v>
      </c>
      <c r="E95" s="2"/>
      <c r="F95" s="7">
        <f t="shared" si="52"/>
        <v>-1.5177313710331484</v>
      </c>
      <c r="G95" s="2"/>
      <c r="H95" s="6">
        <v>44000</v>
      </c>
      <c r="I95" s="2"/>
      <c r="J95" s="7">
        <f t="shared" si="53"/>
        <v>1.6926983149957682</v>
      </c>
      <c r="K95" s="2"/>
      <c r="L95" s="6">
        <f t="shared" si="54"/>
        <v>-60000</v>
      </c>
      <c r="M95" s="2"/>
      <c r="N95" s="7">
        <f t="shared" si="55"/>
        <v>-1.3636363636363635</v>
      </c>
      <c r="O95" s="11"/>
      <c r="P95" s="6">
        <v>0</v>
      </c>
      <c r="Q95" s="2"/>
      <c r="R95" s="7">
        <f t="shared" si="56"/>
        <v>0</v>
      </c>
      <c r="S95" s="2"/>
      <c r="T95" s="6">
        <v>60000</v>
      </c>
      <c r="U95" s="2"/>
      <c r="V95" s="7">
        <f t="shared" si="57"/>
        <v>1.9659355789123263E-2</v>
      </c>
      <c r="W95" s="2"/>
      <c r="X95" s="6">
        <f t="shared" si="58"/>
        <v>-60000</v>
      </c>
      <c r="Y95" s="2"/>
      <c r="Z95" s="7">
        <f t="shared" si="59"/>
        <v>-1</v>
      </c>
    </row>
    <row r="96" spans="1:26" s="27" customFormat="1" outlineLevel="1" collapsed="1" x14ac:dyDescent="0.25">
      <c r="A96" s="25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10.35</v>
      </c>
      <c r="E96" s="1"/>
      <c r="F96" s="5">
        <f t="shared" si="52"/>
        <v>9.8178248063706774E-4</v>
      </c>
      <c r="G96" s="1"/>
      <c r="H96" s="1">
        <f>SUM(OSRRefH22_9x_0)</f>
        <v>140</v>
      </c>
      <c r="I96" s="1"/>
      <c r="J96" s="5">
        <f t="shared" si="53"/>
        <v>5.3858582749865356E-3</v>
      </c>
      <c r="K96" s="1"/>
      <c r="L96" s="1">
        <f t="shared" si="54"/>
        <v>-129.65</v>
      </c>
      <c r="M96" s="1"/>
      <c r="N96" s="5">
        <f t="shared" si="55"/>
        <v>-0.92607142857142866</v>
      </c>
      <c r="O96" s="13"/>
      <c r="P96" s="1">
        <f>SUM(OSRRefP22_9x_0)</f>
        <v>487.34000000000003</v>
      </c>
      <c r="Q96" s="1"/>
      <c r="R96" s="5">
        <f t="shared" si="56"/>
        <v>2.4654382453073216E-4</v>
      </c>
      <c r="S96" s="1"/>
      <c r="T96" s="1">
        <f>SUM(OSRRefT22_9x_0)</f>
        <v>13680</v>
      </c>
      <c r="U96" s="1"/>
      <c r="V96" s="5">
        <f t="shared" si="57"/>
        <v>4.482333119920104E-3</v>
      </c>
      <c r="W96" s="1"/>
      <c r="X96" s="1">
        <f t="shared" si="58"/>
        <v>-13192.66</v>
      </c>
      <c r="Y96" s="1"/>
      <c r="Z96" s="5">
        <f t="shared" si="59"/>
        <v>-0.96437573099415208</v>
      </c>
    </row>
    <row r="97" spans="1:26" s="24" customFormat="1" hidden="1" outlineLevel="2" x14ac:dyDescent="0.25">
      <c r="A97" s="26"/>
      <c r="B97" s="11" t="str">
        <f>CONCATENATE("          ", "6371", " - ", "COMPUTER SOFTWARE MAINTENANCE")</f>
        <v xml:space="preserve">          6371 - COMPUTER SOFTWARE MAINTENANCE</v>
      </c>
      <c r="C97" s="11"/>
      <c r="D97" s="6"/>
      <c r="E97" s="2"/>
      <c r="F97" s="7">
        <f t="shared" si="52"/>
        <v>0</v>
      </c>
      <c r="G97" s="2"/>
      <c r="H97" s="6"/>
      <c r="I97" s="2"/>
      <c r="J97" s="7">
        <f t="shared" si="53"/>
        <v>0</v>
      </c>
      <c r="K97" s="2"/>
      <c r="L97" s="6">
        <f t="shared" si="54"/>
        <v>0</v>
      </c>
      <c r="M97" s="2"/>
      <c r="N97" s="7">
        <f t="shared" si="55"/>
        <v>0</v>
      </c>
      <c r="O97" s="11"/>
      <c r="P97" s="6"/>
      <c r="Q97" s="2"/>
      <c r="R97" s="7">
        <f t="shared" si="56"/>
        <v>0</v>
      </c>
      <c r="S97" s="2"/>
      <c r="T97" s="6">
        <v>12000</v>
      </c>
      <c r="U97" s="2"/>
      <c r="V97" s="7">
        <f t="shared" si="57"/>
        <v>3.9318711578246526E-3</v>
      </c>
      <c r="W97" s="2"/>
      <c r="X97" s="6">
        <f t="shared" si="58"/>
        <v>-12000</v>
      </c>
      <c r="Y97" s="2"/>
      <c r="Z97" s="7">
        <f t="shared" si="59"/>
        <v>-1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6">
        <v>10.35</v>
      </c>
      <c r="E98" s="2"/>
      <c r="F98" s="7">
        <f t="shared" si="52"/>
        <v>9.8178248063706774E-4</v>
      </c>
      <c r="G98" s="2"/>
      <c r="H98" s="6">
        <v>40</v>
      </c>
      <c r="I98" s="2"/>
      <c r="J98" s="7">
        <f t="shared" si="53"/>
        <v>1.538816649996153E-3</v>
      </c>
      <c r="K98" s="2"/>
      <c r="L98" s="6">
        <f t="shared" si="54"/>
        <v>-29.65</v>
      </c>
      <c r="M98" s="2"/>
      <c r="N98" s="7">
        <f t="shared" si="55"/>
        <v>-0.74124999999999996</v>
      </c>
      <c r="O98" s="11"/>
      <c r="P98" s="6">
        <v>229.83</v>
      </c>
      <c r="Q98" s="2"/>
      <c r="R98" s="7">
        <f t="shared" si="56"/>
        <v>1.1627029833770709E-4</v>
      </c>
      <c r="S98" s="2"/>
      <c r="T98" s="6">
        <v>480</v>
      </c>
      <c r="U98" s="2"/>
      <c r="V98" s="7">
        <f t="shared" si="57"/>
        <v>1.5727484631298611E-4</v>
      </c>
      <c r="W98" s="2"/>
      <c r="X98" s="6">
        <f t="shared" si="58"/>
        <v>-250.17</v>
      </c>
      <c r="Y98" s="2"/>
      <c r="Z98" s="7">
        <f t="shared" si="59"/>
        <v>-0.52118750000000003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6"/>
      <c r="E99" s="2"/>
      <c r="F99" s="7">
        <f t="shared" si="52"/>
        <v>0</v>
      </c>
      <c r="G99" s="2"/>
      <c r="H99" s="6">
        <v>100</v>
      </c>
      <c r="I99" s="2"/>
      <c r="J99" s="7">
        <f t="shared" si="53"/>
        <v>3.8470416249903822E-3</v>
      </c>
      <c r="K99" s="2"/>
      <c r="L99" s="6">
        <f t="shared" si="54"/>
        <v>-100</v>
      </c>
      <c r="M99" s="2"/>
      <c r="N99" s="7">
        <f t="shared" si="55"/>
        <v>-1</v>
      </c>
      <c r="O99" s="11"/>
      <c r="P99" s="6">
        <v>257.51</v>
      </c>
      <c r="Q99" s="2"/>
      <c r="R99" s="7">
        <f t="shared" si="56"/>
        <v>1.3027352619302506E-4</v>
      </c>
      <c r="S99" s="2"/>
      <c r="T99" s="6">
        <v>1200</v>
      </c>
      <c r="U99" s="2"/>
      <c r="V99" s="7">
        <f t="shared" si="57"/>
        <v>3.931871157824653E-4</v>
      </c>
      <c r="W99" s="2"/>
      <c r="X99" s="6">
        <f t="shared" si="58"/>
        <v>-942.49</v>
      </c>
      <c r="Y99" s="2"/>
      <c r="Z99" s="7">
        <f t="shared" si="59"/>
        <v>-0.78540833333333337</v>
      </c>
    </row>
    <row r="100" spans="1:26" s="27" customFormat="1" outlineLevel="1" collapsed="1" x14ac:dyDescent="0.25">
      <c r="A100" s="25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-911</v>
      </c>
      <c r="E100" s="1"/>
      <c r="F100" s="5">
        <f t="shared" ref="F100:F102" si="60">IF(D$12=0,0,D100/D$12)</f>
        <v>-8.6415829938199878E-2</v>
      </c>
      <c r="G100" s="1"/>
      <c r="H100" s="1">
        <f>SUM(OSRRefH22_10x_0)</f>
        <v>300</v>
      </c>
      <c r="I100" s="1"/>
      <c r="J100" s="5">
        <f t="shared" ref="J100:J102" si="61">IF(H$12=0,0,H100/H$12)</f>
        <v>1.1541124874971147E-2</v>
      </c>
      <c r="K100" s="1"/>
      <c r="L100" s="1">
        <f t="shared" ref="L100:L102" si="62">+D100-H100</f>
        <v>-1211</v>
      </c>
      <c r="M100" s="1"/>
      <c r="N100" s="5">
        <f t="shared" ref="N100:N102" si="63">IF(H100=0,0,L100/H100)</f>
        <v>-4.0366666666666671</v>
      </c>
      <c r="O100" s="13"/>
      <c r="P100" s="1">
        <f>SUM(OSRRefP22_10x_0)</f>
        <v>4298.66</v>
      </c>
      <c r="Q100" s="1"/>
      <c r="R100" s="5">
        <f t="shared" ref="R100:R102" si="64">IF(P$12=0,0,P100/P$12)</f>
        <v>2.1746790264646387E-3</v>
      </c>
      <c r="S100" s="1"/>
      <c r="T100" s="1">
        <f>SUM(OSRRefT22_10x_0)</f>
        <v>5400</v>
      </c>
      <c r="U100" s="1"/>
      <c r="V100" s="5">
        <f t="shared" ref="V100:V102" si="65">IF(T$12=0,0,T100/T$12)</f>
        <v>1.7693420210210939E-3</v>
      </c>
      <c r="W100" s="1"/>
      <c r="X100" s="1">
        <f t="shared" ref="X100:X102" si="66">+P100-T100</f>
        <v>-1101.3400000000001</v>
      </c>
      <c r="Y100" s="1"/>
      <c r="Z100" s="5">
        <f t="shared" ref="Z100:Z102" si="67">IF(T100=0,0,X100/T100)</f>
        <v>-0.20395185185185188</v>
      </c>
    </row>
    <row r="101" spans="1:26" s="24" customFormat="1" hidden="1" outlineLevel="2" x14ac:dyDescent="0.25">
      <c r="A101" s="26"/>
      <c r="B101" s="11" t="str">
        <f>CONCATENATE("          ", "6258", " - ", "MEMBERSHIP DUES")</f>
        <v xml:space="preserve">          6258 - MEMBERSHIP DUES</v>
      </c>
      <c r="C101" s="11"/>
      <c r="D101" s="6">
        <v>-911</v>
      </c>
      <c r="E101" s="2"/>
      <c r="F101" s="7">
        <f t="shared" si="60"/>
        <v>-8.6415829938199878E-2</v>
      </c>
      <c r="G101" s="2"/>
      <c r="H101" s="6">
        <v>300</v>
      </c>
      <c r="I101" s="2"/>
      <c r="J101" s="7">
        <f t="shared" si="61"/>
        <v>1.1541124874971147E-2</v>
      </c>
      <c r="K101" s="2"/>
      <c r="L101" s="6">
        <f t="shared" si="62"/>
        <v>-1211</v>
      </c>
      <c r="M101" s="2"/>
      <c r="N101" s="7">
        <f t="shared" si="63"/>
        <v>-4.0366666666666671</v>
      </c>
      <c r="O101" s="11"/>
      <c r="P101" s="6">
        <v>2446.58</v>
      </c>
      <c r="Q101" s="2"/>
      <c r="R101" s="7">
        <f t="shared" si="64"/>
        <v>1.2377173846193595E-3</v>
      </c>
      <c r="S101" s="2"/>
      <c r="T101" s="6">
        <v>3600</v>
      </c>
      <c r="U101" s="2"/>
      <c r="V101" s="7">
        <f t="shared" si="65"/>
        <v>1.1795613473473958E-3</v>
      </c>
      <c r="W101" s="2"/>
      <c r="X101" s="6">
        <f t="shared" si="66"/>
        <v>-1153.42</v>
      </c>
      <c r="Y101" s="2"/>
      <c r="Z101" s="7">
        <f t="shared" si="67"/>
        <v>-0.32039444444444448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6"/>
      <c r="E102" s="2"/>
      <c r="F102" s="7">
        <f t="shared" si="60"/>
        <v>0</v>
      </c>
      <c r="G102" s="2"/>
      <c r="H102" s="6"/>
      <c r="I102" s="2"/>
      <c r="J102" s="7">
        <f t="shared" si="61"/>
        <v>0</v>
      </c>
      <c r="K102" s="2"/>
      <c r="L102" s="6">
        <f t="shared" si="62"/>
        <v>0</v>
      </c>
      <c r="M102" s="2"/>
      <c r="N102" s="7">
        <f t="shared" si="63"/>
        <v>0</v>
      </c>
      <c r="O102" s="11"/>
      <c r="P102" s="6">
        <v>1852.08</v>
      </c>
      <c r="Q102" s="2"/>
      <c r="R102" s="7">
        <f t="shared" si="64"/>
        <v>9.3696164184527923E-4</v>
      </c>
      <c r="S102" s="2"/>
      <c r="T102" s="6">
        <v>1800</v>
      </c>
      <c r="U102" s="2"/>
      <c r="V102" s="7">
        <f t="shared" si="65"/>
        <v>5.8978067367369792E-4</v>
      </c>
      <c r="W102" s="2"/>
      <c r="X102" s="6">
        <f t="shared" si="66"/>
        <v>52.079999999999927</v>
      </c>
      <c r="Y102" s="2"/>
      <c r="Z102" s="7">
        <f t="shared" si="67"/>
        <v>2.8933333333333294E-2</v>
      </c>
    </row>
    <row r="103" spans="1:26" s="27" customFormat="1" outlineLevel="1" collapsed="1" x14ac:dyDescent="0.25">
      <c r="A103" s="25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238.34</v>
      </c>
      <c r="E103" s="1"/>
      <c r="F103" s="5">
        <f t="shared" ref="F103:F106" si="68">IF(D$12=0,0,D103/D$12)</f>
        <v>2.2608505935752535E-2</v>
      </c>
      <c r="G103" s="1"/>
      <c r="H103" s="1">
        <f>SUM(OSRRefH22_11x_0)</f>
        <v>700</v>
      </c>
      <c r="I103" s="1"/>
      <c r="J103" s="5">
        <f t="shared" ref="J103:J106" si="69">IF(H$12=0,0,H103/H$12)</f>
        <v>2.6929291374932676E-2</v>
      </c>
      <c r="K103" s="1"/>
      <c r="L103" s="1">
        <f t="shared" ref="L103:L106" si="70">+D103-H103</f>
        <v>-461.65999999999997</v>
      </c>
      <c r="M103" s="1"/>
      <c r="N103" s="5">
        <f t="shared" ref="N103:N106" si="71">IF(H103=0,0,L103/H103)</f>
        <v>-0.65951428571428572</v>
      </c>
      <c r="O103" s="13"/>
      <c r="P103" s="1">
        <f>SUM(OSRRefP22_11x_0)</f>
        <v>5604.71</v>
      </c>
      <c r="Q103" s="1"/>
      <c r="R103" s="5">
        <f t="shared" ref="R103:R106" si="72">IF(P$12=0,0,P103/P$12)</f>
        <v>2.8354057511914472E-3</v>
      </c>
      <c r="S103" s="1"/>
      <c r="T103" s="1">
        <f>SUM(OSRRefT22_11x_0)</f>
        <v>14000</v>
      </c>
      <c r="U103" s="1"/>
      <c r="V103" s="5">
        <f t="shared" ref="V103:V106" si="73">IF(T$12=0,0,T103/T$12)</f>
        <v>4.587183017462095E-3</v>
      </c>
      <c r="W103" s="1"/>
      <c r="X103" s="1">
        <f t="shared" ref="X103:X106" si="74">+P103-T103</f>
        <v>-8395.2900000000009</v>
      </c>
      <c r="Y103" s="1"/>
      <c r="Z103" s="5">
        <f t="shared" ref="Z103:Z106" si="75">IF(T103=0,0,X103/T103)</f>
        <v>-0.59966357142857152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6">
        <v>238.34</v>
      </c>
      <c r="E104" s="2"/>
      <c r="F104" s="7">
        <f t="shared" si="68"/>
        <v>2.2608505935752535E-2</v>
      </c>
      <c r="G104" s="2"/>
      <c r="H104" s="6">
        <v>200</v>
      </c>
      <c r="I104" s="2"/>
      <c r="J104" s="7">
        <f t="shared" si="69"/>
        <v>7.6940832499807644E-3</v>
      </c>
      <c r="K104" s="2"/>
      <c r="L104" s="6">
        <f t="shared" si="70"/>
        <v>38.340000000000003</v>
      </c>
      <c r="M104" s="2"/>
      <c r="N104" s="7">
        <f t="shared" si="71"/>
        <v>0.19170000000000001</v>
      </c>
      <c r="O104" s="11"/>
      <c r="P104" s="6">
        <v>1863.09</v>
      </c>
      <c r="Q104" s="2"/>
      <c r="R104" s="7">
        <f t="shared" si="72"/>
        <v>9.4253156737588079E-4</v>
      </c>
      <c r="S104" s="2"/>
      <c r="T104" s="6">
        <v>4700</v>
      </c>
      <c r="U104" s="2"/>
      <c r="V104" s="7">
        <f t="shared" si="73"/>
        <v>1.5399828701479891E-3</v>
      </c>
      <c r="W104" s="2"/>
      <c r="X104" s="6">
        <f t="shared" si="74"/>
        <v>-2836.91</v>
      </c>
      <c r="Y104" s="2"/>
      <c r="Z104" s="7">
        <f t="shared" si="75"/>
        <v>-0.6035978723404255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68"/>
        <v>0</v>
      </c>
      <c r="G105" s="2"/>
      <c r="H105" s="6">
        <v>100</v>
      </c>
      <c r="I105" s="2"/>
      <c r="J105" s="7">
        <f t="shared" si="69"/>
        <v>3.8470416249903822E-3</v>
      </c>
      <c r="K105" s="2"/>
      <c r="L105" s="6">
        <f t="shared" si="70"/>
        <v>-100</v>
      </c>
      <c r="M105" s="2"/>
      <c r="N105" s="7">
        <f t="shared" si="71"/>
        <v>-1</v>
      </c>
      <c r="O105" s="11"/>
      <c r="P105" s="6"/>
      <c r="Q105" s="2"/>
      <c r="R105" s="7">
        <f t="shared" si="72"/>
        <v>0</v>
      </c>
      <c r="S105" s="2"/>
      <c r="T105" s="6">
        <v>2600</v>
      </c>
      <c r="U105" s="2"/>
      <c r="V105" s="7">
        <f t="shared" si="73"/>
        <v>8.5190541752867485E-4</v>
      </c>
      <c r="W105" s="2"/>
      <c r="X105" s="6">
        <f t="shared" si="74"/>
        <v>-2600</v>
      </c>
      <c r="Y105" s="2"/>
      <c r="Z105" s="7">
        <f t="shared" si="75"/>
        <v>-1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6"/>
      <c r="E106" s="2"/>
      <c r="F106" s="7">
        <f t="shared" si="68"/>
        <v>0</v>
      </c>
      <c r="G106" s="2"/>
      <c r="H106" s="6">
        <v>400</v>
      </c>
      <c r="I106" s="2"/>
      <c r="J106" s="7">
        <f t="shared" si="69"/>
        <v>1.5388166499961529E-2</v>
      </c>
      <c r="K106" s="2"/>
      <c r="L106" s="6">
        <f t="shared" si="70"/>
        <v>-400</v>
      </c>
      <c r="M106" s="2"/>
      <c r="N106" s="7">
        <f t="shared" si="71"/>
        <v>-1</v>
      </c>
      <c r="O106" s="11"/>
      <c r="P106" s="6">
        <v>3741.62</v>
      </c>
      <c r="Q106" s="2"/>
      <c r="R106" s="7">
        <f t="shared" si="72"/>
        <v>1.8928741838155662E-3</v>
      </c>
      <c r="S106" s="2"/>
      <c r="T106" s="6">
        <v>6700</v>
      </c>
      <c r="U106" s="2"/>
      <c r="V106" s="7">
        <f t="shared" si="73"/>
        <v>2.1952947297854313E-3</v>
      </c>
      <c r="W106" s="2"/>
      <c r="X106" s="6">
        <f t="shared" si="74"/>
        <v>-2958.38</v>
      </c>
      <c r="Y106" s="2"/>
      <c r="Z106" s="7">
        <f t="shared" si="75"/>
        <v>-0.44154925373134329</v>
      </c>
    </row>
    <row r="107" spans="1:26" s="27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721.2</v>
      </c>
      <c r="E107" s="1"/>
      <c r="F107" s="5">
        <f t="shared" ref="F107:F109" si="76">IF(D$12=0,0,D107/D$12)</f>
        <v>6.8411741549319158E-2</v>
      </c>
      <c r="G107" s="1"/>
      <c r="H107" s="1">
        <f>SUM(OSRRefH22_12x_0)</f>
        <v>600</v>
      </c>
      <c r="I107" s="1"/>
      <c r="J107" s="5">
        <f t="shared" ref="J107:J109" si="77">IF(H$12=0,0,H107/H$12)</f>
        <v>2.3082249749942295E-2</v>
      </c>
      <c r="K107" s="1"/>
      <c r="L107" s="1">
        <f t="shared" ref="L107:L109" si="78">+D107-H107</f>
        <v>121.20000000000005</v>
      </c>
      <c r="M107" s="1"/>
      <c r="N107" s="5">
        <f t="shared" ref="N107:N109" si="79">IF(H107=0,0,L107/H107)</f>
        <v>0.20200000000000007</v>
      </c>
      <c r="O107" s="13"/>
      <c r="P107" s="1">
        <f>SUM(OSRRefP22_12x_0)</f>
        <v>9470.9</v>
      </c>
      <c r="Q107" s="1"/>
      <c r="R107" s="5">
        <f t="shared" ref="R107:R109" si="80">IF(P$12=0,0,P107/P$12)</f>
        <v>4.791299519325545E-3</v>
      </c>
      <c r="S107" s="1"/>
      <c r="T107" s="1">
        <f>SUM(OSRRefT22_12x_0)</f>
        <v>9500</v>
      </c>
      <c r="U107" s="1"/>
      <c r="V107" s="5">
        <f t="shared" ref="V107:V109" si="81">IF(T$12=0,0,T107/T$12)</f>
        <v>3.1127313332778503E-3</v>
      </c>
      <c r="W107" s="1"/>
      <c r="X107" s="1">
        <f t="shared" ref="X107:X109" si="82">+P107-T107</f>
        <v>-29.100000000000364</v>
      </c>
      <c r="Y107" s="1"/>
      <c r="Z107" s="5">
        <f t="shared" ref="Z107:Z109" si="83">IF(T107=0,0,X107/T107)</f>
        <v>-3.0631578947368805E-3</v>
      </c>
    </row>
    <row r="108" spans="1:26" s="24" customFormat="1" hidden="1" outlineLevel="2" x14ac:dyDescent="0.25">
      <c r="A108" s="26"/>
      <c r="B108" s="11" t="str">
        <f>CONCATENATE("          ", "6303", " - ", "DATA PHONE LINES")</f>
        <v xml:space="preserve">          6303 - DATA PHONE LINES</v>
      </c>
      <c r="C108" s="11"/>
      <c r="D108" s="6"/>
      <c r="E108" s="2"/>
      <c r="F108" s="7">
        <f t="shared" si="76"/>
        <v>0</v>
      </c>
      <c r="G108" s="2"/>
      <c r="H108" s="6">
        <v>300</v>
      </c>
      <c r="I108" s="2"/>
      <c r="J108" s="7">
        <f t="shared" si="77"/>
        <v>1.1541124874971147E-2</v>
      </c>
      <c r="K108" s="2"/>
      <c r="L108" s="6">
        <f t="shared" si="78"/>
        <v>-300</v>
      </c>
      <c r="M108" s="2"/>
      <c r="N108" s="7">
        <f t="shared" si="79"/>
        <v>-1</v>
      </c>
      <c r="O108" s="11"/>
      <c r="P108" s="6">
        <v>3540</v>
      </c>
      <c r="Q108" s="2"/>
      <c r="R108" s="7">
        <f t="shared" si="80"/>
        <v>1.7908752387220254E-3</v>
      </c>
      <c r="S108" s="2"/>
      <c r="T108" s="6">
        <v>3600</v>
      </c>
      <c r="U108" s="2"/>
      <c r="V108" s="7">
        <f t="shared" si="81"/>
        <v>1.1795613473473958E-3</v>
      </c>
      <c r="W108" s="2"/>
      <c r="X108" s="6">
        <f t="shared" si="82"/>
        <v>-60</v>
      </c>
      <c r="Y108" s="2"/>
      <c r="Z108" s="7">
        <f t="shared" si="83"/>
        <v>-1.6666666666666666E-2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6">
        <v>721.2</v>
      </c>
      <c r="E109" s="2"/>
      <c r="F109" s="7">
        <f t="shared" si="76"/>
        <v>6.8411741549319158E-2</v>
      </c>
      <c r="G109" s="2"/>
      <c r="H109" s="6">
        <v>300</v>
      </c>
      <c r="I109" s="2"/>
      <c r="J109" s="7">
        <f t="shared" si="77"/>
        <v>1.1541124874971147E-2</v>
      </c>
      <c r="K109" s="2"/>
      <c r="L109" s="6">
        <f t="shared" si="78"/>
        <v>421.20000000000005</v>
      </c>
      <c r="M109" s="2"/>
      <c r="N109" s="7">
        <f t="shared" si="79"/>
        <v>1.4040000000000001</v>
      </c>
      <c r="O109" s="11"/>
      <c r="P109" s="6">
        <v>5930.9</v>
      </c>
      <c r="Q109" s="2"/>
      <c r="R109" s="7">
        <f t="shared" si="80"/>
        <v>3.0004242806035194E-3</v>
      </c>
      <c r="S109" s="2"/>
      <c r="T109" s="6">
        <v>5900</v>
      </c>
      <c r="U109" s="2"/>
      <c r="V109" s="7">
        <f t="shared" si="81"/>
        <v>1.9331699859304545E-3</v>
      </c>
      <c r="W109" s="2"/>
      <c r="X109" s="6">
        <f t="shared" si="82"/>
        <v>30.899999999999636</v>
      </c>
      <c r="Y109" s="2"/>
      <c r="Z109" s="7">
        <f t="shared" si="83"/>
        <v>5.2372881355931588E-3</v>
      </c>
    </row>
    <row r="110" spans="1:26" s="27" customFormat="1" outlineLevel="1" collapsed="1" x14ac:dyDescent="0.25">
      <c r="A110" s="25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84">IF(D$12=0,0,D110/D$12)</f>
        <v>0</v>
      </c>
      <c r="G110" s="1"/>
      <c r="H110" s="1">
        <f>SUM(OSRRefH22_13x_0)</f>
        <v>0</v>
      </c>
      <c r="I110" s="1"/>
      <c r="J110" s="5">
        <f t="shared" ref="J110:J113" si="85">IF(H$12=0,0,H110/H$12)</f>
        <v>0</v>
      </c>
      <c r="K110" s="1"/>
      <c r="L110" s="1">
        <f t="shared" ref="L110:L113" si="86">+D110-H110</f>
        <v>0</v>
      </c>
      <c r="M110" s="1"/>
      <c r="N110" s="5">
        <f t="shared" ref="N110:N113" si="87">IF(H110=0,0,L110/H110)</f>
        <v>0</v>
      </c>
      <c r="O110" s="13"/>
      <c r="P110" s="1">
        <f>SUM(OSRRefP22_13x_0)</f>
        <v>0</v>
      </c>
      <c r="Q110" s="1"/>
      <c r="R110" s="5">
        <f t="shared" ref="R110:R113" si="88">IF(P$12=0,0,P110/P$12)</f>
        <v>0</v>
      </c>
      <c r="S110" s="1"/>
      <c r="T110" s="1">
        <f>SUM(OSRRefT22_13x_0)</f>
        <v>5000</v>
      </c>
      <c r="U110" s="1"/>
      <c r="V110" s="5">
        <f t="shared" ref="V110:V113" si="89">IF(T$12=0,0,T110/T$12)</f>
        <v>1.6382796490936053E-3</v>
      </c>
      <c r="W110" s="1"/>
      <c r="X110" s="1">
        <f t="shared" ref="X110:X113" si="90">+P110-T110</f>
        <v>-5000</v>
      </c>
      <c r="Y110" s="1"/>
      <c r="Z110" s="5">
        <f t="shared" ref="Z110:Z113" si="91">IF(T110=0,0,X110/T110)</f>
        <v>-1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84"/>
        <v>0</v>
      </c>
      <c r="G111" s="2"/>
      <c r="H111" s="6"/>
      <c r="I111" s="2"/>
      <c r="J111" s="7">
        <f t="shared" si="85"/>
        <v>0</v>
      </c>
      <c r="K111" s="2"/>
      <c r="L111" s="6">
        <f t="shared" si="86"/>
        <v>0</v>
      </c>
      <c r="M111" s="2"/>
      <c r="N111" s="7">
        <f t="shared" si="87"/>
        <v>0</v>
      </c>
      <c r="O111" s="11"/>
      <c r="P111" s="6"/>
      <c r="Q111" s="2"/>
      <c r="R111" s="7">
        <f t="shared" si="88"/>
        <v>0</v>
      </c>
      <c r="S111" s="2"/>
      <c r="T111" s="6">
        <v>5000</v>
      </c>
      <c r="U111" s="2"/>
      <c r="V111" s="7">
        <f t="shared" si="89"/>
        <v>1.6382796490936053E-3</v>
      </c>
      <c r="W111" s="2"/>
      <c r="X111" s="6">
        <f t="shared" si="90"/>
        <v>-5000</v>
      </c>
      <c r="Y111" s="2"/>
      <c r="Z111" s="7">
        <f t="shared" si="91"/>
        <v>-1</v>
      </c>
    </row>
    <row r="112" spans="1:26" s="27" customFormat="1" outlineLevel="1" collapsed="1" x14ac:dyDescent="0.25">
      <c r="A112" s="25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4"/>
        <v>0</v>
      </c>
      <c r="G112" s="1"/>
      <c r="H112" s="1">
        <f>SUM(OSRRefH22_14x_0)</f>
        <v>0</v>
      </c>
      <c r="I112" s="1"/>
      <c r="J112" s="5">
        <f t="shared" si="85"/>
        <v>0</v>
      </c>
      <c r="K112" s="1"/>
      <c r="L112" s="1">
        <f t="shared" si="86"/>
        <v>0</v>
      </c>
      <c r="M112" s="1"/>
      <c r="N112" s="5">
        <f t="shared" si="87"/>
        <v>0</v>
      </c>
      <c r="O112" s="13"/>
      <c r="P112" s="1">
        <f>SUM(OSRRefP22_14x_0)</f>
        <v>0.16</v>
      </c>
      <c r="Q112" s="1"/>
      <c r="R112" s="5">
        <f t="shared" si="88"/>
        <v>8.0943513614554822E-8</v>
      </c>
      <c r="S112" s="1"/>
      <c r="T112" s="1">
        <f>SUM(OSRRefT22_14x_0)</f>
        <v>0</v>
      </c>
      <c r="U112" s="1"/>
      <c r="V112" s="5">
        <f t="shared" si="89"/>
        <v>0</v>
      </c>
      <c r="W112" s="1"/>
      <c r="X112" s="1">
        <f t="shared" si="90"/>
        <v>0.16</v>
      </c>
      <c r="Y112" s="1"/>
      <c r="Z112" s="5">
        <f t="shared" si="91"/>
        <v>0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84"/>
        <v>0</v>
      </c>
      <c r="G113" s="2"/>
      <c r="H113" s="6"/>
      <c r="I113" s="2"/>
      <c r="J113" s="7">
        <f t="shared" si="85"/>
        <v>0</v>
      </c>
      <c r="K113" s="2"/>
      <c r="L113" s="6">
        <f t="shared" si="86"/>
        <v>0</v>
      </c>
      <c r="M113" s="2"/>
      <c r="N113" s="7">
        <f t="shared" si="87"/>
        <v>0</v>
      </c>
      <c r="O113" s="11"/>
      <c r="P113" s="6">
        <v>0.16</v>
      </c>
      <c r="Q113" s="2"/>
      <c r="R113" s="7">
        <f t="shared" si="88"/>
        <v>8.0943513614554822E-8</v>
      </c>
      <c r="S113" s="2"/>
      <c r="T113" s="6"/>
      <c r="U113" s="2"/>
      <c r="V113" s="7">
        <f t="shared" si="89"/>
        <v>0</v>
      </c>
      <c r="W113" s="2"/>
      <c r="X113" s="6">
        <f t="shared" si="90"/>
        <v>0.16</v>
      </c>
      <c r="Y113" s="2"/>
      <c r="Z113" s="7">
        <f t="shared" si="91"/>
        <v>0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293</v>
      </c>
      <c r="C115" s="10"/>
      <c r="D115" s="4">
        <f>SUM(OSRRefD25x_0)</f>
        <v>-78.120000000000118</v>
      </c>
      <c r="E115" s="4"/>
      <c r="F115" s="12">
        <f t="shared" ref="F115:F118" si="92">IF(D$12=0,0,D115/D$12)</f>
        <v>-7.4103234190693581E-3</v>
      </c>
      <c r="G115" s="4"/>
      <c r="H115" s="4">
        <f>SUM(OSRRefH25x_0)</f>
        <v>3100</v>
      </c>
      <c r="I115" s="4"/>
      <c r="J115" s="12">
        <f t="shared" ref="J115:J118" si="93">IF(H$12=0,0,H115/H$12)</f>
        <v>0.11925829037470186</v>
      </c>
      <c r="K115" s="4"/>
      <c r="L115" s="4">
        <f t="shared" ref="L115:L118" si="94">+D115-H115</f>
        <v>-3178.12</v>
      </c>
      <c r="M115" s="4"/>
      <c r="N115" s="12">
        <f t="shared" ref="N115:N118" si="95">IF(H115=0,0,L115/H115)</f>
        <v>-1.0251999999999999</v>
      </c>
      <c r="O115" s="10"/>
      <c r="P115" s="4">
        <f>SUM(OSRRefP25x_0)</f>
        <v>334238.96000000002</v>
      </c>
      <c r="Q115" s="4"/>
      <c r="R115" s="12">
        <f t="shared" ref="R115:R118" si="96">IF(P$12=0,0,P115/P$12)</f>
        <v>0.16909047380796652</v>
      </c>
      <c r="S115" s="4"/>
      <c r="T115" s="4">
        <f>SUM(OSRRefT25x_0)</f>
        <v>206180</v>
      </c>
      <c r="U115" s="4"/>
      <c r="V115" s="12">
        <f t="shared" ref="V115:V118" si="97">IF(T$12=0,0,T115/T$12)</f>
        <v>6.7556099610023915E-2</v>
      </c>
      <c r="W115" s="4"/>
      <c r="X115" s="4">
        <f t="shared" ref="X115:X118" si="98">+P115-T115</f>
        <v>128058.96000000002</v>
      </c>
      <c r="Y115" s="4"/>
      <c r="Z115" s="12">
        <f t="shared" ref="Z115:Z118" si="99">IF(T115=0,0,X115/T115)</f>
        <v>0.62110272577359604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-1833.66</f>
        <v>-1833.66</v>
      </c>
      <c r="E116" s="2"/>
      <c r="F116" s="19">
        <f t="shared" si="92"/>
        <v>-0.17393770661304017</v>
      </c>
      <c r="G116" s="2"/>
      <c r="H116" s="2">
        <v>1600</v>
      </c>
      <c r="I116" s="2"/>
      <c r="J116" s="19">
        <f t="shared" si="93"/>
        <v>6.1552665999846115E-2</v>
      </c>
      <c r="K116" s="2"/>
      <c r="L116" s="2">
        <f t="shared" si="94"/>
        <v>-3433.66</v>
      </c>
      <c r="M116" s="2"/>
      <c r="N116" s="19">
        <f t="shared" si="95"/>
        <v>-2.1460374999999998</v>
      </c>
      <c r="O116" s="11"/>
      <c r="P116" s="2">
        <f>--31202.39</f>
        <v>31202.39</v>
      </c>
      <c r="Q116" s="2"/>
      <c r="R116" s="19">
        <f t="shared" si="96"/>
        <v>1.5785194248572807E-2</v>
      </c>
      <c r="S116" s="2"/>
      <c r="T116" s="2">
        <v>33600</v>
      </c>
      <c r="U116" s="2"/>
      <c r="V116" s="19">
        <f t="shared" si="97"/>
        <v>1.1009239241909028E-2</v>
      </c>
      <c r="W116" s="2"/>
      <c r="X116" s="2">
        <f t="shared" si="98"/>
        <v>-2397.6100000000006</v>
      </c>
      <c r="Y116" s="2"/>
      <c r="Z116" s="19">
        <f t="shared" si="99"/>
        <v>-7.1357440476190498E-2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0</f>
        <v>0</v>
      </c>
      <c r="E117" s="2"/>
      <c r="F117" s="19">
        <f t="shared" si="92"/>
        <v>0</v>
      </c>
      <c r="G117" s="2"/>
      <c r="H117" s="2">
        <v>1500</v>
      </c>
      <c r="I117" s="2"/>
      <c r="J117" s="19">
        <f t="shared" si="93"/>
        <v>5.7705624374855734E-2</v>
      </c>
      <c r="K117" s="2"/>
      <c r="L117" s="2">
        <f t="shared" si="94"/>
        <v>-1500</v>
      </c>
      <c r="M117" s="2"/>
      <c r="N117" s="19">
        <f t="shared" si="95"/>
        <v>-1</v>
      </c>
      <c r="O117" s="11"/>
      <c r="P117" s="2">
        <f>--295628.46</f>
        <v>295628.46000000002</v>
      </c>
      <c r="Q117" s="2"/>
      <c r="R117" s="19">
        <f t="shared" si="96"/>
        <v>0.14955753923037421</v>
      </c>
      <c r="S117" s="2"/>
      <c r="T117" s="2">
        <v>172580</v>
      </c>
      <c r="U117" s="2"/>
      <c r="V117" s="19">
        <f t="shared" si="97"/>
        <v>5.6546860368114883E-2</v>
      </c>
      <c r="W117" s="2"/>
      <c r="X117" s="2">
        <f t="shared" si="98"/>
        <v>123048.46000000002</v>
      </c>
      <c r="Y117" s="2"/>
      <c r="Z117" s="19">
        <f t="shared" si="99"/>
        <v>0.71299374203268062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--1755.54</f>
        <v>1755.54</v>
      </c>
      <c r="E118" s="2"/>
      <c r="F118" s="19">
        <f t="shared" si="92"/>
        <v>0.16652738319397081</v>
      </c>
      <c r="G118" s="2"/>
      <c r="H118" s="2"/>
      <c r="I118" s="2"/>
      <c r="J118" s="19">
        <f t="shared" si="93"/>
        <v>0</v>
      </c>
      <c r="K118" s="2"/>
      <c r="L118" s="2">
        <f t="shared" si="94"/>
        <v>1755.54</v>
      </c>
      <c r="M118" s="2"/>
      <c r="N118" s="19">
        <f t="shared" si="95"/>
        <v>0</v>
      </c>
      <c r="O118" s="11"/>
      <c r="P118" s="2">
        <f>--7408.11</f>
        <v>7408.11</v>
      </c>
      <c r="Q118" s="2"/>
      <c r="R118" s="19">
        <f t="shared" si="96"/>
        <v>3.7477403290194977E-3</v>
      </c>
      <c r="S118" s="2"/>
      <c r="T118" s="2"/>
      <c r="U118" s="2"/>
      <c r="V118" s="19">
        <f t="shared" si="97"/>
        <v>0</v>
      </c>
      <c r="W118" s="2"/>
      <c r="X118" s="2">
        <f t="shared" si="98"/>
        <v>7408.11</v>
      </c>
      <c r="Y118" s="2"/>
      <c r="Z118" s="19">
        <f t="shared" si="99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277</v>
      </c>
      <c r="C120" s="28"/>
      <c r="D120" s="20">
        <f>+D54-D56+D115</f>
        <v>-83376.459999999963</v>
      </c>
      <c r="E120" s="14"/>
      <c r="F120" s="22">
        <f>IF(D$12=0,0,D120/D$12)</f>
        <v>-7.9089418092306492</v>
      </c>
      <c r="G120" s="14"/>
      <c r="H120" s="20">
        <f>+H54-H56+H115</f>
        <v>-76899.09217023653</v>
      </c>
      <c r="I120" s="14"/>
      <c r="J120" s="22">
        <f>IF(H$12=0,0,H120/H$12)</f>
        <v>-2.9583400850287194</v>
      </c>
      <c r="K120" s="16"/>
      <c r="L120" s="20">
        <f>+D120-H120</f>
        <v>-6477.3678297634324</v>
      </c>
      <c r="M120" s="16"/>
      <c r="N120" s="22">
        <f>IF(H120=0,0,L120/H120)</f>
        <v>8.4232045489224514E-2</v>
      </c>
      <c r="O120" s="29"/>
      <c r="P120" s="20">
        <f>+P54-P56+P115</f>
        <v>302770.14000000007</v>
      </c>
      <c r="Q120" s="14"/>
      <c r="R120" s="22">
        <f>IF(P$12=0,0,P120/P$12)</f>
        <v>0.1531704934323167</v>
      </c>
      <c r="S120" s="14"/>
      <c r="T120" s="20">
        <f>+T54-T56+T115</f>
        <v>336162.83919167495</v>
      </c>
      <c r="U120" s="14"/>
      <c r="V120" s="22">
        <f>IF(T$12=0,0,T120/T$12)</f>
        <v>0.11014574764584947</v>
      </c>
      <c r="W120" s="16"/>
      <c r="X120" s="20">
        <f>+P120-T120</f>
        <v>-33392.699191674881</v>
      </c>
      <c r="Y120" s="16"/>
      <c r="Z120" s="22">
        <f>IF(T120=0,0,X120/T120)</f>
        <v>-9.9334891601849162E-2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128</v>
      </c>
      <c r="C122" s="10"/>
      <c r="D122" s="4">
        <v>126989.85</v>
      </c>
      <c r="E122" s="4"/>
      <c r="F122" s="12">
        <f>IF(D$12=0,0,D122/D$12)</f>
        <v>12.046029946737116</v>
      </c>
      <c r="G122" s="4"/>
      <c r="H122" s="4">
        <v>-42926</v>
      </c>
      <c r="I122" s="4"/>
      <c r="J122" s="12">
        <f>IF(H$12=0,0,H122/H$12)</f>
        <v>-1.6513810879433715</v>
      </c>
      <c r="K122" s="4"/>
      <c r="L122" s="4">
        <f>+D122-H122</f>
        <v>169915.85</v>
      </c>
      <c r="M122" s="4"/>
      <c r="N122" s="12">
        <f>IF(H122=0,0,L122/H122)</f>
        <v>-3.958343428225318</v>
      </c>
      <c r="O122" s="10"/>
      <c r="P122" s="4">
        <v>547136.41</v>
      </c>
      <c r="Q122" s="4"/>
      <c r="R122" s="12">
        <f>IF(P$12=0,0,P122/P$12)</f>
        <v>0.27679464657408531</v>
      </c>
      <c r="S122" s="4"/>
      <c r="T122" s="4">
        <v>515719</v>
      </c>
      <c r="U122" s="4"/>
      <c r="V122" s="12">
        <f>IF(T$12=0,0,T122/T$12)</f>
        <v>0.16897838847018101</v>
      </c>
      <c r="W122" s="4"/>
      <c r="X122" s="4">
        <f>+P122-T122</f>
        <v>31417.410000000033</v>
      </c>
      <c r="Y122" s="4"/>
      <c r="Z122" s="12">
        <f>IF(T122=0,0,X122/T122)</f>
        <v>6.0919628712535381E-2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126</v>
      </c>
      <c r="C124" s="28"/>
      <c r="D124" s="34">
        <f>+D120-D122</f>
        <v>-210366.30999999997</v>
      </c>
      <c r="E124" s="14"/>
      <c r="F124" s="35">
        <f>IF(D$12=0,0,D124/D$12)</f>
        <v>-19.954971755967765</v>
      </c>
      <c r="G124" s="14"/>
      <c r="H124" s="34">
        <f>+H120-H122</f>
        <v>-33973.09217023653</v>
      </c>
      <c r="I124" s="14"/>
      <c r="J124" s="35">
        <f>IF(H$12=0,0,H124/H$12)</f>
        <v>-1.3069589970853477</v>
      </c>
      <c r="K124" s="16"/>
      <c r="L124" s="34">
        <f>D124-H124</f>
        <v>-176393.21782976342</v>
      </c>
      <c r="M124" s="16"/>
      <c r="N124" s="35">
        <f>IF(H124=0,0,L124/H124)</f>
        <v>5.1921449170970568</v>
      </c>
      <c r="O124" s="29"/>
      <c r="P124" s="34">
        <f>+P120-P122</f>
        <v>-244366.26999999996</v>
      </c>
      <c r="Q124" s="14"/>
      <c r="R124" s="35">
        <f>IF(P$12=0,0,P124/P$12)</f>
        <v>-0.1236241531417686</v>
      </c>
      <c r="S124" s="14"/>
      <c r="T124" s="34">
        <f>+T120-T122</f>
        <v>-179556.16080832505</v>
      </c>
      <c r="U124" s="14"/>
      <c r="V124" s="35">
        <f>IF(T$12=0,0,T124/T$12)</f>
        <v>-5.8832640824331546E-2</v>
      </c>
      <c r="W124" s="16"/>
      <c r="X124" s="34">
        <f>P124-T124</f>
        <v>-64810.109191674914</v>
      </c>
      <c r="Y124" s="16"/>
      <c r="Z124" s="35">
        <f>IF(T124=0,0,X124/T124)</f>
        <v>0.3609461736089315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294</v>
      </c>
      <c r="C127" s="28"/>
      <c r="D127" s="33">
        <f>SUM(D124:D126)</f>
        <v>-210366.30999999997</v>
      </c>
      <c r="E127" s="14"/>
      <c r="F127" s="31">
        <f>IF(D$12=0,0,D127/D$12)</f>
        <v>-19.954971755967765</v>
      </c>
      <c r="G127" s="14"/>
      <c r="H127" s="33">
        <f>SUM(H124:H126)</f>
        <v>-33973.09217023653</v>
      </c>
      <c r="I127" s="14"/>
      <c r="J127" s="31">
        <f>IF(H$12=0,0,H127/H$12)</f>
        <v>-1.3069589970853477</v>
      </c>
      <c r="K127" s="16"/>
      <c r="L127" s="33">
        <f>+D127-H127</f>
        <v>-176393.21782976342</v>
      </c>
      <c r="M127" s="16"/>
      <c r="N127" s="31">
        <f>IF(H127=0,0,L127/H127)</f>
        <v>5.1921449170970568</v>
      </c>
      <c r="O127" s="29"/>
      <c r="P127" s="33">
        <f>SUM(P124:P126)</f>
        <v>-244366.26999999996</v>
      </c>
      <c r="Q127" s="14"/>
      <c r="R127" s="31">
        <f>IF(P$12=0,0,P127/P$12)</f>
        <v>-0.1236241531417686</v>
      </c>
      <c r="S127" s="14"/>
      <c r="T127" s="33">
        <f>SUM(T124:T126)</f>
        <v>-179556.16080832505</v>
      </c>
      <c r="U127" s="14"/>
      <c r="V127" s="31">
        <f>IF(T$12=0,0,T127/T$12)</f>
        <v>-5.8832640824331546E-2</v>
      </c>
      <c r="W127" s="16"/>
      <c r="X127" s="33">
        <f>+P127-T127</f>
        <v>-64810.109191674914</v>
      </c>
      <c r="Y127" s="16"/>
      <c r="Z127" s="31">
        <f>IF(T127=0,0,X127/T127)</f>
        <v>0.3609461736089315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6">
        <v>44454.686112384261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5" t="s">
        <v>56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63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-6490.3100000000013</v>
      </c>
      <c r="E12" s="4"/>
      <c r="F12" s="12"/>
      <c r="G12" s="4"/>
      <c r="H12" s="4">
        <f>SUM(OSRRefH13x_0)</f>
        <v>-6482</v>
      </c>
      <c r="I12" s="4"/>
      <c r="J12" s="12"/>
      <c r="K12" s="4"/>
      <c r="L12" s="4">
        <f t="shared" ref="L12:L16" si="0">+D12-H12</f>
        <v>-8.3100000000013097</v>
      </c>
      <c r="M12" s="4"/>
      <c r="N12" s="12">
        <f t="shared" ref="N12:N16" si="1">IF(H12=0,0,L12/H12)</f>
        <v>1.2820117247765057E-3</v>
      </c>
      <c r="O12" s="10"/>
      <c r="P12" s="4">
        <f>SUM(OSRRefP13x_0)</f>
        <v>770695.04</v>
      </c>
      <c r="Q12" s="4"/>
      <c r="R12" s="12"/>
      <c r="S12" s="4"/>
      <c r="T12" s="4">
        <f>SUM(OSRRefT13x_0)</f>
        <v>1422802</v>
      </c>
      <c r="U12" s="4"/>
      <c r="V12" s="12"/>
      <c r="W12" s="4"/>
      <c r="X12" s="4">
        <f t="shared" ref="X12:X16" si="2">+P12-T12</f>
        <v>-652106.96</v>
      </c>
      <c r="Y12" s="4"/>
      <c r="Z12" s="12">
        <f t="shared" ref="Z12:Z16" si="3">IF(T12=0,0,X12/T12)</f>
        <v>-0.45832586684584359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-6482</v>
      </c>
      <c r="I13" s="2"/>
      <c r="J13" s="19"/>
      <c r="K13" s="2"/>
      <c r="L13" s="2">
        <f t="shared" si="0"/>
        <v>6482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1422802</v>
      </c>
      <c r="U13" s="2"/>
      <c r="V13" s="19"/>
      <c r="W13" s="2"/>
      <c r="X13" s="2">
        <f t="shared" si="2"/>
        <v>-1422802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--4340.19</f>
        <v>4340.1899999999996</v>
      </c>
      <c r="E14" s="2"/>
      <c r="F14" s="19"/>
      <c r="G14" s="2"/>
      <c r="H14" s="2"/>
      <c r="I14" s="2"/>
      <c r="J14" s="19"/>
      <c r="K14" s="2"/>
      <c r="L14" s="2">
        <f t="shared" si="0"/>
        <v>4340.1899999999996</v>
      </c>
      <c r="M14" s="2"/>
      <c r="N14" s="19">
        <f t="shared" si="1"/>
        <v>0</v>
      </c>
      <c r="O14" s="11"/>
      <c r="P14" s="2">
        <f>--274186.86</f>
        <v>274186.86</v>
      </c>
      <c r="Q14" s="2"/>
      <c r="R14" s="19"/>
      <c r="S14" s="2"/>
      <c r="T14" s="2"/>
      <c r="U14" s="2"/>
      <c r="V14" s="19"/>
      <c r="W14" s="2"/>
      <c r="X14" s="2">
        <f t="shared" si="2"/>
        <v>274186.86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--3656.7</f>
        <v>3656.7</v>
      </c>
      <c r="E15" s="2"/>
      <c r="F15" s="19"/>
      <c r="G15" s="2"/>
      <c r="H15" s="2"/>
      <c r="I15" s="2"/>
      <c r="J15" s="19"/>
      <c r="K15" s="2"/>
      <c r="L15" s="2">
        <f t="shared" si="0"/>
        <v>3656.7</v>
      </c>
      <c r="M15" s="2"/>
      <c r="N15" s="19">
        <f t="shared" si="1"/>
        <v>0</v>
      </c>
      <c r="O15" s="11"/>
      <c r="P15" s="2">
        <f>--233610.4</f>
        <v>233610.4</v>
      </c>
      <c r="Q15" s="2"/>
      <c r="R15" s="19"/>
      <c r="S15" s="2"/>
      <c r="T15" s="2"/>
      <c r="U15" s="2"/>
      <c r="V15" s="19"/>
      <c r="W15" s="2"/>
      <c r="X15" s="2">
        <f t="shared" si="2"/>
        <v>233610.4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-14487.2</f>
        <v>-14487.2</v>
      </c>
      <c r="E16" s="2"/>
      <c r="F16" s="19"/>
      <c r="G16" s="2"/>
      <c r="H16" s="2"/>
      <c r="I16" s="2"/>
      <c r="J16" s="19"/>
      <c r="K16" s="2"/>
      <c r="L16" s="2">
        <f t="shared" si="0"/>
        <v>-14487.2</v>
      </c>
      <c r="M16" s="2"/>
      <c r="N16" s="19">
        <f t="shared" si="1"/>
        <v>0</v>
      </c>
      <c r="O16" s="11"/>
      <c r="P16" s="2">
        <f>--262897.78</f>
        <v>262897.78000000003</v>
      </c>
      <c r="Q16" s="2"/>
      <c r="R16" s="19"/>
      <c r="S16" s="2"/>
      <c r="T16" s="2"/>
      <c r="U16" s="2"/>
      <c r="V16" s="19"/>
      <c r="W16" s="2"/>
      <c r="X16" s="2">
        <f t="shared" si="2"/>
        <v>262897.78000000003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0</v>
      </c>
      <c r="E18" s="4"/>
      <c r="F18" s="12">
        <f t="shared" ref="F18:F21" si="4">IF(D$12=0,0,D18/D$12)</f>
        <v>0</v>
      </c>
      <c r="G18" s="4"/>
      <c r="H18" s="4">
        <f>SUM(OSRRefH16x_0)</f>
        <v>-4699</v>
      </c>
      <c r="I18" s="4"/>
      <c r="J18" s="12">
        <f t="shared" ref="J18:J21" si="5">IF(H$12=0,0,H18/H$12)</f>
        <v>0.72493057698241281</v>
      </c>
      <c r="K18" s="4"/>
      <c r="L18" s="4">
        <f t="shared" ref="L18:L21" si="6">+D18-H18</f>
        <v>4699</v>
      </c>
      <c r="M18" s="4"/>
      <c r="N18" s="12">
        <f t="shared" ref="N18:N21" si="7">IF(H18=0,0,L18/H18)</f>
        <v>-1</v>
      </c>
      <c r="O18" s="10"/>
      <c r="P18" s="4">
        <f>SUM(OSRRefP16x_0)</f>
        <v>550555.76</v>
      </c>
      <c r="Q18" s="4"/>
      <c r="R18" s="12">
        <f t="shared" ref="R18:R21" si="8">IF(P$12=0,0,P18/P$12)</f>
        <v>0.71436266152692507</v>
      </c>
      <c r="S18" s="4"/>
      <c r="T18" s="4">
        <f>SUM(OSRRefT16x_0)</f>
        <v>1034377</v>
      </c>
      <c r="U18" s="4"/>
      <c r="V18" s="12">
        <f t="shared" ref="V18:V21" si="9">IF(T$12=0,0,T18/T$12)</f>
        <v>0.7269999620467219</v>
      </c>
      <c r="W18" s="4"/>
      <c r="X18" s="4">
        <f t="shared" ref="X18:X21" si="10">+P18-T18</f>
        <v>-483821.24</v>
      </c>
      <c r="Y18" s="4"/>
      <c r="Z18" s="12">
        <f t="shared" ref="Z18:Z21" si="11">IF(T18=0,0,X18/T18)</f>
        <v>-0.46774168412484035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-4699</v>
      </c>
      <c r="I19" s="2"/>
      <c r="J19" s="19">
        <f t="shared" si="5"/>
        <v>0.72493057698241281</v>
      </c>
      <c r="K19" s="2"/>
      <c r="L19" s="2">
        <f t="shared" si="6"/>
        <v>4699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1034377</v>
      </c>
      <c r="U19" s="2"/>
      <c r="V19" s="19">
        <f t="shared" si="9"/>
        <v>0.7269999620467219</v>
      </c>
      <c r="W19" s="2"/>
      <c r="X19" s="2">
        <f t="shared" si="10"/>
        <v>-1034377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305344.96999999997</v>
      </c>
      <c r="Q20" s="2"/>
      <c r="R20" s="19">
        <f t="shared" si="8"/>
        <v>0.39619428457720446</v>
      </c>
      <c r="S20" s="2"/>
      <c r="T20" s="2"/>
      <c r="U20" s="2"/>
      <c r="V20" s="19">
        <f t="shared" si="9"/>
        <v>0</v>
      </c>
      <c r="W20" s="2"/>
      <c r="X20" s="2">
        <f t="shared" si="10"/>
        <v>305344.96999999997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245210.79</v>
      </c>
      <c r="Q21" s="2"/>
      <c r="R21" s="19">
        <f t="shared" si="8"/>
        <v>0.31816837694972061</v>
      </c>
      <c r="S21" s="2"/>
      <c r="T21" s="2"/>
      <c r="U21" s="2"/>
      <c r="V21" s="19">
        <f t="shared" si="9"/>
        <v>0</v>
      </c>
      <c r="W21" s="2"/>
      <c r="X21" s="2">
        <f t="shared" si="10"/>
        <v>245210.79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-6490.3100000000013</v>
      </c>
      <c r="E23" s="14"/>
      <c r="F23" s="22">
        <f>IF(D$12=0,0,D23/D$12)</f>
        <v>1</v>
      </c>
      <c r="G23" s="14"/>
      <c r="H23" s="20">
        <f>H12-H18</f>
        <v>-1783</v>
      </c>
      <c r="I23" s="14"/>
      <c r="J23" s="22">
        <f>IF(H$12=0,0,H23/H$12)</f>
        <v>0.27506942301758719</v>
      </c>
      <c r="K23" s="16"/>
      <c r="L23" s="20">
        <f>+D23-H23</f>
        <v>-4707.3100000000013</v>
      </c>
      <c r="M23" s="16"/>
      <c r="N23" s="22">
        <f>IF(H23=0,0,L23/H23)</f>
        <v>2.6401065619742017</v>
      </c>
      <c r="O23" s="29"/>
      <c r="P23" s="20">
        <f>P12-P18</f>
        <v>220139.28000000003</v>
      </c>
      <c r="Q23" s="14"/>
      <c r="R23" s="22">
        <f>IF(P$12=0,0,P23/P$12)</f>
        <v>0.28563733847307493</v>
      </c>
      <c r="S23" s="14"/>
      <c r="T23" s="20">
        <f>T12-T18</f>
        <v>388425</v>
      </c>
      <c r="U23" s="14"/>
      <c r="V23" s="22">
        <f>IF(T$12=0,0,T23/T$12)</f>
        <v>0.2730000379532781</v>
      </c>
      <c r="W23" s="16"/>
      <c r="X23" s="20">
        <f>+P23-T23</f>
        <v>-168285.71999999997</v>
      </c>
      <c r="Y23" s="16"/>
      <c r="Z23" s="22">
        <f>IF(T23=0,0,X23/T23)</f>
        <v>-0.43325151573662862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0</v>
      </c>
      <c r="E25" s="21"/>
      <c r="F25" s="30">
        <f t="shared" ref="F25:F34" si="12">IF(D$12=0,0,D25/D$12)</f>
        <v>0</v>
      </c>
      <c r="G25" s="21"/>
      <c r="H25" s="21">
        <f>SUM(OSRRefH22x_0)</f>
        <v>0</v>
      </c>
      <c r="I25" s="21"/>
      <c r="J25" s="30">
        <f t="shared" ref="J25:J34" si="13">IF(H$12=0,0,H25/H$12)</f>
        <v>0</v>
      </c>
      <c r="K25" s="4"/>
      <c r="L25" s="21">
        <f t="shared" ref="L25:L34" si="14">+D25-H25</f>
        <v>0</v>
      </c>
      <c r="M25" s="4"/>
      <c r="N25" s="30">
        <f t="shared" ref="N25:N34" si="15">IF(H25=0,0,L25/H25)</f>
        <v>0</v>
      </c>
      <c r="O25" s="10"/>
      <c r="P25" s="21">
        <f>SUM(OSRRefP22x_0)</f>
        <v>0</v>
      </c>
      <c r="Q25" s="21"/>
      <c r="R25" s="30">
        <f t="shared" ref="R25:R34" si="16">IF(P$12=0,0,P25/P$12)</f>
        <v>0</v>
      </c>
      <c r="S25" s="21"/>
      <c r="T25" s="21">
        <f>SUM(OSRRefT22x_0)</f>
        <v>0</v>
      </c>
      <c r="U25" s="21"/>
      <c r="V25" s="30">
        <f t="shared" ref="V25:V34" si="17">IF(T$12=0,0,T25/T$12)</f>
        <v>0</v>
      </c>
      <c r="W25" s="4"/>
      <c r="X25" s="21">
        <f t="shared" ref="X25:X34" si="18">+P25-T25</f>
        <v>0</v>
      </c>
      <c r="Y25" s="4"/>
      <c r="Z25" s="30">
        <f t="shared" ref="Z25:Z34" si="19">IF(T25=0,0,X25/T25)</f>
        <v>0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3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61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293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277</v>
      </c>
      <c r="C49" s="28"/>
      <c r="D49" s="20">
        <f>+D23-D25+D47</f>
        <v>-6490.3100000000013</v>
      </c>
      <c r="E49" s="14"/>
      <c r="F49" s="22">
        <f>IF(D$12=0,0,D49/D$12)</f>
        <v>1</v>
      </c>
      <c r="G49" s="14"/>
      <c r="H49" s="20">
        <f>+H23-H25+H47</f>
        <v>-1783</v>
      </c>
      <c r="I49" s="14"/>
      <c r="J49" s="22">
        <f>IF(H$12=0,0,H49/H$12)</f>
        <v>0.27506942301758719</v>
      </c>
      <c r="K49" s="16"/>
      <c r="L49" s="20">
        <f>+D49-H49</f>
        <v>-4707.3100000000013</v>
      </c>
      <c r="M49" s="16"/>
      <c r="N49" s="22">
        <f>IF(H49=0,0,L49/H49)</f>
        <v>2.6401065619742017</v>
      </c>
      <c r="O49" s="29"/>
      <c r="P49" s="20">
        <f>+P23-P25+P47</f>
        <v>220139.28000000003</v>
      </c>
      <c r="Q49" s="14"/>
      <c r="R49" s="22">
        <f>IF(P$12=0,0,P49/P$12)</f>
        <v>0.28563733847307493</v>
      </c>
      <c r="S49" s="14"/>
      <c r="T49" s="20">
        <f>+T23-T25+T47</f>
        <v>388425</v>
      </c>
      <c r="U49" s="14"/>
      <c r="V49" s="22">
        <f>IF(T$12=0,0,T49/T$12)</f>
        <v>0.2730000379532781</v>
      </c>
      <c r="W49" s="16"/>
      <c r="X49" s="20">
        <f>+P49-T49</f>
        <v>-168285.71999999997</v>
      </c>
      <c r="Y49" s="16"/>
      <c r="Z49" s="22">
        <f>IF(T49=0,0,X49/T49)</f>
        <v>-0.43325151573662862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128</v>
      </c>
      <c r="C51" s="10"/>
      <c r="D51" s="4">
        <v>47247.12</v>
      </c>
      <c r="E51" s="4"/>
      <c r="F51" s="12">
        <f>IF(D$12=0,0,D51/D$12)</f>
        <v>-7.2796399555645248</v>
      </c>
      <c r="G51" s="4"/>
      <c r="H51" s="4">
        <v>-23446</v>
      </c>
      <c r="I51" s="4"/>
      <c r="J51" s="12">
        <f>IF(H$12=0,0,H51/H$12)</f>
        <v>3.6170934896636839</v>
      </c>
      <c r="K51" s="4"/>
      <c r="L51" s="4">
        <f>+D51-H51</f>
        <v>70693.119999999995</v>
      </c>
      <c r="M51" s="4"/>
      <c r="N51" s="12">
        <f>IF(H51=0,0,L51/H51)</f>
        <v>-3.0151462936108504</v>
      </c>
      <c r="O51" s="10"/>
      <c r="P51" s="4">
        <v>213324.26</v>
      </c>
      <c r="Q51" s="4"/>
      <c r="R51" s="12">
        <f>IF(P$12=0,0,P51/P$12)</f>
        <v>0.27679464499992112</v>
      </c>
      <c r="S51" s="4"/>
      <c r="T51" s="4">
        <v>240422</v>
      </c>
      <c r="U51" s="4"/>
      <c r="V51" s="12">
        <f>IF(T$12=0,0,T51/T$12)</f>
        <v>0.16897783387990739</v>
      </c>
      <c r="W51" s="4"/>
      <c r="X51" s="4">
        <f>+P51-T51</f>
        <v>-27097.739999999991</v>
      </c>
      <c r="Y51" s="4"/>
      <c r="Z51" s="12">
        <f>IF(T51=0,0,X51/T51)</f>
        <v>-0.11270906988545137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126</v>
      </c>
      <c r="C53" s="28"/>
      <c r="D53" s="34">
        <f>+D49-D51</f>
        <v>-53737.430000000008</v>
      </c>
      <c r="E53" s="14"/>
      <c r="F53" s="35">
        <f>IF(D$12=0,0,D53/D$12)</f>
        <v>8.2796399555645248</v>
      </c>
      <c r="G53" s="14"/>
      <c r="H53" s="34">
        <f>+H49-H51</f>
        <v>21663</v>
      </c>
      <c r="I53" s="14"/>
      <c r="J53" s="35">
        <f>IF(H$12=0,0,H53/H$12)</f>
        <v>-3.342024066646097</v>
      </c>
      <c r="K53" s="16"/>
      <c r="L53" s="34">
        <f>D53-H53</f>
        <v>-75400.430000000008</v>
      </c>
      <c r="M53" s="16"/>
      <c r="N53" s="35">
        <f>IF(H53=0,0,L53/H53)</f>
        <v>-3.4806088722706923</v>
      </c>
      <c r="O53" s="29"/>
      <c r="P53" s="34">
        <f>+P49-P51</f>
        <v>6815.0200000000186</v>
      </c>
      <c r="Q53" s="14"/>
      <c r="R53" s="35">
        <f>IF(P$12=0,0,P53/P$12)</f>
        <v>8.8426934731538152E-3</v>
      </c>
      <c r="S53" s="14"/>
      <c r="T53" s="34">
        <f>+T49-T51</f>
        <v>148003</v>
      </c>
      <c r="U53" s="14"/>
      <c r="V53" s="35">
        <f>IF(T$12=0,0,T53/T$12)</f>
        <v>0.10402220407337072</v>
      </c>
      <c r="W53" s="16"/>
      <c r="X53" s="34">
        <f>P53-T53</f>
        <v>-141187.97999999998</v>
      </c>
      <c r="Y53" s="16"/>
      <c r="Z53" s="35">
        <f>IF(T53=0,0,X53/T53)</f>
        <v>-0.95395350094254838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294</v>
      </c>
      <c r="C56" s="28"/>
      <c r="D56" s="33">
        <f>SUM(D53:D55)</f>
        <v>-53737.430000000008</v>
      </c>
      <c r="E56" s="14"/>
      <c r="F56" s="31">
        <f>IF(D$12=0,0,D56/D$12)</f>
        <v>8.2796399555645248</v>
      </c>
      <c r="G56" s="14"/>
      <c r="H56" s="33">
        <f>SUM(H53:H55)</f>
        <v>21663</v>
      </c>
      <c r="I56" s="14"/>
      <c r="J56" s="31">
        <f>IF(H$12=0,0,H56/H$12)</f>
        <v>-3.342024066646097</v>
      </c>
      <c r="K56" s="16"/>
      <c r="L56" s="33">
        <f>+D56-H56</f>
        <v>-75400.430000000008</v>
      </c>
      <c r="M56" s="16"/>
      <c r="N56" s="31">
        <f>IF(H56=0,0,L56/H56)</f>
        <v>-3.4806088722706923</v>
      </c>
      <c r="O56" s="29"/>
      <c r="P56" s="33">
        <f>SUM(P53:P55)</f>
        <v>6815.0200000000186</v>
      </c>
      <c r="Q56" s="14"/>
      <c r="R56" s="31">
        <f>IF(P$12=0,0,P56/P$12)</f>
        <v>8.8426934731538152E-3</v>
      </c>
      <c r="S56" s="14"/>
      <c r="T56" s="33">
        <f>SUM(T53:T55)</f>
        <v>148003</v>
      </c>
      <c r="U56" s="14"/>
      <c r="V56" s="31">
        <f>IF(T$12=0,0,T56/T$12)</f>
        <v>0.10402220407337072</v>
      </c>
      <c r="W56" s="16"/>
      <c r="X56" s="33">
        <f>+P56-T56</f>
        <v>-141187.97999999998</v>
      </c>
      <c r="Y56" s="16"/>
      <c r="Z56" s="31">
        <f>IF(T56=0,0,X56/T56)</f>
        <v>-0.95395350094254838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6">
        <v>44454.686112384261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5" t="s">
        <v>56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63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255640.00000000003</v>
      </c>
      <c r="E12" s="4"/>
      <c r="F12" s="12"/>
      <c r="G12" s="4"/>
      <c r="H12" s="4">
        <f>SUM(OSRRefH13x_0)</f>
        <v>333181</v>
      </c>
      <c r="I12" s="4"/>
      <c r="J12" s="12"/>
      <c r="K12" s="4"/>
      <c r="L12" s="4">
        <f t="shared" ref="L12:L51" si="0">+D12-H12</f>
        <v>-77540.999999999971</v>
      </c>
      <c r="M12" s="4"/>
      <c r="N12" s="12">
        <f t="shared" ref="N12:N51" si="1">IF(H12=0,0,L12/H12)</f>
        <v>-0.23272935731629346</v>
      </c>
      <c r="O12" s="10"/>
      <c r="P12" s="4">
        <f>SUM(OSRRefP13x_0)</f>
        <v>2572755.8200000008</v>
      </c>
      <c r="Q12" s="4"/>
      <c r="R12" s="12"/>
      <c r="S12" s="4"/>
      <c r="T12" s="4">
        <f>SUM(OSRRefT13x_0)</f>
        <v>4105165</v>
      </c>
      <c r="U12" s="4"/>
      <c r="V12" s="12"/>
      <c r="W12" s="4"/>
      <c r="X12" s="4">
        <f t="shared" ref="X12:X51" si="2">+P12-T12</f>
        <v>-1532409.1799999992</v>
      </c>
      <c r="Y12" s="4"/>
      <c r="Z12" s="12">
        <f t="shared" ref="Z12:Z51" si="3">IF(T12=0,0,X12/T12)</f>
        <v>-0.37328808464458779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-6259.7</f>
        <v>-6259.7</v>
      </c>
      <c r="E13" s="2"/>
      <c r="F13" s="19"/>
      <c r="G13" s="2"/>
      <c r="H13" s="2">
        <v>333181</v>
      </c>
      <c r="I13" s="2"/>
      <c r="J13" s="19"/>
      <c r="K13" s="2"/>
      <c r="L13" s="2">
        <f t="shared" si="0"/>
        <v>-339440.7</v>
      </c>
      <c r="M13" s="2"/>
      <c r="N13" s="19">
        <f t="shared" si="1"/>
        <v>-1.0187876859724894</v>
      </c>
      <c r="O13" s="11"/>
      <c r="P13" s="2">
        <f>-140321.65</f>
        <v>-140321.65</v>
      </c>
      <c r="Q13" s="2"/>
      <c r="R13" s="19"/>
      <c r="S13" s="2"/>
      <c r="T13" s="2">
        <v>4105165</v>
      </c>
      <c r="U13" s="2"/>
      <c r="V13" s="19"/>
      <c r="W13" s="2"/>
      <c r="X13" s="2">
        <f t="shared" si="2"/>
        <v>-4245486.6500000004</v>
      </c>
      <c r="Y13" s="2"/>
      <c r="Z13" s="19">
        <f t="shared" si="3"/>
        <v>-1.0341817320375675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--25.1</f>
        <v>25.1</v>
      </c>
      <c r="E14" s="2"/>
      <c r="F14" s="19"/>
      <c r="G14" s="2"/>
      <c r="H14" s="2"/>
      <c r="I14" s="2"/>
      <c r="J14" s="19"/>
      <c r="K14" s="2"/>
      <c r="L14" s="2">
        <f t="shared" si="0"/>
        <v>25.1</v>
      </c>
      <c r="M14" s="2"/>
      <c r="N14" s="19">
        <f t="shared" si="1"/>
        <v>0</v>
      </c>
      <c r="O14" s="11"/>
      <c r="P14" s="2">
        <f>--530.13</f>
        <v>530.13</v>
      </c>
      <c r="Q14" s="2"/>
      <c r="R14" s="19"/>
      <c r="S14" s="2"/>
      <c r="T14" s="2"/>
      <c r="U14" s="2"/>
      <c r="V14" s="19"/>
      <c r="W14" s="2"/>
      <c r="X14" s="2">
        <f t="shared" si="2"/>
        <v>530.13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--3459.71</f>
        <v>3459.71</v>
      </c>
      <c r="E15" s="2"/>
      <c r="F15" s="19"/>
      <c r="G15" s="2"/>
      <c r="H15" s="2"/>
      <c r="I15" s="2"/>
      <c r="J15" s="19"/>
      <c r="K15" s="2"/>
      <c r="L15" s="2">
        <f t="shared" si="0"/>
        <v>3459.71</v>
      </c>
      <c r="M15" s="2"/>
      <c r="N15" s="19">
        <f t="shared" si="1"/>
        <v>0</v>
      </c>
      <c r="O15" s="11"/>
      <c r="P15" s="2">
        <f>--65573.68</f>
        <v>65573.679999999993</v>
      </c>
      <c r="Q15" s="2"/>
      <c r="R15" s="19"/>
      <c r="S15" s="2"/>
      <c r="T15" s="2"/>
      <c r="U15" s="2"/>
      <c r="V15" s="19"/>
      <c r="W15" s="2"/>
      <c r="X15" s="2">
        <f t="shared" si="2"/>
        <v>65573.679999999993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--2312.88</f>
        <v>2312.88</v>
      </c>
      <c r="E16" s="2"/>
      <c r="F16" s="19"/>
      <c r="G16" s="2"/>
      <c r="H16" s="2"/>
      <c r="I16" s="2"/>
      <c r="J16" s="19"/>
      <c r="K16" s="2"/>
      <c r="L16" s="2">
        <f t="shared" si="0"/>
        <v>2312.88</v>
      </c>
      <c r="M16" s="2"/>
      <c r="N16" s="19">
        <f t="shared" si="1"/>
        <v>0</v>
      </c>
      <c r="O16" s="11"/>
      <c r="P16" s="2">
        <f>--38229.15</f>
        <v>38229.15</v>
      </c>
      <c r="Q16" s="2"/>
      <c r="R16" s="19"/>
      <c r="S16" s="2"/>
      <c r="T16" s="2"/>
      <c r="U16" s="2"/>
      <c r="V16" s="19"/>
      <c r="W16" s="2"/>
      <c r="X16" s="2">
        <f t="shared" si="2"/>
        <v>38229.15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--380.76</f>
        <v>380.76</v>
      </c>
      <c r="E17" s="2"/>
      <c r="F17" s="19"/>
      <c r="G17" s="2"/>
      <c r="H17" s="2"/>
      <c r="I17" s="2"/>
      <c r="J17" s="19"/>
      <c r="K17" s="2"/>
      <c r="L17" s="2">
        <f t="shared" si="0"/>
        <v>380.76</v>
      </c>
      <c r="M17" s="2"/>
      <c r="N17" s="19">
        <f t="shared" si="1"/>
        <v>0</v>
      </c>
      <c r="O17" s="11"/>
      <c r="P17" s="2">
        <f>--4706.92</f>
        <v>4706.92</v>
      </c>
      <c r="Q17" s="2"/>
      <c r="R17" s="19"/>
      <c r="S17" s="2"/>
      <c r="T17" s="2"/>
      <c r="U17" s="2"/>
      <c r="V17" s="19"/>
      <c r="W17" s="2"/>
      <c r="X17" s="2">
        <f t="shared" si="2"/>
        <v>4706.92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--109798.76</f>
        <v>109798.76</v>
      </c>
      <c r="E19" s="2"/>
      <c r="F19" s="19"/>
      <c r="G19" s="2"/>
      <c r="H19" s="2"/>
      <c r="I19" s="2"/>
      <c r="J19" s="19"/>
      <c r="K19" s="2"/>
      <c r="L19" s="2">
        <f t="shared" si="0"/>
        <v>109798.76</v>
      </c>
      <c r="M19" s="2"/>
      <c r="N19" s="19">
        <f t="shared" si="1"/>
        <v>0</v>
      </c>
      <c r="O19" s="11"/>
      <c r="P19" s="2">
        <f>--1210378.91</f>
        <v>1210378.9099999999</v>
      </c>
      <c r="Q19" s="2"/>
      <c r="R19" s="19"/>
      <c r="S19" s="2"/>
      <c r="T19" s="2"/>
      <c r="U19" s="2"/>
      <c r="V19" s="19"/>
      <c r="W19" s="2"/>
      <c r="X19" s="2">
        <f t="shared" si="2"/>
        <v>1210378.9099999999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--80214.77</f>
        <v>80214.77</v>
      </c>
      <c r="E20" s="2"/>
      <c r="F20" s="19"/>
      <c r="G20" s="2"/>
      <c r="H20" s="2"/>
      <c r="I20" s="2"/>
      <c r="J20" s="19"/>
      <c r="K20" s="2"/>
      <c r="L20" s="2">
        <f t="shared" si="0"/>
        <v>80214.77</v>
      </c>
      <c r="M20" s="2"/>
      <c r="N20" s="19">
        <f t="shared" si="1"/>
        <v>0</v>
      </c>
      <c r="O20" s="11"/>
      <c r="P20" s="2">
        <f>--618685.64</f>
        <v>618685.64</v>
      </c>
      <c r="Q20" s="2"/>
      <c r="R20" s="19"/>
      <c r="S20" s="2"/>
      <c r="T20" s="2"/>
      <c r="U20" s="2"/>
      <c r="V20" s="19"/>
      <c r="W20" s="2"/>
      <c r="X20" s="2">
        <f t="shared" si="2"/>
        <v>618685.64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--4764.33</f>
        <v>4764.33</v>
      </c>
      <c r="E21" s="2"/>
      <c r="F21" s="19"/>
      <c r="G21" s="2"/>
      <c r="H21" s="2"/>
      <c r="I21" s="2"/>
      <c r="J21" s="19"/>
      <c r="K21" s="2"/>
      <c r="L21" s="2">
        <f t="shared" si="0"/>
        <v>4764.33</v>
      </c>
      <c r="M21" s="2"/>
      <c r="N21" s="19">
        <f t="shared" si="1"/>
        <v>0</v>
      </c>
      <c r="O21" s="11"/>
      <c r="P21" s="2">
        <f>--95345.21</f>
        <v>95345.21</v>
      </c>
      <c r="Q21" s="2"/>
      <c r="R21" s="19"/>
      <c r="S21" s="2"/>
      <c r="T21" s="2"/>
      <c r="U21" s="2"/>
      <c r="V21" s="19"/>
      <c r="W21" s="2"/>
      <c r="X21" s="2">
        <f t="shared" si="2"/>
        <v>95345.21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--2905.23</f>
        <v>2905.23</v>
      </c>
      <c r="E22" s="2"/>
      <c r="F22" s="19"/>
      <c r="G22" s="2"/>
      <c r="H22" s="2"/>
      <c r="I22" s="2"/>
      <c r="J22" s="19"/>
      <c r="K22" s="2"/>
      <c r="L22" s="2">
        <f t="shared" si="0"/>
        <v>2905.23</v>
      </c>
      <c r="M22" s="2"/>
      <c r="N22" s="19">
        <f t="shared" si="1"/>
        <v>0</v>
      </c>
      <c r="O22" s="11"/>
      <c r="P22" s="2">
        <f>--146920.75</f>
        <v>146920.75</v>
      </c>
      <c r="Q22" s="2"/>
      <c r="R22" s="19"/>
      <c r="S22" s="2"/>
      <c r="T22" s="2"/>
      <c r="U22" s="2"/>
      <c r="V22" s="19"/>
      <c r="W22" s="2"/>
      <c r="X22" s="2">
        <f t="shared" si="2"/>
        <v>146920.75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--2172.33</f>
        <v>2172.33</v>
      </c>
      <c r="E23" s="2"/>
      <c r="F23" s="19"/>
      <c r="G23" s="2"/>
      <c r="H23" s="2"/>
      <c r="I23" s="2"/>
      <c r="J23" s="19"/>
      <c r="K23" s="2"/>
      <c r="L23" s="2">
        <f t="shared" si="0"/>
        <v>2172.33</v>
      </c>
      <c r="M23" s="2"/>
      <c r="N23" s="19">
        <f t="shared" si="1"/>
        <v>0</v>
      </c>
      <c r="O23" s="11"/>
      <c r="P23" s="2">
        <f>--43288.66</f>
        <v>43288.66</v>
      </c>
      <c r="Q23" s="2"/>
      <c r="R23" s="19"/>
      <c r="S23" s="2"/>
      <c r="T23" s="2"/>
      <c r="U23" s="2"/>
      <c r="V23" s="19"/>
      <c r="W23" s="2"/>
      <c r="X23" s="2">
        <f t="shared" si="2"/>
        <v>43288.66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--81300.55</f>
        <v>81300.55</v>
      </c>
      <c r="E24" s="2"/>
      <c r="F24" s="19"/>
      <c r="G24" s="2"/>
      <c r="H24" s="2"/>
      <c r="I24" s="2"/>
      <c r="J24" s="19"/>
      <c r="K24" s="2"/>
      <c r="L24" s="2">
        <f t="shared" si="0"/>
        <v>81300.55</v>
      </c>
      <c r="M24" s="2"/>
      <c r="N24" s="19">
        <f t="shared" si="1"/>
        <v>0</v>
      </c>
      <c r="O24" s="11"/>
      <c r="P24" s="2">
        <f>--314878.48</f>
        <v>314878.48</v>
      </c>
      <c r="Q24" s="2"/>
      <c r="R24" s="19"/>
      <c r="S24" s="2"/>
      <c r="T24" s="2"/>
      <c r="U24" s="2"/>
      <c r="V24" s="19"/>
      <c r="W24" s="2"/>
      <c r="X24" s="2">
        <f t="shared" si="2"/>
        <v>314878.48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--99.87</f>
        <v>99.87</v>
      </c>
      <c r="E26" s="2"/>
      <c r="F26" s="19"/>
      <c r="G26" s="2"/>
      <c r="H26" s="2"/>
      <c r="I26" s="2"/>
      <c r="J26" s="19"/>
      <c r="K26" s="2"/>
      <c r="L26" s="2">
        <f t="shared" si="0"/>
        <v>99.87</v>
      </c>
      <c r="M26" s="2"/>
      <c r="N26" s="19">
        <f t="shared" si="1"/>
        <v>0</v>
      </c>
      <c r="O26" s="11"/>
      <c r="P26" s="2">
        <f>--7748.6</f>
        <v>7748.6</v>
      </c>
      <c r="Q26" s="2"/>
      <c r="R26" s="19"/>
      <c r="S26" s="2"/>
      <c r="T26" s="2"/>
      <c r="U26" s="2"/>
      <c r="V26" s="19"/>
      <c r="W26" s="2"/>
      <c r="X26" s="2">
        <f t="shared" si="2"/>
        <v>7748.6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--115.91</f>
        <v>115.91</v>
      </c>
      <c r="Q27" s="2"/>
      <c r="R27" s="19"/>
      <c r="S27" s="2"/>
      <c r="T27" s="2"/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--540.62</f>
        <v>540.62</v>
      </c>
      <c r="E28" s="2"/>
      <c r="F28" s="19"/>
      <c r="G28" s="2"/>
      <c r="H28" s="2"/>
      <c r="I28" s="2"/>
      <c r="J28" s="19"/>
      <c r="K28" s="2"/>
      <c r="L28" s="2">
        <f t="shared" si="0"/>
        <v>540.62</v>
      </c>
      <c r="M28" s="2"/>
      <c r="N28" s="19">
        <f t="shared" si="1"/>
        <v>0</v>
      </c>
      <c r="O28" s="11"/>
      <c r="P28" s="2">
        <f>--10849.6</f>
        <v>10849.6</v>
      </c>
      <c r="Q28" s="2"/>
      <c r="R28" s="19"/>
      <c r="S28" s="2"/>
      <c r="T28" s="2"/>
      <c r="U28" s="2"/>
      <c r="V28" s="19"/>
      <c r="W28" s="2"/>
      <c r="X28" s="2">
        <f t="shared" si="2"/>
        <v>10849.6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--68.25</f>
        <v>68.25</v>
      </c>
      <c r="Q32" s="2"/>
      <c r="R32" s="19"/>
      <c r="S32" s="2"/>
      <c r="T32" s="2"/>
      <c r="U32" s="2"/>
      <c r="V32" s="19"/>
      <c r="W32" s="2"/>
      <c r="X32" s="2">
        <f t="shared" si="2"/>
        <v>68.25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--9520.45</f>
        <v>9520.4500000000007</v>
      </c>
      <c r="E33" s="2"/>
      <c r="F33" s="19"/>
      <c r="G33" s="2"/>
      <c r="H33" s="2"/>
      <c r="I33" s="2"/>
      <c r="J33" s="19"/>
      <c r="K33" s="2"/>
      <c r="L33" s="2">
        <f t="shared" si="0"/>
        <v>9520.4500000000007</v>
      </c>
      <c r="M33" s="2"/>
      <c r="N33" s="19">
        <f t="shared" si="1"/>
        <v>0</v>
      </c>
      <c r="O33" s="11"/>
      <c r="P33" s="2">
        <f>--181046.21</f>
        <v>181046.21</v>
      </c>
      <c r="Q33" s="2"/>
      <c r="R33" s="19"/>
      <c r="S33" s="2"/>
      <c r="T33" s="2"/>
      <c r="U33" s="2"/>
      <c r="V33" s="19"/>
      <c r="W33" s="2"/>
      <c r="X33" s="2">
        <f t="shared" si="2"/>
        <v>181046.21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-25127.54</f>
        <v>-25127.54</v>
      </c>
      <c r="E34" s="2"/>
      <c r="F34" s="19"/>
      <c r="G34" s="2"/>
      <c r="H34" s="2"/>
      <c r="I34" s="2"/>
      <c r="J34" s="19"/>
      <c r="K34" s="2"/>
      <c r="L34" s="2">
        <f t="shared" si="0"/>
        <v>-25127.54</v>
      </c>
      <c r="M34" s="2"/>
      <c r="N34" s="19">
        <f t="shared" si="1"/>
        <v>0</v>
      </c>
      <c r="O34" s="11"/>
      <c r="P34" s="2">
        <f>--12272.45</f>
        <v>12272.45</v>
      </c>
      <c r="Q34" s="2"/>
      <c r="R34" s="19"/>
      <c r="S34" s="2"/>
      <c r="T34" s="2"/>
      <c r="U34" s="2"/>
      <c r="V34" s="19"/>
      <c r="W34" s="2"/>
      <c r="X34" s="2">
        <f t="shared" si="2"/>
        <v>12272.45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--54.07</f>
        <v>54.07</v>
      </c>
      <c r="E35" s="2"/>
      <c r="F35" s="19"/>
      <c r="G35" s="2"/>
      <c r="H35" s="2"/>
      <c r="I35" s="2"/>
      <c r="J35" s="19"/>
      <c r="K35" s="2"/>
      <c r="L35" s="2">
        <f t="shared" si="0"/>
        <v>54.07</v>
      </c>
      <c r="M35" s="2"/>
      <c r="N35" s="19">
        <f t="shared" si="1"/>
        <v>0</v>
      </c>
      <c r="O35" s="11"/>
      <c r="P35" s="2">
        <f>--1521.44</f>
        <v>1521.44</v>
      </c>
      <c r="Q35" s="2"/>
      <c r="R35" s="19"/>
      <c r="S35" s="2"/>
      <c r="T35" s="2"/>
      <c r="U35" s="2"/>
      <c r="V35" s="19"/>
      <c r="W35" s="2"/>
      <c r="X35" s="2">
        <f t="shared" si="2"/>
        <v>1521.44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--9.95</f>
        <v>9.9499999999999993</v>
      </c>
      <c r="E36" s="2"/>
      <c r="F36" s="19"/>
      <c r="G36" s="2"/>
      <c r="H36" s="2"/>
      <c r="I36" s="2"/>
      <c r="J36" s="19"/>
      <c r="K36" s="2"/>
      <c r="L36" s="2">
        <f t="shared" si="0"/>
        <v>9.9499999999999993</v>
      </c>
      <c r="M36" s="2"/>
      <c r="N36" s="19">
        <f t="shared" si="1"/>
        <v>0</v>
      </c>
      <c r="O36" s="11"/>
      <c r="P36" s="2">
        <f>--2562.11</f>
        <v>2562.11</v>
      </c>
      <c r="Q36" s="2"/>
      <c r="R36" s="19"/>
      <c r="S36" s="2"/>
      <c r="T36" s="2"/>
      <c r="U36" s="2"/>
      <c r="V36" s="19"/>
      <c r="W36" s="2"/>
      <c r="X36" s="2">
        <f t="shared" si="2"/>
        <v>2562.11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--129.75</f>
        <v>129.75</v>
      </c>
      <c r="E37" s="2"/>
      <c r="F37" s="19"/>
      <c r="G37" s="2"/>
      <c r="H37" s="2"/>
      <c r="I37" s="2"/>
      <c r="J37" s="19"/>
      <c r="K37" s="2"/>
      <c r="L37" s="2">
        <f t="shared" si="0"/>
        <v>129.75</v>
      </c>
      <c r="M37" s="2"/>
      <c r="N37" s="19">
        <f t="shared" si="1"/>
        <v>0</v>
      </c>
      <c r="O37" s="11"/>
      <c r="P37" s="2">
        <f>--1003.55</f>
        <v>1003.55</v>
      </c>
      <c r="Q37" s="2"/>
      <c r="R37" s="19"/>
      <c r="S37" s="2"/>
      <c r="T37" s="2"/>
      <c r="U37" s="2"/>
      <c r="V37" s="19"/>
      <c r="W37" s="2"/>
      <c r="X37" s="2">
        <f t="shared" si="2"/>
        <v>1003.55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--30</f>
        <v>30</v>
      </c>
      <c r="E38" s="2"/>
      <c r="F38" s="19"/>
      <c r="G38" s="2"/>
      <c r="H38" s="2"/>
      <c r="I38" s="2"/>
      <c r="J38" s="19"/>
      <c r="K38" s="2"/>
      <c r="L38" s="2">
        <f t="shared" si="0"/>
        <v>30</v>
      </c>
      <c r="M38" s="2"/>
      <c r="N38" s="19">
        <f t="shared" si="1"/>
        <v>0</v>
      </c>
      <c r="O38" s="11"/>
      <c r="P38" s="2">
        <f>--74096.89</f>
        <v>74096.89</v>
      </c>
      <c r="Q38" s="2"/>
      <c r="R38" s="19"/>
      <c r="S38" s="2"/>
      <c r="T38" s="2"/>
      <c r="U38" s="2"/>
      <c r="V38" s="19"/>
      <c r="W38" s="2"/>
      <c r="X38" s="2">
        <f t="shared" si="2"/>
        <v>74096.89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-35.02</f>
        <v>-35.020000000000003</v>
      </c>
      <c r="Q39" s="2"/>
      <c r="R39" s="19"/>
      <c r="S39" s="2"/>
      <c r="T39" s="2"/>
      <c r="U39" s="2"/>
      <c r="V39" s="19"/>
      <c r="W39" s="2"/>
      <c r="X39" s="2">
        <f t="shared" si="2"/>
        <v>-35.020000000000003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-80.63</f>
        <v>-80.63</v>
      </c>
      <c r="E40" s="2"/>
      <c r="F40" s="19"/>
      <c r="G40" s="2"/>
      <c r="H40" s="2"/>
      <c r="I40" s="2"/>
      <c r="J40" s="19"/>
      <c r="K40" s="2"/>
      <c r="L40" s="2">
        <f t="shared" si="0"/>
        <v>-80.63</v>
      </c>
      <c r="M40" s="2"/>
      <c r="N40" s="19">
        <f t="shared" si="1"/>
        <v>0</v>
      </c>
      <c r="O40" s="11"/>
      <c r="P40" s="2">
        <f>-1405.14</f>
        <v>-1405.14</v>
      </c>
      <c r="Q40" s="2"/>
      <c r="R40" s="19"/>
      <c r="S40" s="2"/>
      <c r="T40" s="2"/>
      <c r="U40" s="2"/>
      <c r="V40" s="19"/>
      <c r="W40" s="2"/>
      <c r="X40" s="2">
        <f t="shared" si="2"/>
        <v>-1405.14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-105.6</f>
        <v>-105.6</v>
      </c>
      <c r="E41" s="2"/>
      <c r="F41" s="19"/>
      <c r="G41" s="2"/>
      <c r="H41" s="2"/>
      <c r="I41" s="2"/>
      <c r="J41" s="19"/>
      <c r="K41" s="2"/>
      <c r="L41" s="2">
        <f t="shared" si="0"/>
        <v>-105.6</v>
      </c>
      <c r="M41" s="2"/>
      <c r="N41" s="19">
        <f t="shared" si="1"/>
        <v>0</v>
      </c>
      <c r="O41" s="11"/>
      <c r="P41" s="2">
        <f>-12857.13</f>
        <v>-12857.13</v>
      </c>
      <c r="Q41" s="2"/>
      <c r="R41" s="19"/>
      <c r="S41" s="2"/>
      <c r="T41" s="2"/>
      <c r="U41" s="2"/>
      <c r="V41" s="19"/>
      <c r="W41" s="2"/>
      <c r="X41" s="2">
        <f t="shared" si="2"/>
        <v>-12857.13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-4795.71</f>
        <v>-4795.71</v>
      </c>
      <c r="E42" s="2"/>
      <c r="F42" s="19"/>
      <c r="G42" s="2"/>
      <c r="H42" s="2"/>
      <c r="I42" s="2"/>
      <c r="J42" s="19"/>
      <c r="K42" s="2"/>
      <c r="L42" s="2">
        <f t="shared" si="0"/>
        <v>-4795.71</v>
      </c>
      <c r="M42" s="2"/>
      <c r="N42" s="19">
        <f t="shared" si="1"/>
        <v>0</v>
      </c>
      <c r="O42" s="11"/>
      <c r="P42" s="2">
        <f>-51889.15</f>
        <v>-51889.15</v>
      </c>
      <c r="Q42" s="2"/>
      <c r="R42" s="19"/>
      <c r="S42" s="2"/>
      <c r="T42" s="2"/>
      <c r="U42" s="2"/>
      <c r="V42" s="19"/>
      <c r="W42" s="2"/>
      <c r="X42" s="2">
        <f t="shared" si="2"/>
        <v>-51889.15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-1907.39</f>
        <v>-1907.39</v>
      </c>
      <c r="E43" s="2"/>
      <c r="F43" s="19"/>
      <c r="G43" s="2"/>
      <c r="H43" s="2"/>
      <c r="I43" s="2"/>
      <c r="J43" s="19"/>
      <c r="K43" s="2"/>
      <c r="L43" s="2">
        <f t="shared" si="0"/>
        <v>-1907.39</v>
      </c>
      <c r="M43" s="2"/>
      <c r="N43" s="19">
        <f t="shared" si="1"/>
        <v>0</v>
      </c>
      <c r="O43" s="11"/>
      <c r="P43" s="2">
        <f>-17294.93</f>
        <v>-17294.93</v>
      </c>
      <c r="Q43" s="2"/>
      <c r="R43" s="19"/>
      <c r="S43" s="2"/>
      <c r="T43" s="2"/>
      <c r="U43" s="2"/>
      <c r="V43" s="19"/>
      <c r="W43" s="2"/>
      <c r="X43" s="2">
        <f t="shared" si="2"/>
        <v>-17294.93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-131.98</f>
        <v>-131.97999999999999</v>
      </c>
      <c r="E44" s="2"/>
      <c r="F44" s="19"/>
      <c r="G44" s="2"/>
      <c r="H44" s="2"/>
      <c r="I44" s="2"/>
      <c r="J44" s="19"/>
      <c r="K44" s="2"/>
      <c r="L44" s="2">
        <f t="shared" si="0"/>
        <v>-131.97999999999999</v>
      </c>
      <c r="M44" s="2"/>
      <c r="N44" s="19">
        <f t="shared" si="1"/>
        <v>0</v>
      </c>
      <c r="O44" s="11"/>
      <c r="P44" s="2">
        <f>-2875.07</f>
        <v>-2875.07</v>
      </c>
      <c r="Q44" s="2"/>
      <c r="R44" s="19"/>
      <c r="S44" s="2"/>
      <c r="T44" s="2"/>
      <c r="U44" s="2"/>
      <c r="V44" s="19"/>
      <c r="W44" s="2"/>
      <c r="X44" s="2">
        <f t="shared" si="2"/>
        <v>-2875.07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-9.99</f>
        <v>-9.99</v>
      </c>
      <c r="E45" s="2"/>
      <c r="F45" s="19"/>
      <c r="G45" s="2"/>
      <c r="H45" s="2"/>
      <c r="I45" s="2"/>
      <c r="J45" s="19"/>
      <c r="K45" s="2"/>
      <c r="L45" s="2">
        <f t="shared" si="0"/>
        <v>-9.99</v>
      </c>
      <c r="M45" s="2"/>
      <c r="N45" s="19">
        <f t="shared" si="1"/>
        <v>0</v>
      </c>
      <c r="O45" s="11"/>
      <c r="P45" s="2">
        <f>-6228.98</f>
        <v>-6228.98</v>
      </c>
      <c r="Q45" s="2"/>
      <c r="R45" s="19"/>
      <c r="S45" s="2"/>
      <c r="T45" s="2"/>
      <c r="U45" s="2"/>
      <c r="V45" s="19"/>
      <c r="W45" s="2"/>
      <c r="X45" s="2">
        <f t="shared" si="2"/>
        <v>-6228.98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-34.84</f>
        <v>-34.840000000000003</v>
      </c>
      <c r="E46" s="2"/>
      <c r="F46" s="19"/>
      <c r="G46" s="2"/>
      <c r="H46" s="2"/>
      <c r="I46" s="2"/>
      <c r="J46" s="19"/>
      <c r="K46" s="2"/>
      <c r="L46" s="2">
        <f t="shared" si="0"/>
        <v>-34.840000000000003</v>
      </c>
      <c r="M46" s="2"/>
      <c r="N46" s="19">
        <f t="shared" si="1"/>
        <v>0</v>
      </c>
      <c r="O46" s="11"/>
      <c r="P46" s="2">
        <f>-1302.75</f>
        <v>-1302.75</v>
      </c>
      <c r="Q46" s="2"/>
      <c r="R46" s="19"/>
      <c r="S46" s="2"/>
      <c r="T46" s="2"/>
      <c r="U46" s="2"/>
      <c r="V46" s="19"/>
      <c r="W46" s="2"/>
      <c r="X46" s="2">
        <f t="shared" si="2"/>
        <v>-1302.75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-3318.4</f>
        <v>-3318.4</v>
      </c>
      <c r="E47" s="2"/>
      <c r="F47" s="19"/>
      <c r="G47" s="2"/>
      <c r="H47" s="2"/>
      <c r="I47" s="2"/>
      <c r="J47" s="19"/>
      <c r="K47" s="2"/>
      <c r="L47" s="2">
        <f t="shared" si="0"/>
        <v>-3318.4</v>
      </c>
      <c r="M47" s="2"/>
      <c r="N47" s="19">
        <f t="shared" si="1"/>
        <v>0</v>
      </c>
      <c r="O47" s="11"/>
      <c r="P47" s="2">
        <f>-18779.13</f>
        <v>-18779.13</v>
      </c>
      <c r="Q47" s="2"/>
      <c r="R47" s="19"/>
      <c r="S47" s="2"/>
      <c r="T47" s="2"/>
      <c r="U47" s="2"/>
      <c r="V47" s="19"/>
      <c r="W47" s="2"/>
      <c r="X47" s="2">
        <f t="shared" si="2"/>
        <v>-18779.13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-17.41</f>
        <v>-17.41</v>
      </c>
      <c r="Q48" s="2"/>
      <c r="R48" s="19"/>
      <c r="S48" s="2"/>
      <c r="T48" s="2"/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-286.5</f>
        <v>-286.5</v>
      </c>
      <c r="E49" s="2"/>
      <c r="F49" s="19"/>
      <c r="G49" s="2"/>
      <c r="H49" s="2"/>
      <c r="I49" s="2"/>
      <c r="J49" s="19"/>
      <c r="K49" s="2"/>
      <c r="L49" s="2">
        <f t="shared" si="0"/>
        <v>-286.5</v>
      </c>
      <c r="M49" s="2"/>
      <c r="N49" s="19">
        <f t="shared" si="1"/>
        <v>0</v>
      </c>
      <c r="O49" s="11"/>
      <c r="P49" s="2">
        <f>-3737.76</f>
        <v>-3737.76</v>
      </c>
      <c r="Q49" s="2"/>
      <c r="R49" s="19"/>
      <c r="S49" s="2"/>
      <c r="T49" s="2"/>
      <c r="U49" s="2"/>
      <c r="V49" s="19"/>
      <c r="W49" s="2"/>
      <c r="X49" s="2">
        <f t="shared" si="2"/>
        <v>-3737.76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>-20.85</f>
        <v>-20.85</v>
      </c>
      <c r="E50" s="2"/>
      <c r="F50" s="19"/>
      <c r="G50" s="2"/>
      <c r="H50" s="2"/>
      <c r="I50" s="2"/>
      <c r="J50" s="19"/>
      <c r="K50" s="2"/>
      <c r="L50" s="2">
        <f t="shared" si="0"/>
        <v>-20.85</v>
      </c>
      <c r="M50" s="2"/>
      <c r="N50" s="19">
        <f t="shared" si="1"/>
        <v>0</v>
      </c>
      <c r="O50" s="11"/>
      <c r="P50" s="2">
        <f>-412.09</f>
        <v>-412.09</v>
      </c>
      <c r="Q50" s="2"/>
      <c r="R50" s="19"/>
      <c r="S50" s="2"/>
      <c r="T50" s="2"/>
      <c r="U50" s="2"/>
      <c r="V50" s="19"/>
      <c r="W50" s="2"/>
      <c r="X50" s="2">
        <f t="shared" si="2"/>
        <v>-412.09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-118.7</f>
        <v>-118.7</v>
      </c>
      <c r="Q51" s="2"/>
      <c r="R51" s="19"/>
      <c r="S51" s="2"/>
      <c r="T51" s="2"/>
      <c r="U51" s="2"/>
      <c r="V51" s="19"/>
      <c r="W51" s="2"/>
      <c r="X51" s="2">
        <f t="shared" si="2"/>
        <v>-118.7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257</v>
      </c>
      <c r="C53" s="10"/>
      <c r="D53" s="4">
        <f>SUM(OSRRefD16x_0)</f>
        <v>15820.299999999972</v>
      </c>
      <c r="E53" s="4"/>
      <c r="F53" s="12">
        <f t="shared" ref="F53:F80" si="5">IF(D$12=0,0,D53/D$12)</f>
        <v>6.1885072758566619E-2</v>
      </c>
      <c r="G53" s="4"/>
      <c r="H53" s="4">
        <f>SUM(OSRRefH16x_0)</f>
        <v>152153</v>
      </c>
      <c r="I53" s="4"/>
      <c r="J53" s="12">
        <f t="shared" ref="J53:J80" si="6">IF(H$12=0,0,H53/H$12)</f>
        <v>0.45666769713759187</v>
      </c>
      <c r="K53" s="4"/>
      <c r="L53" s="4">
        <f t="shared" ref="L53:L80" si="7">+D53-H53</f>
        <v>-136332.70000000004</v>
      </c>
      <c r="M53" s="4"/>
      <c r="N53" s="12">
        <f t="shared" ref="N53:N80" si="8">IF(H53=0,0,L53/H53)</f>
        <v>-0.89602373926245316</v>
      </c>
      <c r="O53" s="10"/>
      <c r="P53" s="4">
        <f>SUM(OSRRefP16x_0)</f>
        <v>1237315.8400000005</v>
      </c>
      <c r="Q53" s="4"/>
      <c r="R53" s="12">
        <f t="shared" ref="R53:R80" si="9">IF(P$12=0,0,P53/P$12)</f>
        <v>0.48093014905705284</v>
      </c>
      <c r="S53" s="4"/>
      <c r="T53" s="4">
        <f>SUM(OSRRefT16x_0)</f>
        <v>1879449</v>
      </c>
      <c r="U53" s="4"/>
      <c r="V53" s="12">
        <f t="shared" ref="V53:V80" si="10">IF(T$12=0,0,T53/T$12)</f>
        <v>0.4578254467238223</v>
      </c>
      <c r="W53" s="4"/>
      <c r="X53" s="4">
        <f t="shared" ref="X53:X80" si="11">+P53-T53</f>
        <v>-642133.15999999945</v>
      </c>
      <c r="Y53" s="4"/>
      <c r="Z53" s="12">
        <f t="shared" ref="Z53:Z80" si="12">IF(T53=0,0,X53/T53)</f>
        <v>-0.34166032704265953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/>
      <c r="E54" s="2"/>
      <c r="F54" s="19">
        <f t="shared" si="5"/>
        <v>0</v>
      </c>
      <c r="G54" s="2"/>
      <c r="H54" s="2">
        <v>152153</v>
      </c>
      <c r="I54" s="2"/>
      <c r="J54" s="19">
        <f t="shared" si="6"/>
        <v>0.45666769713759187</v>
      </c>
      <c r="K54" s="2"/>
      <c r="L54" s="2">
        <f t="shared" si="7"/>
        <v>-152153</v>
      </c>
      <c r="M54" s="2"/>
      <c r="N54" s="19">
        <f t="shared" si="8"/>
        <v>-1</v>
      </c>
      <c r="O54" s="11"/>
      <c r="P54" s="2"/>
      <c r="Q54" s="2"/>
      <c r="R54" s="19">
        <f t="shared" si="9"/>
        <v>0</v>
      </c>
      <c r="S54" s="2"/>
      <c r="T54" s="2">
        <v>1879449</v>
      </c>
      <c r="U54" s="2"/>
      <c r="V54" s="19">
        <f t="shared" si="10"/>
        <v>0.4578254467238223</v>
      </c>
      <c r="W54" s="2"/>
      <c r="X54" s="2">
        <f t="shared" si="11"/>
        <v>-1879449</v>
      </c>
      <c r="Y54" s="2"/>
      <c r="Z54" s="19">
        <f t="shared" si="12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599.29</v>
      </c>
      <c r="Q55" s="2"/>
      <c r="R55" s="19">
        <f t="shared" si="9"/>
        <v>2.32936991276537E-4</v>
      </c>
      <c r="S55" s="2"/>
      <c r="T55" s="2"/>
      <c r="U55" s="2"/>
      <c r="V55" s="19">
        <f t="shared" si="10"/>
        <v>0</v>
      </c>
      <c r="W55" s="2"/>
      <c r="X55" s="2">
        <f t="shared" si="11"/>
        <v>599.29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-248.27</v>
      </c>
      <c r="E56" s="2"/>
      <c r="F56" s="19">
        <f t="shared" si="5"/>
        <v>-9.7117039586919098E-4</v>
      </c>
      <c r="G56" s="2"/>
      <c r="H56" s="2"/>
      <c r="I56" s="2"/>
      <c r="J56" s="19">
        <f t="shared" si="6"/>
        <v>0</v>
      </c>
      <c r="K56" s="2"/>
      <c r="L56" s="2">
        <f t="shared" si="7"/>
        <v>-248.27</v>
      </c>
      <c r="M56" s="2"/>
      <c r="N56" s="19">
        <f t="shared" si="8"/>
        <v>0</v>
      </c>
      <c r="O56" s="11"/>
      <c r="P56" s="2">
        <v>-30.68</v>
      </c>
      <c r="Q56" s="2"/>
      <c r="R56" s="19">
        <f t="shared" si="9"/>
        <v>-1.1924956018562224E-5</v>
      </c>
      <c r="S56" s="2"/>
      <c r="T56" s="2"/>
      <c r="U56" s="2"/>
      <c r="V56" s="19">
        <f t="shared" si="10"/>
        <v>0</v>
      </c>
      <c r="W56" s="2"/>
      <c r="X56" s="2">
        <f t="shared" si="11"/>
        <v>-30.68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-25389.13</v>
      </c>
      <c r="E57" s="2"/>
      <c r="F57" s="19">
        <f t="shared" si="5"/>
        <v>-9.9315952120168985E-2</v>
      </c>
      <c r="G57" s="2"/>
      <c r="H57" s="2"/>
      <c r="I57" s="2"/>
      <c r="J57" s="19">
        <f t="shared" si="6"/>
        <v>0</v>
      </c>
      <c r="K57" s="2"/>
      <c r="L57" s="2">
        <f t="shared" si="7"/>
        <v>-25389.13</v>
      </c>
      <c r="M57" s="2"/>
      <c r="N57" s="19">
        <f t="shared" si="8"/>
        <v>0</v>
      </c>
      <c r="O57" s="11"/>
      <c r="P57" s="2">
        <v>-2549.61</v>
      </c>
      <c r="Q57" s="2"/>
      <c r="R57" s="19">
        <f t="shared" si="9"/>
        <v>-9.9100349134571158E-4</v>
      </c>
      <c r="S57" s="2"/>
      <c r="T57" s="2"/>
      <c r="U57" s="2"/>
      <c r="V57" s="19">
        <f t="shared" si="10"/>
        <v>0</v>
      </c>
      <c r="W57" s="2"/>
      <c r="X57" s="2">
        <f t="shared" si="11"/>
        <v>-2549.61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-87214.83</v>
      </c>
      <c r="E58" s="2"/>
      <c r="F58" s="19">
        <f t="shared" si="5"/>
        <v>-0.34116268971991859</v>
      </c>
      <c r="G58" s="2"/>
      <c r="H58" s="2"/>
      <c r="I58" s="2"/>
      <c r="J58" s="19">
        <f t="shared" si="6"/>
        <v>0</v>
      </c>
      <c r="K58" s="2"/>
      <c r="L58" s="2">
        <f t="shared" si="7"/>
        <v>-87214.83</v>
      </c>
      <c r="M58" s="2"/>
      <c r="N58" s="19">
        <f t="shared" si="8"/>
        <v>0</v>
      </c>
      <c r="O58" s="11"/>
      <c r="P58" s="2">
        <v>-80975.94</v>
      </c>
      <c r="Q58" s="2"/>
      <c r="R58" s="19">
        <f t="shared" si="9"/>
        <v>-3.1474397752990012E-2</v>
      </c>
      <c r="S58" s="2"/>
      <c r="T58" s="2"/>
      <c r="U58" s="2"/>
      <c r="V58" s="19">
        <f t="shared" si="10"/>
        <v>0</v>
      </c>
      <c r="W58" s="2"/>
      <c r="X58" s="2">
        <f t="shared" si="11"/>
        <v>-80975.94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631.46</v>
      </c>
      <c r="E59" s="2"/>
      <c r="F59" s="19">
        <f t="shared" si="5"/>
        <v>2.4701142231262712E-3</v>
      </c>
      <c r="G59" s="2"/>
      <c r="H59" s="2"/>
      <c r="I59" s="2"/>
      <c r="J59" s="19">
        <f t="shared" si="6"/>
        <v>0</v>
      </c>
      <c r="K59" s="2"/>
      <c r="L59" s="2">
        <f t="shared" si="7"/>
        <v>631.46</v>
      </c>
      <c r="M59" s="2"/>
      <c r="N59" s="19">
        <f t="shared" si="8"/>
        <v>0</v>
      </c>
      <c r="O59" s="11"/>
      <c r="P59" s="2">
        <v>6255.98</v>
      </c>
      <c r="Q59" s="2"/>
      <c r="R59" s="19">
        <f t="shared" si="9"/>
        <v>2.4316260219362745E-3</v>
      </c>
      <c r="S59" s="2"/>
      <c r="T59" s="2"/>
      <c r="U59" s="2"/>
      <c r="V59" s="19">
        <f t="shared" si="10"/>
        <v>0</v>
      </c>
      <c r="W59" s="2"/>
      <c r="X59" s="2">
        <f t="shared" si="11"/>
        <v>6255.98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"5037", " - ", "PURCHASES @ COST-WATER")</f>
        <v xml:space="preserve">          5037 - PURCHASES @ COST-WATER</v>
      </c>
      <c r="C60" s="11"/>
      <c r="D60" s="2">
        <v>11</v>
      </c>
      <c r="E60" s="2"/>
      <c r="F60" s="19">
        <f t="shared" si="5"/>
        <v>4.3029259896729772E-5</v>
      </c>
      <c r="G60" s="2"/>
      <c r="H60" s="2"/>
      <c r="I60" s="2"/>
      <c r="J60" s="19">
        <f t="shared" si="6"/>
        <v>0</v>
      </c>
      <c r="K60" s="2"/>
      <c r="L60" s="2">
        <f t="shared" si="7"/>
        <v>11</v>
      </c>
      <c r="M60" s="2"/>
      <c r="N60" s="19">
        <f t="shared" si="8"/>
        <v>0</v>
      </c>
      <c r="O60" s="11"/>
      <c r="P60" s="2">
        <v>11</v>
      </c>
      <c r="Q60" s="2"/>
      <c r="R60" s="19">
        <f t="shared" si="9"/>
        <v>4.2755709323397807E-6</v>
      </c>
      <c r="S60" s="2"/>
      <c r="T60" s="2"/>
      <c r="U60" s="2"/>
      <c r="V60" s="19">
        <f t="shared" si="10"/>
        <v>0</v>
      </c>
      <c r="W60" s="2"/>
      <c r="X60" s="2">
        <f t="shared" si="11"/>
        <v>11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"5040", " - ", "PURCHASES @ COST-LOGO CLOTHING")</f>
        <v xml:space="preserve">          5040 - PURCHASES @ COST-LOGO CLOTHING</v>
      </c>
      <c r="C61" s="11"/>
      <c r="D61" s="2">
        <v>65486.18</v>
      </c>
      <c r="E61" s="2"/>
      <c r="F61" s="19">
        <f t="shared" si="5"/>
        <v>0.25616562353309341</v>
      </c>
      <c r="G61" s="2"/>
      <c r="H61" s="2"/>
      <c r="I61" s="2"/>
      <c r="J61" s="19">
        <f t="shared" si="6"/>
        <v>0</v>
      </c>
      <c r="K61" s="2"/>
      <c r="L61" s="2">
        <f t="shared" si="7"/>
        <v>65486.18</v>
      </c>
      <c r="M61" s="2"/>
      <c r="N61" s="19">
        <f t="shared" si="8"/>
        <v>0</v>
      </c>
      <c r="O61" s="11"/>
      <c r="P61" s="2">
        <v>392865.16</v>
      </c>
      <c r="Q61" s="2"/>
      <c r="R61" s="19">
        <f t="shared" si="9"/>
        <v>0.15270207803863792</v>
      </c>
      <c r="S61" s="2"/>
      <c r="T61" s="2"/>
      <c r="U61" s="2"/>
      <c r="V61" s="19">
        <f t="shared" si="10"/>
        <v>0</v>
      </c>
      <c r="W61" s="2"/>
      <c r="X61" s="2">
        <f t="shared" si="11"/>
        <v>392865.16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"5041", " - ", "PURCHASES @ COST-LOGO GIFTS")</f>
        <v xml:space="preserve">          5041 - PURCHASES @ COST-LOGO GIFTS</v>
      </c>
      <c r="C62" s="11"/>
      <c r="D62" s="2">
        <v>115476.79</v>
      </c>
      <c r="E62" s="2"/>
      <c r="F62" s="19">
        <f t="shared" si="5"/>
        <v>0.45171643717728049</v>
      </c>
      <c r="G62" s="2"/>
      <c r="H62" s="2"/>
      <c r="I62" s="2"/>
      <c r="J62" s="19">
        <f t="shared" si="6"/>
        <v>0</v>
      </c>
      <c r="K62" s="2"/>
      <c r="L62" s="2">
        <f t="shared" si="7"/>
        <v>115476.79</v>
      </c>
      <c r="M62" s="2"/>
      <c r="N62" s="19">
        <f t="shared" si="8"/>
        <v>0</v>
      </c>
      <c r="O62" s="11"/>
      <c r="P62" s="2">
        <v>221875.64</v>
      </c>
      <c r="Q62" s="2"/>
      <c r="R62" s="19">
        <f t="shared" si="9"/>
        <v>8.6240457907116874E-2</v>
      </c>
      <c r="S62" s="2"/>
      <c r="T62" s="2"/>
      <c r="U62" s="2"/>
      <c r="V62" s="19">
        <f t="shared" si="10"/>
        <v>0</v>
      </c>
      <c r="W62" s="2"/>
      <c r="X62" s="2">
        <f t="shared" si="11"/>
        <v>221875.64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"5042", " - ", "PURCHASES @ COST-EVERYDAY GIFT")</f>
        <v xml:space="preserve">          5042 - PURCHASES @ COST-EVERYDAY GIFT</v>
      </c>
      <c r="C63" s="11"/>
      <c r="D63" s="2">
        <v>-33.200000000000003</v>
      </c>
      <c r="E63" s="2"/>
      <c r="F63" s="19">
        <f t="shared" si="5"/>
        <v>-1.2987012987012987E-4</v>
      </c>
      <c r="G63" s="2"/>
      <c r="H63" s="2"/>
      <c r="I63" s="2"/>
      <c r="J63" s="19">
        <f t="shared" si="6"/>
        <v>0</v>
      </c>
      <c r="K63" s="2"/>
      <c r="L63" s="2">
        <f t="shared" si="7"/>
        <v>-33.200000000000003</v>
      </c>
      <c r="M63" s="2"/>
      <c r="N63" s="19">
        <f t="shared" si="8"/>
        <v>0</v>
      </c>
      <c r="O63" s="11"/>
      <c r="P63" s="2">
        <v>18714.87</v>
      </c>
      <c r="Q63" s="2"/>
      <c r="R63" s="19">
        <f t="shared" si="9"/>
        <v>7.2742503795016171E-3</v>
      </c>
      <c r="S63" s="2"/>
      <c r="T63" s="2"/>
      <c r="U63" s="2"/>
      <c r="V63" s="19">
        <f t="shared" si="10"/>
        <v>0</v>
      </c>
      <c r="W63" s="2"/>
      <c r="X63" s="2">
        <f t="shared" si="11"/>
        <v>18714.87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"5043", " - ", "PURCHASES @ COST-CARDS")</f>
        <v xml:space="preserve">          5043 - PURCHASES @ COST-CARDS</v>
      </c>
      <c r="C64" s="11"/>
      <c r="D64" s="2">
        <v>-4615.6499999999996</v>
      </c>
      <c r="E64" s="2"/>
      <c r="F64" s="19">
        <f t="shared" si="5"/>
        <v>-1.8055273040212795E-2</v>
      </c>
      <c r="G64" s="2"/>
      <c r="H64" s="2"/>
      <c r="I64" s="2"/>
      <c r="J64" s="19">
        <f t="shared" si="6"/>
        <v>0</v>
      </c>
      <c r="K64" s="2"/>
      <c r="L64" s="2">
        <f t="shared" si="7"/>
        <v>-4615.6499999999996</v>
      </c>
      <c r="M64" s="2"/>
      <c r="N64" s="19">
        <f t="shared" si="8"/>
        <v>0</v>
      </c>
      <c r="O64" s="11"/>
      <c r="P64" s="2">
        <v>50967.68</v>
      </c>
      <c r="Q64" s="2"/>
      <c r="R64" s="19">
        <f t="shared" si="9"/>
        <v>1.9810539190617781E-2</v>
      </c>
      <c r="S64" s="2"/>
      <c r="T64" s="2"/>
      <c r="U64" s="2"/>
      <c r="V64" s="19">
        <f t="shared" si="10"/>
        <v>0</v>
      </c>
      <c r="W64" s="2"/>
      <c r="X64" s="2">
        <f t="shared" si="11"/>
        <v>50967.68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"5044", " - ", "PURCHASES @ COST-ACCESSORIES")</f>
        <v xml:space="preserve">          5044 - PURCHASES @ COST-ACCESSORIES</v>
      </c>
      <c r="C65" s="11"/>
      <c r="D65" s="2">
        <v>4371.2</v>
      </c>
      <c r="E65" s="2"/>
      <c r="F65" s="19">
        <f t="shared" si="5"/>
        <v>1.7099045532780469E-2</v>
      </c>
      <c r="G65" s="2"/>
      <c r="H65" s="2"/>
      <c r="I65" s="2"/>
      <c r="J65" s="19">
        <f t="shared" si="6"/>
        <v>0</v>
      </c>
      <c r="K65" s="2"/>
      <c r="L65" s="2">
        <f t="shared" si="7"/>
        <v>4371.2</v>
      </c>
      <c r="M65" s="2"/>
      <c r="N65" s="19">
        <f t="shared" si="8"/>
        <v>0</v>
      </c>
      <c r="O65" s="11"/>
      <c r="P65" s="2">
        <v>6926.91</v>
      </c>
      <c r="Q65" s="2"/>
      <c r="R65" s="19">
        <f t="shared" si="9"/>
        <v>2.6924086406303407E-3</v>
      </c>
      <c r="S65" s="2"/>
      <c r="T65" s="2"/>
      <c r="U65" s="2"/>
      <c r="V65" s="19">
        <f t="shared" si="10"/>
        <v>0</v>
      </c>
      <c r="W65" s="2"/>
      <c r="X65" s="2">
        <f t="shared" si="11"/>
        <v>6926.91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"5045", " - ", "PURCHASES @ COST-SPECIAL ORDER")</f>
        <v xml:space="preserve">          5045 - PURCHASES @ COST-SPECIAL ORDER</v>
      </c>
      <c r="C66" s="11"/>
      <c r="D66" s="2">
        <v>33785.81</v>
      </c>
      <c r="E66" s="2"/>
      <c r="F66" s="19">
        <f t="shared" si="5"/>
        <v>0.13216167266468468</v>
      </c>
      <c r="G66" s="2"/>
      <c r="H66" s="2"/>
      <c r="I66" s="2"/>
      <c r="J66" s="19">
        <f t="shared" si="6"/>
        <v>0</v>
      </c>
      <c r="K66" s="2"/>
      <c r="L66" s="2">
        <f t="shared" si="7"/>
        <v>33785.81</v>
      </c>
      <c r="M66" s="2"/>
      <c r="N66" s="19">
        <f t="shared" si="8"/>
        <v>0</v>
      </c>
      <c r="O66" s="11"/>
      <c r="P66" s="2">
        <v>172925.05</v>
      </c>
      <c r="Q66" s="2"/>
      <c r="R66" s="19">
        <f t="shared" si="9"/>
        <v>6.7213937932127557E-2</v>
      </c>
      <c r="S66" s="2"/>
      <c r="T66" s="2"/>
      <c r="U66" s="2"/>
      <c r="V66" s="19">
        <f t="shared" si="10"/>
        <v>0</v>
      </c>
      <c r="W66" s="2"/>
      <c r="X66" s="2">
        <f t="shared" si="11"/>
        <v>172925.05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"5086", " - ", "PURCHASES @ COST-COMPUTER SUPP")</f>
        <v xml:space="preserve">          5086 - PURCHASES @ COST-COMPUTER SUPP</v>
      </c>
      <c r="C67" s="11"/>
      <c r="D67" s="2">
        <v>13.21</v>
      </c>
      <c r="E67" s="2"/>
      <c r="F67" s="19">
        <f t="shared" si="5"/>
        <v>5.1674229385072758E-5</v>
      </c>
      <c r="G67" s="2"/>
      <c r="H67" s="2"/>
      <c r="I67" s="2"/>
      <c r="J67" s="19">
        <f t="shared" si="6"/>
        <v>0</v>
      </c>
      <c r="K67" s="2"/>
      <c r="L67" s="2">
        <f t="shared" si="7"/>
        <v>13.21</v>
      </c>
      <c r="M67" s="2"/>
      <c r="N67" s="19">
        <f t="shared" si="8"/>
        <v>0</v>
      </c>
      <c r="O67" s="11"/>
      <c r="P67" s="2">
        <v>26.42</v>
      </c>
      <c r="Q67" s="2"/>
      <c r="R67" s="19">
        <f t="shared" si="9"/>
        <v>1.0269144002947E-5</v>
      </c>
      <c r="S67" s="2"/>
      <c r="T67" s="2"/>
      <c r="U67" s="2"/>
      <c r="V67" s="19">
        <f t="shared" si="10"/>
        <v>0</v>
      </c>
      <c r="W67" s="2"/>
      <c r="X67" s="2">
        <f t="shared" si="11"/>
        <v>26.42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"5200", " - ", "PURCHASES OFFSET")</f>
        <v xml:space="preserve">          5200 - PURCHASES OFFSET</v>
      </c>
      <c r="C68" s="11"/>
      <c r="D68" s="2">
        <v>-236426.85</v>
      </c>
      <c r="E68" s="2"/>
      <c r="F68" s="19">
        <f t="shared" si="5"/>
        <v>-0.92484294320137683</v>
      </c>
      <c r="G68" s="2"/>
      <c r="H68" s="2"/>
      <c r="I68" s="2"/>
      <c r="J68" s="19">
        <f t="shared" si="6"/>
        <v>0</v>
      </c>
      <c r="K68" s="2"/>
      <c r="L68" s="2">
        <f t="shared" si="7"/>
        <v>-236426.85</v>
      </c>
      <c r="M68" s="2"/>
      <c r="N68" s="19">
        <f t="shared" si="8"/>
        <v>0</v>
      </c>
      <c r="O68" s="11"/>
      <c r="P68" s="2">
        <v>-950028.99</v>
      </c>
      <c r="Q68" s="2"/>
      <c r="R68" s="19">
        <f t="shared" si="9"/>
        <v>-0.36926512132037453</v>
      </c>
      <c r="S68" s="2"/>
      <c r="T68" s="2"/>
      <c r="U68" s="2"/>
      <c r="V68" s="19">
        <f t="shared" si="10"/>
        <v>0</v>
      </c>
      <c r="W68" s="2"/>
      <c r="X68" s="2">
        <f t="shared" si="11"/>
        <v>-950028.99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"5300", " - ", "COG$ OFFSET")</f>
        <v xml:space="preserve">          5300 - COG$ OFFSET</v>
      </c>
      <c r="C69" s="11"/>
      <c r="D69" s="2">
        <v>146675</v>
      </c>
      <c r="E69" s="2"/>
      <c r="F69" s="19">
        <f t="shared" si="5"/>
        <v>0.5737560632138945</v>
      </c>
      <c r="G69" s="2"/>
      <c r="H69" s="2"/>
      <c r="I69" s="2"/>
      <c r="J69" s="19">
        <f t="shared" si="6"/>
        <v>0</v>
      </c>
      <c r="K69" s="2"/>
      <c r="L69" s="2">
        <f t="shared" si="7"/>
        <v>146675</v>
      </c>
      <c r="M69" s="2"/>
      <c r="N69" s="19">
        <f t="shared" si="8"/>
        <v>0</v>
      </c>
      <c r="O69" s="11"/>
      <c r="P69" s="2">
        <v>1367254</v>
      </c>
      <c r="Q69" s="2"/>
      <c r="R69" s="19">
        <f t="shared" si="9"/>
        <v>0.53143558722957218</v>
      </c>
      <c r="S69" s="2"/>
      <c r="T69" s="2"/>
      <c r="U69" s="2"/>
      <c r="V69" s="19">
        <f t="shared" si="10"/>
        <v>0</v>
      </c>
      <c r="W69" s="2"/>
      <c r="X69" s="2">
        <f t="shared" si="11"/>
        <v>1367254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"5500", " - ", "FREIGHT-IN")</f>
        <v xml:space="preserve">          5500 - FREIGHT-IN</v>
      </c>
      <c r="C70" s="11"/>
      <c r="D70" s="2">
        <v>65</v>
      </c>
      <c r="E70" s="2"/>
      <c r="F70" s="19">
        <f t="shared" si="5"/>
        <v>2.5426380848067592E-4</v>
      </c>
      <c r="G70" s="2"/>
      <c r="H70" s="2"/>
      <c r="I70" s="2"/>
      <c r="J70" s="19">
        <f t="shared" si="6"/>
        <v>0</v>
      </c>
      <c r="K70" s="2"/>
      <c r="L70" s="2">
        <f t="shared" si="7"/>
        <v>65</v>
      </c>
      <c r="M70" s="2"/>
      <c r="N70" s="19">
        <f t="shared" si="8"/>
        <v>0</v>
      </c>
      <c r="O70" s="11"/>
      <c r="P70" s="2">
        <v>65</v>
      </c>
      <c r="Q70" s="2"/>
      <c r="R70" s="19">
        <f t="shared" si="9"/>
        <v>2.5264737327462341E-5</v>
      </c>
      <c r="S70" s="2"/>
      <c r="T70" s="2"/>
      <c r="U70" s="2"/>
      <c r="V70" s="19">
        <f t="shared" si="10"/>
        <v>0</v>
      </c>
      <c r="W70" s="2"/>
      <c r="X70" s="2">
        <f t="shared" si="11"/>
        <v>65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"5525", " - ", "FREIGHT-IN-TEST FORMS")</f>
        <v xml:space="preserve">          5525 - FREIGHT-IN-TEST FORMS</v>
      </c>
      <c r="C71" s="11"/>
      <c r="D71" s="2"/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0</v>
      </c>
      <c r="M71" s="2"/>
      <c r="N71" s="19">
        <f t="shared" si="8"/>
        <v>0</v>
      </c>
      <c r="O71" s="11"/>
      <c r="P71" s="2">
        <v>48.14</v>
      </c>
      <c r="Q71" s="2"/>
      <c r="R71" s="19">
        <f t="shared" si="9"/>
        <v>1.8711453152985186E-5</v>
      </c>
      <c r="S71" s="2"/>
      <c r="T71" s="2"/>
      <c r="U71" s="2"/>
      <c r="V71" s="19">
        <f t="shared" si="10"/>
        <v>0</v>
      </c>
      <c r="W71" s="2"/>
      <c r="X71" s="2">
        <f t="shared" si="11"/>
        <v>48.14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"5526", " - ", "FREIGHT-IN-WRITING INSTRUMENTS")</f>
        <v xml:space="preserve">          5526 - FREIGHT-IN-WRITING INSTRUMENTS</v>
      </c>
      <c r="C72" s="11"/>
      <c r="D72" s="2"/>
      <c r="E72" s="2"/>
      <c r="F72" s="19">
        <f t="shared" si="5"/>
        <v>0</v>
      </c>
      <c r="G72" s="2"/>
      <c r="H72" s="2"/>
      <c r="I72" s="2"/>
      <c r="J72" s="19">
        <f t="shared" si="6"/>
        <v>0</v>
      </c>
      <c r="K72" s="2"/>
      <c r="L72" s="2">
        <f t="shared" si="7"/>
        <v>0</v>
      </c>
      <c r="M72" s="2"/>
      <c r="N72" s="19">
        <f t="shared" si="8"/>
        <v>0</v>
      </c>
      <c r="O72" s="11"/>
      <c r="P72" s="2">
        <v>0</v>
      </c>
      <c r="Q72" s="2"/>
      <c r="R72" s="19">
        <f t="shared" si="9"/>
        <v>0</v>
      </c>
      <c r="S72" s="2"/>
      <c r="T72" s="2"/>
      <c r="U72" s="2"/>
      <c r="V72" s="19">
        <f t="shared" si="10"/>
        <v>0</v>
      </c>
      <c r="W72" s="2"/>
      <c r="X72" s="2">
        <f t="shared" si="11"/>
        <v>0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/>
      <c r="E73" s="2"/>
      <c r="F73" s="19">
        <f t="shared" si="5"/>
        <v>0</v>
      </c>
      <c r="G73" s="2"/>
      <c r="H73" s="2"/>
      <c r="I73" s="2"/>
      <c r="J73" s="19">
        <f t="shared" si="6"/>
        <v>0</v>
      </c>
      <c r="K73" s="2"/>
      <c r="L73" s="2">
        <f t="shared" si="7"/>
        <v>0</v>
      </c>
      <c r="M73" s="2"/>
      <c r="N73" s="19">
        <f t="shared" si="8"/>
        <v>0</v>
      </c>
      <c r="O73" s="11"/>
      <c r="P73" s="2">
        <v>218.62</v>
      </c>
      <c r="Q73" s="2"/>
      <c r="R73" s="19">
        <f t="shared" si="9"/>
        <v>8.4975028838920257E-5</v>
      </c>
      <c r="S73" s="2"/>
      <c r="T73" s="2"/>
      <c r="U73" s="2"/>
      <c r="V73" s="19">
        <f t="shared" si="10"/>
        <v>0</v>
      </c>
      <c r="W73" s="2"/>
      <c r="X73" s="2">
        <f t="shared" si="11"/>
        <v>218.62</v>
      </c>
      <c r="Y73" s="2"/>
      <c r="Z73" s="19">
        <f t="shared" si="12"/>
        <v>0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102.68</v>
      </c>
      <c r="E74" s="2"/>
      <c r="F74" s="19">
        <f t="shared" si="5"/>
        <v>4.0165858238147393E-4</v>
      </c>
      <c r="G74" s="2"/>
      <c r="H74" s="2"/>
      <c r="I74" s="2"/>
      <c r="J74" s="19">
        <f t="shared" si="6"/>
        <v>0</v>
      </c>
      <c r="K74" s="2"/>
      <c r="L74" s="2">
        <f t="shared" si="7"/>
        <v>102.68</v>
      </c>
      <c r="M74" s="2"/>
      <c r="N74" s="19">
        <f t="shared" si="8"/>
        <v>0</v>
      </c>
      <c r="O74" s="11"/>
      <c r="P74" s="2">
        <v>279.58999999999997</v>
      </c>
      <c r="Q74" s="2"/>
      <c r="R74" s="19">
        <f t="shared" si="9"/>
        <v>1.0867335245207993E-4</v>
      </c>
      <c r="S74" s="2"/>
      <c r="T74" s="2"/>
      <c r="U74" s="2"/>
      <c r="V74" s="19">
        <f t="shared" si="10"/>
        <v>0</v>
      </c>
      <c r="W74" s="2"/>
      <c r="X74" s="2">
        <f t="shared" si="11"/>
        <v>279.58999999999997</v>
      </c>
      <c r="Y74" s="2"/>
      <c r="Z74" s="19">
        <f t="shared" si="12"/>
        <v>0</v>
      </c>
    </row>
    <row r="75" spans="1:26" s="24" customFormat="1" hidden="1" outlineLevel="1" x14ac:dyDescent="0.25">
      <c r="A75" s="44"/>
      <c r="B75" s="11" t="str">
        <f>CONCATENATE("          ", "5540", " - ", "FREIGHT-IN-LOGO CLOTHING")</f>
        <v xml:space="preserve">          5540 - FREIGHT-IN-LOGO CLOTHING</v>
      </c>
      <c r="C75" s="11"/>
      <c r="D75" s="2">
        <v>1384.09</v>
      </c>
      <c r="E75" s="2"/>
      <c r="F75" s="19">
        <f t="shared" si="5"/>
        <v>5.4142153027695187E-3</v>
      </c>
      <c r="G75" s="2"/>
      <c r="H75" s="2"/>
      <c r="I75" s="2"/>
      <c r="J75" s="19">
        <f t="shared" si="6"/>
        <v>0</v>
      </c>
      <c r="K75" s="2"/>
      <c r="L75" s="2">
        <f t="shared" si="7"/>
        <v>1384.09</v>
      </c>
      <c r="M75" s="2"/>
      <c r="N75" s="19">
        <f t="shared" si="8"/>
        <v>0</v>
      </c>
      <c r="O75" s="11"/>
      <c r="P75" s="2">
        <v>11883.79</v>
      </c>
      <c r="Q75" s="2"/>
      <c r="R75" s="19">
        <f t="shared" si="9"/>
        <v>4.6190897354572878E-3</v>
      </c>
      <c r="S75" s="2"/>
      <c r="T75" s="2"/>
      <c r="U75" s="2"/>
      <c r="V75" s="19">
        <f t="shared" si="10"/>
        <v>0</v>
      </c>
      <c r="W75" s="2"/>
      <c r="X75" s="2">
        <f t="shared" si="11"/>
        <v>11883.79</v>
      </c>
      <c r="Y75" s="2"/>
      <c r="Z75" s="19">
        <f t="shared" si="12"/>
        <v>0</v>
      </c>
    </row>
    <row r="76" spans="1:26" s="24" customFormat="1" hidden="1" outlineLevel="1" x14ac:dyDescent="0.25">
      <c r="A76" s="44"/>
      <c r="B76" s="11" t="str">
        <f>CONCATENATE("          ", "5541", " - ", "FREIGHT-IN-LOGO GIFTS")</f>
        <v xml:space="preserve">          5541 - FREIGHT-IN-LOGO GIFTS</v>
      </c>
      <c r="C76" s="11"/>
      <c r="D76" s="2">
        <v>1606.81</v>
      </c>
      <c r="E76" s="2"/>
      <c r="F76" s="19">
        <f t="shared" si="5"/>
        <v>6.2854404631513053E-3</v>
      </c>
      <c r="G76" s="2"/>
      <c r="H76" s="2"/>
      <c r="I76" s="2"/>
      <c r="J76" s="19">
        <f t="shared" si="6"/>
        <v>0</v>
      </c>
      <c r="K76" s="2"/>
      <c r="L76" s="2">
        <f t="shared" si="7"/>
        <v>1606.81</v>
      </c>
      <c r="M76" s="2"/>
      <c r="N76" s="19">
        <f t="shared" si="8"/>
        <v>0</v>
      </c>
      <c r="O76" s="11"/>
      <c r="P76" s="2">
        <v>7584.01</v>
      </c>
      <c r="Q76" s="2"/>
      <c r="R76" s="19">
        <f t="shared" si="9"/>
        <v>2.9478157005976566E-3</v>
      </c>
      <c r="S76" s="2"/>
      <c r="T76" s="2"/>
      <c r="U76" s="2"/>
      <c r="V76" s="19">
        <f t="shared" si="10"/>
        <v>0</v>
      </c>
      <c r="W76" s="2"/>
      <c r="X76" s="2">
        <f t="shared" si="11"/>
        <v>7584.01</v>
      </c>
      <c r="Y76" s="2"/>
      <c r="Z76" s="19">
        <f t="shared" si="12"/>
        <v>0</v>
      </c>
    </row>
    <row r="77" spans="1:26" s="24" customFormat="1" hidden="1" outlineLevel="1" x14ac:dyDescent="0.25">
      <c r="A77" s="44"/>
      <c r="B77" s="11" t="str">
        <f>CONCATENATE("          ", "5542", " - ", "FREIGHT-IN-EVERYDAY GIFTS")</f>
        <v xml:space="preserve">          5542 - FREIGHT-IN-EVERYDAY GIFTS</v>
      </c>
      <c r="C77" s="11"/>
      <c r="D77" s="2"/>
      <c r="E77" s="2"/>
      <c r="F77" s="19">
        <f t="shared" si="5"/>
        <v>0</v>
      </c>
      <c r="G77" s="2"/>
      <c r="H77" s="2"/>
      <c r="I77" s="2"/>
      <c r="J77" s="19">
        <f t="shared" si="6"/>
        <v>0</v>
      </c>
      <c r="K77" s="2"/>
      <c r="L77" s="2">
        <f t="shared" si="7"/>
        <v>0</v>
      </c>
      <c r="M77" s="2"/>
      <c r="N77" s="19">
        <f t="shared" si="8"/>
        <v>0</v>
      </c>
      <c r="O77" s="11"/>
      <c r="P77" s="2">
        <v>681.72</v>
      </c>
      <c r="Q77" s="2"/>
      <c r="R77" s="19">
        <f t="shared" si="9"/>
        <v>2.6497656509042502E-4</v>
      </c>
      <c r="S77" s="2"/>
      <c r="T77" s="2"/>
      <c r="U77" s="2"/>
      <c r="V77" s="19">
        <f t="shared" si="10"/>
        <v>0</v>
      </c>
      <c r="W77" s="2"/>
      <c r="X77" s="2">
        <f t="shared" si="11"/>
        <v>681.72</v>
      </c>
      <c r="Y77" s="2"/>
      <c r="Z77" s="19">
        <f t="shared" si="12"/>
        <v>0</v>
      </c>
    </row>
    <row r="78" spans="1:26" s="24" customFormat="1" hidden="1" outlineLevel="1" x14ac:dyDescent="0.25">
      <c r="A78" s="44"/>
      <c r="B78" s="11" t="str">
        <f>CONCATENATE("          ", "5543", " - ", "FREIGHT-IN-CARDS")</f>
        <v xml:space="preserve">          5543 - FREIGHT-IN-CARDS</v>
      </c>
      <c r="C78" s="11"/>
      <c r="D78" s="2"/>
      <c r="E78" s="2"/>
      <c r="F78" s="19">
        <f t="shared" si="5"/>
        <v>0</v>
      </c>
      <c r="G78" s="2"/>
      <c r="H78" s="2"/>
      <c r="I78" s="2"/>
      <c r="J78" s="19">
        <f t="shared" si="6"/>
        <v>0</v>
      </c>
      <c r="K78" s="2"/>
      <c r="L78" s="2">
        <f t="shared" si="7"/>
        <v>0</v>
      </c>
      <c r="M78" s="2"/>
      <c r="N78" s="19">
        <f t="shared" si="8"/>
        <v>0</v>
      </c>
      <c r="O78" s="11"/>
      <c r="P78" s="2">
        <v>9110.5300000000007</v>
      </c>
      <c r="Q78" s="2"/>
      <c r="R78" s="19">
        <f t="shared" si="9"/>
        <v>3.5411561132917767E-3</v>
      </c>
      <c r="S78" s="2"/>
      <c r="T78" s="2"/>
      <c r="U78" s="2"/>
      <c r="V78" s="19">
        <f t="shared" si="10"/>
        <v>0</v>
      </c>
      <c r="W78" s="2"/>
      <c r="X78" s="2">
        <f t="shared" si="11"/>
        <v>9110.5300000000007</v>
      </c>
      <c r="Y78" s="2"/>
      <c r="Z78" s="19">
        <f t="shared" si="12"/>
        <v>0</v>
      </c>
    </row>
    <row r="79" spans="1:26" s="24" customFormat="1" hidden="1" outlineLevel="1" x14ac:dyDescent="0.25">
      <c r="A79" s="44"/>
      <c r="B79" s="11" t="str">
        <f>CONCATENATE("          ", "5544", " - ", "FREIGHT-IN-ACCESSORIES")</f>
        <v xml:space="preserve">          5544 - FREIGHT-IN-ACCESSORIES</v>
      </c>
      <c r="C79" s="11"/>
      <c r="D79" s="2">
        <v>48.59</v>
      </c>
      <c r="E79" s="2"/>
      <c r="F79" s="19">
        <f t="shared" si="5"/>
        <v>1.9007197621655452E-4</v>
      </c>
      <c r="G79" s="2"/>
      <c r="H79" s="2"/>
      <c r="I79" s="2"/>
      <c r="J79" s="19">
        <f t="shared" si="6"/>
        <v>0</v>
      </c>
      <c r="K79" s="2"/>
      <c r="L79" s="2">
        <f t="shared" si="7"/>
        <v>48.59</v>
      </c>
      <c r="M79" s="2"/>
      <c r="N79" s="19">
        <f t="shared" si="8"/>
        <v>0</v>
      </c>
      <c r="O79" s="11"/>
      <c r="P79" s="2">
        <v>48.59</v>
      </c>
      <c r="Q79" s="2"/>
      <c r="R79" s="19">
        <f t="shared" si="9"/>
        <v>1.8886362872944541E-5</v>
      </c>
      <c r="S79" s="2"/>
      <c r="T79" s="2"/>
      <c r="U79" s="2"/>
      <c r="V79" s="19">
        <f t="shared" si="10"/>
        <v>0</v>
      </c>
      <c r="W79" s="2"/>
      <c r="X79" s="2">
        <f t="shared" si="11"/>
        <v>48.59</v>
      </c>
      <c r="Y79" s="2"/>
      <c r="Z79" s="19">
        <f t="shared" si="12"/>
        <v>0</v>
      </c>
    </row>
    <row r="80" spans="1:26" s="24" customFormat="1" hidden="1" outlineLevel="1" x14ac:dyDescent="0.25">
      <c r="A80" s="44"/>
      <c r="B80" s="11" t="str">
        <f>CONCATENATE("          ", "5545", " - ", "FREIGHT-IN-SPECIAL ORDERS")</f>
        <v xml:space="preserve">          5545 - FREIGHT-IN-SPECIAL ORDERS</v>
      </c>
      <c r="C80" s="11"/>
      <c r="D80" s="2">
        <v>90.41</v>
      </c>
      <c r="E80" s="2"/>
      <c r="F80" s="19">
        <f t="shared" si="5"/>
        <v>3.5366139884212167E-4</v>
      </c>
      <c r="G80" s="2"/>
      <c r="H80" s="2"/>
      <c r="I80" s="2"/>
      <c r="J80" s="19">
        <f t="shared" si="6"/>
        <v>0</v>
      </c>
      <c r="K80" s="2"/>
      <c r="L80" s="2">
        <f t="shared" si="7"/>
        <v>90.41</v>
      </c>
      <c r="M80" s="2"/>
      <c r="N80" s="19">
        <f t="shared" si="8"/>
        <v>0</v>
      </c>
      <c r="O80" s="11"/>
      <c r="P80" s="2">
        <v>2559.0700000000002</v>
      </c>
      <c r="Q80" s="2"/>
      <c r="R80" s="19">
        <f t="shared" si="9"/>
        <v>9.9468048234752386E-4</v>
      </c>
      <c r="S80" s="2"/>
      <c r="T80" s="2"/>
      <c r="U80" s="2"/>
      <c r="V80" s="19">
        <f t="shared" si="10"/>
        <v>0</v>
      </c>
      <c r="W80" s="2"/>
      <c r="X80" s="2">
        <f t="shared" si="11"/>
        <v>2559.0700000000002</v>
      </c>
      <c r="Y80" s="2"/>
      <c r="Z80" s="19">
        <f t="shared" si="12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108</v>
      </c>
      <c r="C82" s="28"/>
      <c r="D82" s="20">
        <f>D12-D53</f>
        <v>239819.70000000007</v>
      </c>
      <c r="E82" s="14"/>
      <c r="F82" s="22">
        <f>IF(D$12=0,0,D82/D$12)</f>
        <v>0.93811492724143342</v>
      </c>
      <c r="G82" s="14"/>
      <c r="H82" s="20">
        <f>H12-H53</f>
        <v>181028</v>
      </c>
      <c r="I82" s="14"/>
      <c r="J82" s="22">
        <f>IF(H$12=0,0,H82/H$12)</f>
        <v>0.54333230286240808</v>
      </c>
      <c r="K82" s="16"/>
      <c r="L82" s="20">
        <f>+D82-H82</f>
        <v>58791.70000000007</v>
      </c>
      <c r="M82" s="16"/>
      <c r="N82" s="22">
        <f>IF(H82=0,0,L82/H82)</f>
        <v>0.32476578208895901</v>
      </c>
      <c r="O82" s="29"/>
      <c r="P82" s="20">
        <f>P12-P53</f>
        <v>1335439.9800000002</v>
      </c>
      <c r="Q82" s="14"/>
      <c r="R82" s="22">
        <f>IF(P$12=0,0,P82/P$12)</f>
        <v>0.51906985094294722</v>
      </c>
      <c r="S82" s="14"/>
      <c r="T82" s="20">
        <f>T12-T53</f>
        <v>2225716</v>
      </c>
      <c r="U82" s="14"/>
      <c r="V82" s="22">
        <f>IF(T$12=0,0,T82/T$12)</f>
        <v>0.5421745532761777</v>
      </c>
      <c r="W82" s="16"/>
      <c r="X82" s="20">
        <f>+P82-T82</f>
        <v>-890276.01999999979</v>
      </c>
      <c r="Y82" s="16"/>
      <c r="Z82" s="22">
        <f>IF(T82=0,0,X82/T82)</f>
        <v>-0.3999953363322184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295</v>
      </c>
      <c r="C84" s="10"/>
      <c r="D84" s="21">
        <f>SUM(OSRRefD22x_0)</f>
        <v>66578.39999999998</v>
      </c>
      <c r="E84" s="21"/>
      <c r="F84" s="30">
        <f t="shared" ref="F84:F94" si="13">IF(D$12=0,0,D84/D$12)</f>
        <v>0.26043811610076661</v>
      </c>
      <c r="G84" s="21"/>
      <c r="H84" s="21">
        <f>SUM(OSRRefH22x_0)</f>
        <v>120877.04092482303</v>
      </c>
      <c r="I84" s="21"/>
      <c r="J84" s="30">
        <f t="shared" ref="J84:J94" si="14">IF(H$12=0,0,H84/H$12)</f>
        <v>0.36279692096735117</v>
      </c>
      <c r="K84" s="4"/>
      <c r="L84" s="21">
        <f t="shared" ref="L84:L94" si="15">+D84-H84</f>
        <v>-54298.640924823048</v>
      </c>
      <c r="M84" s="4"/>
      <c r="N84" s="30">
        <f t="shared" ref="N84:N94" si="16">IF(H84=0,0,L84/H84)</f>
        <v>-0.44920557708384806</v>
      </c>
      <c r="O84" s="10"/>
      <c r="P84" s="21">
        <f>SUM(OSRRefP22x_0)</f>
        <v>821052.28999999992</v>
      </c>
      <c r="Q84" s="21"/>
      <c r="R84" s="30">
        <f t="shared" ref="R84:R94" si="17">IF(P$12=0,0,P84/P$12)</f>
        <v>0.31913339136863744</v>
      </c>
      <c r="S84" s="21"/>
      <c r="T84" s="21">
        <f>SUM(OSRRefT22x_0)</f>
        <v>1539307.3333729</v>
      </c>
      <c r="U84" s="21"/>
      <c r="V84" s="30">
        <f t="shared" ref="V84:V94" si="18">IF(T$12=0,0,T84/T$12)</f>
        <v>0.37496844423376408</v>
      </c>
      <c r="W84" s="4"/>
      <c r="X84" s="21">
        <f t="shared" ref="X84:X94" si="19">+P84-T84</f>
        <v>-718255.04337290011</v>
      </c>
      <c r="Y84" s="4"/>
      <c r="Z84" s="30">
        <f t="shared" ref="Z84:Z94" si="20">IF(T84=0,0,X84/T84)</f>
        <v>-0.46660925196729475</v>
      </c>
    </row>
    <row r="85" spans="1:26" s="27" customFormat="1" outlineLevel="1" collapsed="1" x14ac:dyDescent="0.25">
      <c r="A85" s="25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14579.05</v>
      </c>
      <c r="E85" s="1"/>
      <c r="F85" s="5">
        <f t="shared" si="13"/>
        <v>5.7029611954310742E-2</v>
      </c>
      <c r="G85" s="1"/>
      <c r="H85" s="1">
        <f>SUM(OSRRefH22_0x_0)</f>
        <v>16588.019386361528</v>
      </c>
      <c r="I85" s="1"/>
      <c r="J85" s="5">
        <f t="shared" si="14"/>
        <v>4.9786810731588922E-2</v>
      </c>
      <c r="K85" s="1"/>
      <c r="L85" s="1">
        <f t="shared" si="15"/>
        <v>-2008.9693863615284</v>
      </c>
      <c r="M85" s="1"/>
      <c r="N85" s="5">
        <f t="shared" si="16"/>
        <v>-0.12110965990389903</v>
      </c>
      <c r="O85" s="13"/>
      <c r="P85" s="1">
        <f>SUM(OSRRefP22_0x_0)</f>
        <v>178221.96000000002</v>
      </c>
      <c r="Q85" s="1"/>
      <c r="R85" s="5">
        <f t="shared" si="17"/>
        <v>6.9272784698238471E-2</v>
      </c>
      <c r="S85" s="1"/>
      <c r="T85" s="1">
        <f>SUM(OSRRefT22_0x_0)</f>
        <v>181846.75837290002</v>
      </c>
      <c r="U85" s="1"/>
      <c r="V85" s="5">
        <f t="shared" si="18"/>
        <v>4.4297064398848771E-2</v>
      </c>
      <c r="W85" s="1"/>
      <c r="X85" s="1">
        <f t="shared" si="19"/>
        <v>-3624.798372899997</v>
      </c>
      <c r="Y85" s="1"/>
      <c r="Z85" s="5">
        <f t="shared" si="20"/>
        <v>-1.9933258119822432E-2</v>
      </c>
    </row>
    <row r="86" spans="1:26" s="24" customFormat="1" hidden="1" outlineLevel="2" x14ac:dyDescent="0.25">
      <c r="A86" s="26"/>
      <c r="B86" s="11" t="str">
        <f>CONCATENATE("          ", "6111", " - ", "F.I.C.A.")</f>
        <v xml:space="preserve">          6111 - F.I.C.A.</v>
      </c>
      <c r="C86" s="11"/>
      <c r="D86" s="6">
        <v>3348.97</v>
      </c>
      <c r="E86" s="2"/>
      <c r="F86" s="7">
        <f t="shared" si="13"/>
        <v>1.3100336410577371E-2</v>
      </c>
      <c r="G86" s="2"/>
      <c r="H86" s="6">
        <v>4628.9305310538502</v>
      </c>
      <c r="I86" s="2"/>
      <c r="J86" s="7">
        <f t="shared" si="14"/>
        <v>1.389314075848818E-2</v>
      </c>
      <c r="K86" s="2"/>
      <c r="L86" s="6">
        <f t="shared" si="15"/>
        <v>-1279.9605310538504</v>
      </c>
      <c r="M86" s="2"/>
      <c r="N86" s="7">
        <f t="shared" si="16"/>
        <v>-0.27651322966872155</v>
      </c>
      <c r="O86" s="11"/>
      <c r="P86" s="6">
        <v>35934.33</v>
      </c>
      <c r="Q86" s="2"/>
      <c r="R86" s="7">
        <f t="shared" si="17"/>
        <v>1.3967252438282306E-2</v>
      </c>
      <c r="S86" s="2"/>
      <c r="T86" s="6">
        <v>31910.815884899999</v>
      </c>
      <c r="U86" s="2"/>
      <c r="V86" s="7">
        <f t="shared" si="18"/>
        <v>7.7733333215351877E-3</v>
      </c>
      <c r="W86" s="2"/>
      <c r="X86" s="6">
        <f t="shared" si="19"/>
        <v>4023.5141151000025</v>
      </c>
      <c r="Y86" s="2"/>
      <c r="Z86" s="7">
        <f t="shared" si="20"/>
        <v>0.12608621884230495</v>
      </c>
    </row>
    <row r="87" spans="1:26" s="24" customFormat="1" hidden="1" outlineLevel="2" x14ac:dyDescent="0.25">
      <c r="A87" s="26"/>
      <c r="B87" s="11" t="str">
        <f>CONCATENATE("          ", "6112", " - ", "COMPENSATION INSURANCE")</f>
        <v xml:space="preserve">          6112 - COMPENSATION INSURANCE</v>
      </c>
      <c r="C87" s="11"/>
      <c r="D87" s="6">
        <v>926.03</v>
      </c>
      <c r="E87" s="2"/>
      <c r="F87" s="7">
        <f t="shared" si="13"/>
        <v>3.6223986856516971E-3</v>
      </c>
      <c r="G87" s="2"/>
      <c r="H87" s="6">
        <v>1118.97575884615</v>
      </c>
      <c r="I87" s="2"/>
      <c r="J87" s="7">
        <f t="shared" si="14"/>
        <v>3.3584620937152782E-3</v>
      </c>
      <c r="K87" s="2"/>
      <c r="L87" s="6">
        <f t="shared" si="15"/>
        <v>-192.94575884615006</v>
      </c>
      <c r="M87" s="2"/>
      <c r="N87" s="7">
        <f t="shared" si="16"/>
        <v>-0.1724306870106902</v>
      </c>
      <c r="O87" s="11"/>
      <c r="P87" s="6">
        <v>11971.26</v>
      </c>
      <c r="Q87" s="2"/>
      <c r="R87" s="7">
        <f t="shared" si="17"/>
        <v>4.6530882981347206E-3</v>
      </c>
      <c r="S87" s="2"/>
      <c r="T87" s="6">
        <v>15231.56948</v>
      </c>
      <c r="U87" s="2"/>
      <c r="V87" s="7">
        <f t="shared" si="18"/>
        <v>3.710342819350745E-3</v>
      </c>
      <c r="W87" s="2"/>
      <c r="X87" s="6">
        <f t="shared" si="19"/>
        <v>-3260.3094799999999</v>
      </c>
      <c r="Y87" s="2"/>
      <c r="Z87" s="7">
        <f t="shared" si="20"/>
        <v>-0.21404947692888704</v>
      </c>
    </row>
    <row r="88" spans="1:26" s="24" customFormat="1" hidden="1" outlineLevel="2" x14ac:dyDescent="0.25">
      <c r="A88" s="26"/>
      <c r="B88" s="11" t="str">
        <f>CONCATENATE("          ", "6113", " - ", "GROUP INSURANCE")</f>
        <v xml:space="preserve">          6113 - GROUP INSURANCE</v>
      </c>
      <c r="C88" s="11"/>
      <c r="D88" s="6">
        <v>4822.38</v>
      </c>
      <c r="E88" s="2"/>
      <c r="F88" s="7">
        <f t="shared" si="13"/>
        <v>1.8863949303708338E-2</v>
      </c>
      <c r="G88" s="2"/>
      <c r="H88" s="6">
        <v>5958.8461538461497</v>
      </c>
      <c r="I88" s="2"/>
      <c r="J88" s="7">
        <f t="shared" si="14"/>
        <v>1.7884711774819543E-2</v>
      </c>
      <c r="K88" s="2"/>
      <c r="L88" s="6">
        <f t="shared" si="15"/>
        <v>-1136.4661538461496</v>
      </c>
      <c r="M88" s="2"/>
      <c r="N88" s="7">
        <f t="shared" si="16"/>
        <v>-0.1907191634931899</v>
      </c>
      <c r="O88" s="11"/>
      <c r="P88" s="6">
        <v>63056.94</v>
      </c>
      <c r="Q88" s="2"/>
      <c r="R88" s="7">
        <f t="shared" si="17"/>
        <v>2.4509492704208512E-2</v>
      </c>
      <c r="S88" s="2"/>
      <c r="T88" s="6">
        <v>72120</v>
      </c>
      <c r="U88" s="2"/>
      <c r="V88" s="7">
        <f t="shared" si="18"/>
        <v>1.7568112365763618E-2</v>
      </c>
      <c r="W88" s="2"/>
      <c r="X88" s="6">
        <f t="shared" si="19"/>
        <v>-9063.0599999999977</v>
      </c>
      <c r="Y88" s="2"/>
      <c r="Z88" s="7">
        <f t="shared" si="20"/>
        <v>-0.12566638935108149</v>
      </c>
    </row>
    <row r="89" spans="1:26" s="24" customFormat="1" hidden="1" outlineLevel="2" x14ac:dyDescent="0.25">
      <c r="A89" s="26"/>
      <c r="B89" s="11" t="str">
        <f>CONCATENATE("          ", "6114", " - ", "STATE UNEMPLOYMENT INSURANCE")</f>
        <v xml:space="preserve">          6114 - STATE UNEMPLOYMENT INSURANCE</v>
      </c>
      <c r="C89" s="11"/>
      <c r="D89" s="6">
        <v>130.13999999999999</v>
      </c>
      <c r="E89" s="2"/>
      <c r="F89" s="7">
        <f t="shared" si="13"/>
        <v>5.0907526208731019E-4</v>
      </c>
      <c r="G89" s="2"/>
      <c r="H89" s="6">
        <v>157.261458</v>
      </c>
      <c r="I89" s="2"/>
      <c r="J89" s="7">
        <f t="shared" si="14"/>
        <v>4.7200007803566233E-4</v>
      </c>
      <c r="K89" s="2"/>
      <c r="L89" s="6">
        <f t="shared" si="15"/>
        <v>-27.121458000000018</v>
      </c>
      <c r="M89" s="2"/>
      <c r="N89" s="7">
        <f t="shared" si="16"/>
        <v>-0.17246093445222935</v>
      </c>
      <c r="O89" s="11"/>
      <c r="P89" s="6">
        <v>1482.33</v>
      </c>
      <c r="Q89" s="2"/>
      <c r="R89" s="7">
        <f t="shared" si="17"/>
        <v>5.7616427819411151E-4</v>
      </c>
      <c r="S89" s="2"/>
      <c r="T89" s="6">
        <v>2140.6530080000002</v>
      </c>
      <c r="U89" s="2"/>
      <c r="V89" s="7">
        <f t="shared" si="18"/>
        <v>5.2145358542226693E-4</v>
      </c>
      <c r="W89" s="2"/>
      <c r="X89" s="6">
        <f t="shared" si="19"/>
        <v>-658.3230080000003</v>
      </c>
      <c r="Y89" s="2"/>
      <c r="Z89" s="7">
        <f t="shared" si="20"/>
        <v>-0.30753373178171817</v>
      </c>
    </row>
    <row r="90" spans="1:26" s="24" customFormat="1" hidden="1" outlineLevel="2" x14ac:dyDescent="0.25">
      <c r="A90" s="26"/>
      <c r="B90" s="11" t="str">
        <f>CONCATENATE("          ", "6115", " - ", "P.E.R.S.")</f>
        <v xml:space="preserve">          6115 - P.E.R.S.</v>
      </c>
      <c r="C90" s="11"/>
      <c r="D90" s="6">
        <v>2526.14</v>
      </c>
      <c r="E90" s="2"/>
      <c r="F90" s="7">
        <f t="shared" si="13"/>
        <v>9.881630417774994E-3</v>
      </c>
      <c r="G90" s="2"/>
      <c r="H90" s="6">
        <v>1371.4115692307701</v>
      </c>
      <c r="I90" s="2"/>
      <c r="J90" s="7">
        <f t="shared" si="14"/>
        <v>4.1161157726003882E-3</v>
      </c>
      <c r="K90" s="2"/>
      <c r="L90" s="6">
        <f t="shared" si="15"/>
        <v>1154.7284307692298</v>
      </c>
      <c r="M90" s="2"/>
      <c r="N90" s="7">
        <f t="shared" si="16"/>
        <v>0.84199991940925611</v>
      </c>
      <c r="O90" s="11"/>
      <c r="P90" s="6">
        <v>24449.32</v>
      </c>
      <c r="Q90" s="2"/>
      <c r="R90" s="7">
        <f t="shared" si="17"/>
        <v>9.5031638097703309E-3</v>
      </c>
      <c r="S90" s="2"/>
      <c r="T90" s="6">
        <v>17642.315200000001</v>
      </c>
      <c r="U90" s="2"/>
      <c r="V90" s="7">
        <f t="shared" si="18"/>
        <v>4.297589792371318E-3</v>
      </c>
      <c r="W90" s="2"/>
      <c r="X90" s="6">
        <f t="shared" si="19"/>
        <v>6807.0047999999988</v>
      </c>
      <c r="Y90" s="2"/>
      <c r="Z90" s="7">
        <f t="shared" si="20"/>
        <v>0.38583398623328069</v>
      </c>
    </row>
    <row r="91" spans="1:26" s="24" customFormat="1" hidden="1" outlineLevel="2" x14ac:dyDescent="0.25">
      <c r="A91" s="26"/>
      <c r="B91" s="11" t="str">
        <f>CONCATENATE("          ", "6116", " - ", "EDUCATIONAL BENEFITS")</f>
        <v xml:space="preserve">          6116 - EDUCATIONAL BENEFITS</v>
      </c>
      <c r="C91" s="11"/>
      <c r="D91" s="6"/>
      <c r="E91" s="2"/>
      <c r="F91" s="7">
        <f t="shared" si="13"/>
        <v>0</v>
      </c>
      <c r="G91" s="2"/>
      <c r="H91" s="6">
        <v>0</v>
      </c>
      <c r="I91" s="2"/>
      <c r="J91" s="7">
        <f t="shared" si="14"/>
        <v>0</v>
      </c>
      <c r="K91" s="2"/>
      <c r="L91" s="6">
        <f t="shared" si="15"/>
        <v>0</v>
      </c>
      <c r="M91" s="2"/>
      <c r="N91" s="7">
        <f t="shared" si="16"/>
        <v>0</v>
      </c>
      <c r="O91" s="11"/>
      <c r="P91" s="6"/>
      <c r="Q91" s="2"/>
      <c r="R91" s="7">
        <f t="shared" si="17"/>
        <v>0</v>
      </c>
      <c r="S91" s="2"/>
      <c r="T91" s="6">
        <v>0</v>
      </c>
      <c r="U91" s="2"/>
      <c r="V91" s="7">
        <f t="shared" si="18"/>
        <v>0</v>
      </c>
      <c r="W91" s="2"/>
      <c r="X91" s="6">
        <f t="shared" si="19"/>
        <v>0</v>
      </c>
      <c r="Y91" s="2"/>
      <c r="Z91" s="7">
        <f t="shared" si="20"/>
        <v>0</v>
      </c>
    </row>
    <row r="92" spans="1:26" s="24" customFormat="1" hidden="1" outlineLevel="2" x14ac:dyDescent="0.25">
      <c r="A92" s="26"/>
      <c r="B92" s="11" t="str">
        <f>CONCATENATE("          ", "6118", " - ", "VACATION")</f>
        <v xml:space="preserve">          6118 - VACATION</v>
      </c>
      <c r="C92" s="11"/>
      <c r="D92" s="6">
        <v>1312.1</v>
      </c>
      <c r="E92" s="2"/>
      <c r="F92" s="7">
        <f t="shared" si="13"/>
        <v>5.1326083554999206E-3</v>
      </c>
      <c r="G92" s="2"/>
      <c r="H92" s="6">
        <v>995.09230769230805</v>
      </c>
      <c r="I92" s="2"/>
      <c r="J92" s="7">
        <f t="shared" si="14"/>
        <v>2.9866418183879273E-3</v>
      </c>
      <c r="K92" s="2"/>
      <c r="L92" s="6">
        <f t="shared" si="15"/>
        <v>317.00769230769185</v>
      </c>
      <c r="M92" s="2"/>
      <c r="N92" s="7">
        <f t="shared" si="16"/>
        <v>0.318571141448029</v>
      </c>
      <c r="O92" s="11"/>
      <c r="P92" s="6">
        <v>20657.64</v>
      </c>
      <c r="Q92" s="2"/>
      <c r="R92" s="7">
        <f t="shared" si="17"/>
        <v>8.0293822831581409E-3</v>
      </c>
      <c r="S92" s="2"/>
      <c r="T92" s="6">
        <v>12790.6</v>
      </c>
      <c r="U92" s="2"/>
      <c r="V92" s="7">
        <f t="shared" si="18"/>
        <v>3.1157334723452041E-3</v>
      </c>
      <c r="W92" s="2"/>
      <c r="X92" s="6">
        <f t="shared" si="19"/>
        <v>7867.0399999999991</v>
      </c>
      <c r="Y92" s="2"/>
      <c r="Z92" s="7">
        <f t="shared" si="20"/>
        <v>0.61506418776288829</v>
      </c>
    </row>
    <row r="93" spans="1:26" s="24" customFormat="1" hidden="1" outlineLevel="2" x14ac:dyDescent="0.25">
      <c r="A93" s="26"/>
      <c r="B93" s="11" t="str">
        <f>CONCATENATE("          ", "6119", " - ", "SICK LEAVE")</f>
        <v xml:space="preserve">          6119 - SICK LEAVE</v>
      </c>
      <c r="C93" s="11"/>
      <c r="D93" s="6">
        <v>1105.6600000000001</v>
      </c>
      <c r="E93" s="2"/>
      <c r="F93" s="7">
        <f t="shared" si="13"/>
        <v>4.3250664997652949E-3</v>
      </c>
      <c r="G93" s="2"/>
      <c r="H93" s="6">
        <v>1482.5016076923</v>
      </c>
      <c r="I93" s="2"/>
      <c r="J93" s="7">
        <f t="shared" si="14"/>
        <v>4.4495382620626626E-3</v>
      </c>
      <c r="K93" s="2"/>
      <c r="L93" s="6">
        <f t="shared" si="15"/>
        <v>-376.84160769229993</v>
      </c>
      <c r="M93" s="2"/>
      <c r="N93" s="7">
        <f t="shared" si="16"/>
        <v>-0.25419305162097006</v>
      </c>
      <c r="O93" s="11"/>
      <c r="P93" s="6">
        <v>15106.35</v>
      </c>
      <c r="Q93" s="2"/>
      <c r="R93" s="7">
        <f t="shared" si="17"/>
        <v>5.8716609957955492E-3</v>
      </c>
      <c r="S93" s="2"/>
      <c r="T93" s="6">
        <v>19510.804800000002</v>
      </c>
      <c r="U93" s="2"/>
      <c r="V93" s="7">
        <f t="shared" si="18"/>
        <v>4.7527455778269573E-3</v>
      </c>
      <c r="W93" s="2"/>
      <c r="X93" s="6">
        <f t="shared" si="19"/>
        <v>-4404.4548000000013</v>
      </c>
      <c r="Y93" s="2"/>
      <c r="Z93" s="7">
        <f t="shared" si="20"/>
        <v>-0.22574439369102811</v>
      </c>
    </row>
    <row r="94" spans="1:26" s="24" customFormat="1" hidden="1" outlineLevel="2" x14ac:dyDescent="0.25">
      <c r="A94" s="26"/>
      <c r="B94" s="11" t="str">
        <f>CONCATENATE("          ", "6156", " - ", "EMPLOYEE MEALS")</f>
        <v xml:space="preserve">          6156 - EMPLOYEE MEALS</v>
      </c>
      <c r="C94" s="11"/>
      <c r="D94" s="6">
        <v>407.63</v>
      </c>
      <c r="E94" s="2"/>
      <c r="F94" s="7">
        <f t="shared" si="13"/>
        <v>1.5945470192458141E-3</v>
      </c>
      <c r="G94" s="2"/>
      <c r="H94" s="6">
        <v>875</v>
      </c>
      <c r="I94" s="2"/>
      <c r="J94" s="7">
        <f t="shared" si="14"/>
        <v>2.62620017347928E-3</v>
      </c>
      <c r="K94" s="2"/>
      <c r="L94" s="6">
        <f t="shared" si="15"/>
        <v>-467.37</v>
      </c>
      <c r="M94" s="2"/>
      <c r="N94" s="7">
        <f t="shared" si="16"/>
        <v>-0.53413714285714287</v>
      </c>
      <c r="O94" s="11"/>
      <c r="P94" s="6">
        <v>5563.79</v>
      </c>
      <c r="Q94" s="2"/>
      <c r="R94" s="7">
        <f t="shared" si="17"/>
        <v>2.1625798906947952E-3</v>
      </c>
      <c r="S94" s="2"/>
      <c r="T94" s="6">
        <v>10500</v>
      </c>
      <c r="U94" s="2"/>
      <c r="V94" s="7">
        <f t="shared" si="18"/>
        <v>2.5577534642334718E-3</v>
      </c>
      <c r="W94" s="2"/>
      <c r="X94" s="6">
        <f t="shared" si="19"/>
        <v>-4936.21</v>
      </c>
      <c r="Y94" s="2"/>
      <c r="Z94" s="7">
        <f t="shared" si="20"/>
        <v>-0.47011523809523809</v>
      </c>
    </row>
    <row r="95" spans="1:26" s="27" customFormat="1" outlineLevel="1" collapsed="1" x14ac:dyDescent="0.25">
      <c r="A95" s="25"/>
      <c r="B95" s="13" t="str">
        <f>CONCATENATE("     ","*Payroll                                          ")</f>
        <v xml:space="preserve">     *Payroll                                          </v>
      </c>
      <c r="C95" s="13"/>
      <c r="D95" s="1">
        <f>SUM(OSRRefD22_1x_0)</f>
        <v>50353.939999999995</v>
      </c>
      <c r="E95" s="1"/>
      <c r="F95" s="5">
        <f t="shared" ref="F95:F105" si="21">IF(D$12=0,0,D95/D$12)</f>
        <v>0.19697207009857609</v>
      </c>
      <c r="G95" s="1"/>
      <c r="H95" s="1">
        <f>SUM(OSRRefH22_1x_0)</f>
        <v>58393.0215384615</v>
      </c>
      <c r="I95" s="1"/>
      <c r="J95" s="5">
        <f t="shared" ref="J95:J105" si="22">IF(H$12=0,0,H95/H$12)</f>
        <v>0.17525915805061362</v>
      </c>
      <c r="K95" s="1"/>
      <c r="L95" s="1">
        <f t="shared" ref="L95:L105" si="23">+D95-H95</f>
        <v>-8039.0815384615053</v>
      </c>
      <c r="M95" s="1"/>
      <c r="N95" s="5">
        <f t="shared" ref="N95:N105" si="24">IF(H95=0,0,L95/H95)</f>
        <v>-0.13767195679652294</v>
      </c>
      <c r="O95" s="13"/>
      <c r="P95" s="1">
        <f>SUM(OSRRefP22_1x_0)</f>
        <v>480972.35</v>
      </c>
      <c r="Q95" s="1"/>
      <c r="R95" s="5">
        <f t="shared" ref="R95:R105" si="25">IF(P$12=0,0,P95/P$12)</f>
        <v>0.18694830899265047</v>
      </c>
      <c r="S95" s="1"/>
      <c r="T95" s="1">
        <f>SUM(OSRRefT22_1x_0)</f>
        <v>796440.57499999995</v>
      </c>
      <c r="U95" s="1"/>
      <c r="V95" s="5">
        <f t="shared" ref="V95:V105" si="26">IF(T$12=0,0,T95/T$12)</f>
        <v>0.19400939426308075</v>
      </c>
      <c r="W95" s="1"/>
      <c r="X95" s="1">
        <f t="shared" ref="X95:X105" si="27">+P95-T95</f>
        <v>-315468.22499999998</v>
      </c>
      <c r="Y95" s="1"/>
      <c r="Z95" s="5">
        <f t="shared" ref="Z95:Z105" si="28">IF(T95=0,0,X95/T95)</f>
        <v>-0.39609763101283479</v>
      </c>
    </row>
    <row r="96" spans="1:26" s="24" customFormat="1" hidden="1" outlineLevel="2" x14ac:dyDescent="0.25">
      <c r="A96" s="26"/>
      <c r="B96" s="11" t="str">
        <f>CONCATENATE("          ", "6001", " - ", "ADMINISTRATIVE SALARIES")</f>
        <v xml:space="preserve">          6001 - ADMINISTRATIVE SALARIES</v>
      </c>
      <c r="C96" s="11"/>
      <c r="D96" s="6"/>
      <c r="E96" s="2"/>
      <c r="F96" s="7">
        <f t="shared" si="21"/>
        <v>0</v>
      </c>
      <c r="G96" s="2"/>
      <c r="H96" s="6">
        <v>0</v>
      </c>
      <c r="I96" s="2"/>
      <c r="J96" s="7">
        <f t="shared" si="22"/>
        <v>0</v>
      </c>
      <c r="K96" s="2"/>
      <c r="L96" s="6">
        <f t="shared" si="23"/>
        <v>0</v>
      </c>
      <c r="M96" s="2"/>
      <c r="N96" s="7">
        <f t="shared" si="24"/>
        <v>0</v>
      </c>
      <c r="O96" s="11"/>
      <c r="P96" s="6"/>
      <c r="Q96" s="2"/>
      <c r="R96" s="7">
        <f t="shared" si="25"/>
        <v>0</v>
      </c>
      <c r="S96" s="2"/>
      <c r="T96" s="6">
        <v>0</v>
      </c>
      <c r="U96" s="2"/>
      <c r="V96" s="7">
        <f t="shared" si="26"/>
        <v>0</v>
      </c>
      <c r="W96" s="2"/>
      <c r="X96" s="6">
        <f t="shared" si="27"/>
        <v>0</v>
      </c>
      <c r="Y96" s="2"/>
      <c r="Z96" s="7">
        <f t="shared" si="28"/>
        <v>0</v>
      </c>
    </row>
    <row r="97" spans="1:26" s="24" customFormat="1" hidden="1" outlineLevel="2" x14ac:dyDescent="0.25">
      <c r="A97" s="26"/>
      <c r="B97" s="11" t="str">
        <f>CONCATENATE("          ", "6002", " - ", "STAFF SALARIES")</f>
        <v xml:space="preserve">          6002 - STAFF SALARIES</v>
      </c>
      <c r="C97" s="11"/>
      <c r="D97" s="6">
        <v>15739.11</v>
      </c>
      <c r="E97" s="2"/>
      <c r="F97" s="7">
        <f t="shared" si="21"/>
        <v>6.1567477703019867E-2</v>
      </c>
      <c r="G97" s="2"/>
      <c r="H97" s="6">
        <v>14351.981538461499</v>
      </c>
      <c r="I97" s="2"/>
      <c r="J97" s="7">
        <f t="shared" si="22"/>
        <v>4.3075630178376019E-2</v>
      </c>
      <c r="K97" s="2"/>
      <c r="L97" s="6">
        <f t="shared" si="23"/>
        <v>1387.1284615385011</v>
      </c>
      <c r="M97" s="2"/>
      <c r="N97" s="7">
        <f t="shared" si="24"/>
        <v>9.6650658156239397E-2</v>
      </c>
      <c r="O97" s="11"/>
      <c r="P97" s="6">
        <v>223778.43</v>
      </c>
      <c r="Q97" s="2"/>
      <c r="R97" s="7">
        <f t="shared" si="25"/>
        <v>8.6980050053875657E-2</v>
      </c>
      <c r="S97" s="2"/>
      <c r="T97" s="6">
        <v>184628.88</v>
      </c>
      <c r="U97" s="2"/>
      <c r="V97" s="7">
        <f t="shared" si="26"/>
        <v>4.4974776896909138E-2</v>
      </c>
      <c r="W97" s="2"/>
      <c r="X97" s="6">
        <f t="shared" si="27"/>
        <v>39149.549999999988</v>
      </c>
      <c r="Y97" s="2"/>
      <c r="Z97" s="7">
        <f t="shared" si="28"/>
        <v>0.21204456204251462</v>
      </c>
    </row>
    <row r="98" spans="1:26" s="24" customFormat="1" hidden="1" outlineLevel="2" x14ac:dyDescent="0.25">
      <c r="A98" s="26"/>
      <c r="B98" s="11" t="str">
        <f>CONCATENATE("          ", "6003", " - ", "STAFF HOURLY-9 MONTH")</f>
        <v xml:space="preserve">          6003 - STAFF HOURLY-9 MONTH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4" customFormat="1" hidden="1" outlineLevel="2" x14ac:dyDescent="0.25">
      <c r="A99" s="26"/>
      <c r="B99" s="11" t="str">
        <f>CONCATENATE("          ", "6004", " - ", "STAFF HOURLY")</f>
        <v xml:space="preserve">          6004 - STAFF HOURLY</v>
      </c>
      <c r="C99" s="11"/>
      <c r="D99" s="6">
        <v>7690.47</v>
      </c>
      <c r="E99" s="2"/>
      <c r="F99" s="7">
        <f t="shared" si="21"/>
        <v>3.0083202941636675E-2</v>
      </c>
      <c r="G99" s="2"/>
      <c r="H99" s="6">
        <v>6856.71</v>
      </c>
      <c r="I99" s="2"/>
      <c r="J99" s="7">
        <f t="shared" si="22"/>
        <v>2.0579534847425272E-2</v>
      </c>
      <c r="K99" s="2"/>
      <c r="L99" s="6">
        <f t="shared" si="23"/>
        <v>833.76000000000022</v>
      </c>
      <c r="M99" s="2"/>
      <c r="N99" s="7">
        <f t="shared" si="24"/>
        <v>0.12159767585328828</v>
      </c>
      <c r="O99" s="11"/>
      <c r="P99" s="6">
        <v>69702.740000000005</v>
      </c>
      <c r="Q99" s="2"/>
      <c r="R99" s="7">
        <f t="shared" si="25"/>
        <v>2.7092637186221576E-2</v>
      </c>
      <c r="S99" s="2"/>
      <c r="T99" s="6">
        <v>87839.115000000005</v>
      </c>
      <c r="U99" s="2"/>
      <c r="V99" s="7">
        <f t="shared" si="26"/>
        <v>2.1397219112995459E-2</v>
      </c>
      <c r="W99" s="2"/>
      <c r="X99" s="6">
        <f t="shared" si="27"/>
        <v>-18136.375</v>
      </c>
      <c r="Y99" s="2"/>
      <c r="Z99" s="7">
        <f t="shared" si="28"/>
        <v>-0.20647265173379761</v>
      </c>
    </row>
    <row r="100" spans="1:26" s="24" customFormat="1" hidden="1" outlineLevel="2" x14ac:dyDescent="0.25">
      <c r="A100" s="26"/>
      <c r="B100" s="11" t="str">
        <f>CONCATENATE("          ", "6005", " - ", "TEMPORARY WAGES-HOURLY")</f>
        <v xml:space="preserve">          6005 - TEMPORARY WAGES-HOURLY</v>
      </c>
      <c r="C100" s="11"/>
      <c r="D100" s="6">
        <v>3017.29</v>
      </c>
      <c r="E100" s="2"/>
      <c r="F100" s="7">
        <f t="shared" si="21"/>
        <v>1.1802886872163978E-2</v>
      </c>
      <c r="G100" s="2"/>
      <c r="H100" s="6">
        <v>0</v>
      </c>
      <c r="I100" s="2"/>
      <c r="J100" s="7">
        <f t="shared" si="22"/>
        <v>0</v>
      </c>
      <c r="K100" s="2"/>
      <c r="L100" s="6">
        <f t="shared" si="23"/>
        <v>3017.29</v>
      </c>
      <c r="M100" s="2"/>
      <c r="N100" s="7">
        <f t="shared" si="24"/>
        <v>0</v>
      </c>
      <c r="O100" s="11"/>
      <c r="P100" s="6">
        <v>64957.03</v>
      </c>
      <c r="Q100" s="2"/>
      <c r="R100" s="7">
        <f t="shared" si="25"/>
        <v>2.5248035392647555E-2</v>
      </c>
      <c r="S100" s="2"/>
      <c r="T100" s="6">
        <v>0</v>
      </c>
      <c r="U100" s="2"/>
      <c r="V100" s="7">
        <f t="shared" si="26"/>
        <v>0</v>
      </c>
      <c r="W100" s="2"/>
      <c r="X100" s="6">
        <f t="shared" si="27"/>
        <v>64957.03</v>
      </c>
      <c r="Y100" s="2"/>
      <c r="Z100" s="7">
        <f t="shared" si="28"/>
        <v>0</v>
      </c>
    </row>
    <row r="101" spans="1:26" s="24" customFormat="1" hidden="1" outlineLevel="2" x14ac:dyDescent="0.25">
      <c r="A101" s="26"/>
      <c r="B101" s="11" t="str">
        <f>CONCATENATE("          ", "6006", " - ", "TEMPORARY PART TIME")</f>
        <v xml:space="preserve">          6006 - TEMPORARY PART TIME</v>
      </c>
      <c r="C101" s="11"/>
      <c r="D101" s="6">
        <v>306.3</v>
      </c>
      <c r="E101" s="2"/>
      <c r="F101" s="7">
        <f t="shared" si="21"/>
        <v>1.1981693005789391E-3</v>
      </c>
      <c r="G101" s="2"/>
      <c r="H101" s="6">
        <v>0</v>
      </c>
      <c r="I101" s="2"/>
      <c r="J101" s="7">
        <f t="shared" si="22"/>
        <v>0</v>
      </c>
      <c r="K101" s="2"/>
      <c r="L101" s="6">
        <f t="shared" si="23"/>
        <v>306.3</v>
      </c>
      <c r="M101" s="2"/>
      <c r="N101" s="7">
        <f t="shared" si="24"/>
        <v>0</v>
      </c>
      <c r="O101" s="11"/>
      <c r="P101" s="6">
        <v>6598.9</v>
      </c>
      <c r="Q101" s="2"/>
      <c r="R101" s="7">
        <f t="shared" si="25"/>
        <v>2.5649150023106344E-3</v>
      </c>
      <c r="S101" s="2"/>
      <c r="T101" s="6">
        <v>0</v>
      </c>
      <c r="U101" s="2"/>
      <c r="V101" s="7">
        <f t="shared" si="26"/>
        <v>0</v>
      </c>
      <c r="W101" s="2"/>
      <c r="X101" s="6">
        <f t="shared" si="27"/>
        <v>6598.9</v>
      </c>
      <c r="Y101" s="2"/>
      <c r="Z101" s="7">
        <f t="shared" si="28"/>
        <v>0</v>
      </c>
    </row>
    <row r="102" spans="1:26" s="24" customFormat="1" hidden="1" outlineLevel="2" x14ac:dyDescent="0.25">
      <c r="A102" s="26"/>
      <c r="B102" s="11" t="str">
        <f>CONCATENATE("          ", "6007", " - ", "STUDENT HOURLY")</f>
        <v xml:space="preserve">          6007 - STUDENT HOURLY</v>
      </c>
      <c r="C102" s="11"/>
      <c r="D102" s="6">
        <v>16907.169999999998</v>
      </c>
      <c r="E102" s="2"/>
      <c r="F102" s="7">
        <f t="shared" si="21"/>
        <v>6.6136637458926603E-2</v>
      </c>
      <c r="G102" s="2"/>
      <c r="H102" s="6">
        <v>37184.33</v>
      </c>
      <c r="I102" s="2"/>
      <c r="J102" s="7">
        <f t="shared" si="22"/>
        <v>0.11160399302481235</v>
      </c>
      <c r="K102" s="2"/>
      <c r="L102" s="6">
        <f t="shared" si="23"/>
        <v>-20277.160000000003</v>
      </c>
      <c r="M102" s="2"/>
      <c r="N102" s="7">
        <f t="shared" si="24"/>
        <v>-0.54531465270451296</v>
      </c>
      <c r="O102" s="11"/>
      <c r="P102" s="6">
        <v>97667.5</v>
      </c>
      <c r="Q102" s="2"/>
      <c r="R102" s="7">
        <f t="shared" si="25"/>
        <v>3.7962211275845044E-2</v>
      </c>
      <c r="S102" s="2"/>
      <c r="T102" s="6">
        <v>117615.83</v>
      </c>
      <c r="U102" s="2"/>
      <c r="V102" s="7">
        <f t="shared" si="26"/>
        <v>2.8650694917256674E-2</v>
      </c>
      <c r="W102" s="2"/>
      <c r="X102" s="6">
        <f t="shared" si="27"/>
        <v>-19948.330000000002</v>
      </c>
      <c r="Y102" s="2"/>
      <c r="Z102" s="7">
        <f t="shared" si="28"/>
        <v>-0.16960582601848748</v>
      </c>
    </row>
    <row r="103" spans="1:26" s="24" customFormat="1" hidden="1" outlineLevel="2" x14ac:dyDescent="0.25">
      <c r="A103" s="26"/>
      <c r="B103" s="11" t="str">
        <f>CONCATENATE("          ", "6008", " - ", "STUDENT HOURLY-FICA EXEMPT")</f>
        <v xml:space="preserve">          6008 - STUDENT HOURLY-FICA EXEMPT</v>
      </c>
      <c r="C103" s="11"/>
      <c r="D103" s="6">
        <v>6693.6</v>
      </c>
      <c r="E103" s="2"/>
      <c r="F103" s="7">
        <f t="shared" si="21"/>
        <v>2.6183695822250039E-2</v>
      </c>
      <c r="G103" s="2"/>
      <c r="H103" s="6">
        <v>0</v>
      </c>
      <c r="I103" s="2"/>
      <c r="J103" s="7">
        <f t="shared" si="22"/>
        <v>0</v>
      </c>
      <c r="K103" s="2"/>
      <c r="L103" s="6">
        <f t="shared" si="23"/>
        <v>6693.6</v>
      </c>
      <c r="M103" s="2"/>
      <c r="N103" s="7">
        <f t="shared" si="24"/>
        <v>0</v>
      </c>
      <c r="O103" s="11"/>
      <c r="P103" s="6">
        <v>18267.75</v>
      </c>
      <c r="Q103" s="2"/>
      <c r="R103" s="7">
        <f t="shared" si="25"/>
        <v>7.1004600817500029E-3</v>
      </c>
      <c r="S103" s="2"/>
      <c r="T103" s="6">
        <v>406356.75</v>
      </c>
      <c r="U103" s="2"/>
      <c r="V103" s="7">
        <f t="shared" si="26"/>
        <v>9.898670333591951E-2</v>
      </c>
      <c r="W103" s="2"/>
      <c r="X103" s="6">
        <f t="shared" si="27"/>
        <v>-388089</v>
      </c>
      <c r="Y103" s="2"/>
      <c r="Z103" s="7">
        <f t="shared" si="28"/>
        <v>-0.95504504354855679</v>
      </c>
    </row>
    <row r="104" spans="1:26" s="24" customFormat="1" hidden="1" outlineLevel="2" x14ac:dyDescent="0.25">
      <c r="A104" s="26"/>
      <c r="B104" s="11" t="str">
        <f>CONCATENATE("          ", "6009", " - ", "TEMPORARY-SEASONAL")</f>
        <v xml:space="preserve">          6009 - TEMPORARY-SEASONAL</v>
      </c>
      <c r="C104" s="11"/>
      <c r="D104" s="6"/>
      <c r="E104" s="2"/>
      <c r="F104" s="7">
        <f t="shared" si="21"/>
        <v>0</v>
      </c>
      <c r="G104" s="2"/>
      <c r="H104" s="6">
        <v>0</v>
      </c>
      <c r="I104" s="2"/>
      <c r="J104" s="7">
        <f t="shared" si="22"/>
        <v>0</v>
      </c>
      <c r="K104" s="2"/>
      <c r="L104" s="6">
        <f t="shared" si="23"/>
        <v>0</v>
      </c>
      <c r="M104" s="2"/>
      <c r="N104" s="7">
        <f t="shared" si="24"/>
        <v>0</v>
      </c>
      <c r="O104" s="11"/>
      <c r="P104" s="6"/>
      <c r="Q104" s="2"/>
      <c r="R104" s="7">
        <f t="shared" si="25"/>
        <v>0</v>
      </c>
      <c r="S104" s="2"/>
      <c r="T104" s="6">
        <v>0</v>
      </c>
      <c r="U104" s="2"/>
      <c r="V104" s="7">
        <f t="shared" si="26"/>
        <v>0</v>
      </c>
      <c r="W104" s="2"/>
      <c r="X104" s="6">
        <f t="shared" si="27"/>
        <v>0</v>
      </c>
      <c r="Y104" s="2"/>
      <c r="Z104" s="7">
        <f t="shared" si="28"/>
        <v>0</v>
      </c>
    </row>
    <row r="105" spans="1:26" s="24" customFormat="1" hidden="1" outlineLevel="2" x14ac:dyDescent="0.25">
      <c r="A105" s="26"/>
      <c r="B105" s="11" t="str">
        <f>CONCATENATE("          ", "6010", " - ", "GRATUITY")</f>
        <v xml:space="preserve">          6010 - GRATUITY</v>
      </c>
      <c r="C105" s="11"/>
      <c r="D105" s="6"/>
      <c r="E105" s="2"/>
      <c r="F105" s="7">
        <f t="shared" si="21"/>
        <v>0</v>
      </c>
      <c r="G105" s="2"/>
      <c r="H105" s="6">
        <v>0</v>
      </c>
      <c r="I105" s="2"/>
      <c r="J105" s="7">
        <f t="shared" si="22"/>
        <v>0</v>
      </c>
      <c r="K105" s="2"/>
      <c r="L105" s="6">
        <f t="shared" si="23"/>
        <v>0</v>
      </c>
      <c r="M105" s="2"/>
      <c r="N105" s="7">
        <f t="shared" si="24"/>
        <v>0</v>
      </c>
      <c r="O105" s="11"/>
      <c r="P105" s="6"/>
      <c r="Q105" s="2"/>
      <c r="R105" s="7">
        <f t="shared" si="25"/>
        <v>0</v>
      </c>
      <c r="S105" s="2"/>
      <c r="T105" s="6">
        <v>0</v>
      </c>
      <c r="U105" s="2"/>
      <c r="V105" s="7">
        <f t="shared" si="26"/>
        <v>0</v>
      </c>
      <c r="W105" s="2"/>
      <c r="X105" s="6">
        <f t="shared" si="27"/>
        <v>0</v>
      </c>
      <c r="Y105" s="2"/>
      <c r="Z105" s="7">
        <f t="shared" si="28"/>
        <v>0</v>
      </c>
    </row>
    <row r="106" spans="1:26" s="27" customFormat="1" outlineLevel="1" collapsed="1" x14ac:dyDescent="0.25">
      <c r="A106" s="25"/>
      <c r="B106" s="13" t="str">
        <f>CONCATENATE("     ","Advertising/Promo                                 ")</f>
        <v xml:space="preserve">     Advertising/Promo                                 </v>
      </c>
      <c r="C106" s="13"/>
      <c r="D106" s="1">
        <f>SUM(OSRRefD22_2x_0)</f>
        <v>1324.8</v>
      </c>
      <c r="E106" s="1"/>
      <c r="F106" s="5">
        <f t="shared" ref="F106:F114" si="29">IF(D$12=0,0,D106/D$12)</f>
        <v>5.1822875919261451E-3</v>
      </c>
      <c r="G106" s="1"/>
      <c r="H106" s="1">
        <f>SUM(OSRRefH22_2x_0)</f>
        <v>630</v>
      </c>
      <c r="I106" s="1"/>
      <c r="J106" s="5">
        <f t="shared" ref="J106:J114" si="30">IF(H$12=0,0,H106/H$12)</f>
        <v>1.8908641249050816E-3</v>
      </c>
      <c r="K106" s="1"/>
      <c r="L106" s="1">
        <f t="shared" ref="L106:L114" si="31">+D106-H106</f>
        <v>694.8</v>
      </c>
      <c r="M106" s="1"/>
      <c r="N106" s="5">
        <f t="shared" ref="N106:N114" si="32">IF(H106=0,0,L106/H106)</f>
        <v>1.1028571428571428</v>
      </c>
      <c r="O106" s="13"/>
      <c r="P106" s="1">
        <f>SUM(OSRRefP22_2x_0)</f>
        <v>15837.61</v>
      </c>
      <c r="Q106" s="1"/>
      <c r="R106" s="5">
        <f t="shared" ref="R106:R114" si="33">IF(P$12=0,0,P106/P$12)</f>
        <v>6.1558931776121671E-3</v>
      </c>
      <c r="S106" s="1"/>
      <c r="T106" s="1">
        <f>SUM(OSRRefT22_2x_0)</f>
        <v>10560</v>
      </c>
      <c r="U106" s="1"/>
      <c r="V106" s="5">
        <f t="shared" ref="V106:V114" si="34">IF(T$12=0,0,T106/T$12)</f>
        <v>2.5723691983148057E-3</v>
      </c>
      <c r="W106" s="1"/>
      <c r="X106" s="1">
        <f t="shared" ref="X106:X114" si="35">+P106-T106</f>
        <v>5277.6100000000006</v>
      </c>
      <c r="Y106" s="1"/>
      <c r="Z106" s="5">
        <f t="shared" ref="Z106:Z114" si="36">IF(T106=0,0,X106/T106)</f>
        <v>0.4997736742424243</v>
      </c>
    </row>
    <row r="107" spans="1:26" s="24" customFormat="1" hidden="1" outlineLevel="2" x14ac:dyDescent="0.25">
      <c r="A107" s="26"/>
      <c r="B107" s="11" t="str">
        <f>CONCATENATE("          ", "6362", " - ", "ADVERTISING EXPENSE")</f>
        <v xml:space="preserve">          6362 - ADVERTISING EXPENSE</v>
      </c>
      <c r="C107" s="11"/>
      <c r="D107" s="6">
        <v>1324.8</v>
      </c>
      <c r="E107" s="2"/>
      <c r="F107" s="7">
        <f t="shared" si="29"/>
        <v>5.1822875919261451E-3</v>
      </c>
      <c r="G107" s="2"/>
      <c r="H107" s="6">
        <v>630</v>
      </c>
      <c r="I107" s="2"/>
      <c r="J107" s="7">
        <f t="shared" si="30"/>
        <v>1.8908641249050816E-3</v>
      </c>
      <c r="K107" s="2"/>
      <c r="L107" s="6">
        <f t="shared" si="31"/>
        <v>694.8</v>
      </c>
      <c r="M107" s="2"/>
      <c r="N107" s="7">
        <f t="shared" si="32"/>
        <v>1.1028571428571428</v>
      </c>
      <c r="O107" s="11"/>
      <c r="P107" s="6">
        <v>15837.61</v>
      </c>
      <c r="Q107" s="2"/>
      <c r="R107" s="7">
        <f t="shared" si="33"/>
        <v>6.1558931776121671E-3</v>
      </c>
      <c r="S107" s="2"/>
      <c r="T107" s="6">
        <v>10560</v>
      </c>
      <c r="U107" s="2"/>
      <c r="V107" s="7">
        <f t="shared" si="34"/>
        <v>2.5723691983148057E-3</v>
      </c>
      <c r="W107" s="2"/>
      <c r="X107" s="6">
        <f t="shared" si="35"/>
        <v>5277.6100000000006</v>
      </c>
      <c r="Y107" s="2"/>
      <c r="Z107" s="7">
        <f t="shared" si="36"/>
        <v>0.4997736742424243</v>
      </c>
    </row>
    <row r="108" spans="1:26" s="27" customFormat="1" outlineLevel="1" collapsed="1" x14ac:dyDescent="0.25">
      <c r="A108" s="25"/>
      <c r="B108" s="13" t="str">
        <f>CONCATENATE("     ","Bad Debts/Over/Short                              ")</f>
        <v xml:space="preserve">     Bad Debts/Over/Short                              </v>
      </c>
      <c r="C108" s="13"/>
      <c r="D108" s="1">
        <f>SUM(OSRRefD22_3x_0)</f>
        <v>-7.0000000000000007E-2</v>
      </c>
      <c r="E108" s="1"/>
      <c r="F108" s="5">
        <f t="shared" si="29"/>
        <v>-2.7382256297918949E-7</v>
      </c>
      <c r="G108" s="1"/>
      <c r="H108" s="1">
        <f>SUM(OSRRefH22_3x_0)</f>
        <v>10</v>
      </c>
      <c r="I108" s="1"/>
      <c r="J108" s="5">
        <f t="shared" si="30"/>
        <v>3.0013716268334628E-5</v>
      </c>
      <c r="K108" s="1"/>
      <c r="L108" s="1">
        <f t="shared" si="31"/>
        <v>-10.07</v>
      </c>
      <c r="M108" s="1"/>
      <c r="N108" s="5">
        <f t="shared" si="32"/>
        <v>-1.0070000000000001</v>
      </c>
      <c r="O108" s="13"/>
      <c r="P108" s="1">
        <f>SUM(OSRRefP22_3x_0)</f>
        <v>-24.57</v>
      </c>
      <c r="Q108" s="1"/>
      <c r="R108" s="5">
        <f t="shared" si="33"/>
        <v>-9.5500707097807651E-6</v>
      </c>
      <c r="S108" s="1"/>
      <c r="T108" s="1">
        <f>SUM(OSRRefT22_3x_0)</f>
        <v>120</v>
      </c>
      <c r="U108" s="1"/>
      <c r="V108" s="5">
        <f t="shared" si="34"/>
        <v>2.9231468162668248E-5</v>
      </c>
      <c r="W108" s="1"/>
      <c r="X108" s="1">
        <f t="shared" si="35"/>
        <v>-144.57</v>
      </c>
      <c r="Y108" s="1"/>
      <c r="Z108" s="5">
        <f t="shared" si="36"/>
        <v>-1.20475</v>
      </c>
    </row>
    <row r="109" spans="1:26" s="24" customFormat="1" hidden="1" outlineLevel="2" x14ac:dyDescent="0.25">
      <c r="A109" s="26"/>
      <c r="B109" s="11" t="str">
        <f>CONCATENATE("          ", "6272", " - ", "CASH (OVER/SHORT)")</f>
        <v xml:space="preserve">          6272 - CASH (OVER/SHORT)</v>
      </c>
      <c r="C109" s="11"/>
      <c r="D109" s="6">
        <v>-7.0000000000000007E-2</v>
      </c>
      <c r="E109" s="2"/>
      <c r="F109" s="7">
        <f t="shared" si="29"/>
        <v>-2.7382256297918949E-7</v>
      </c>
      <c r="G109" s="2"/>
      <c r="H109" s="6">
        <v>10</v>
      </c>
      <c r="I109" s="2"/>
      <c r="J109" s="7">
        <f t="shared" si="30"/>
        <v>3.0013716268334628E-5</v>
      </c>
      <c r="K109" s="2"/>
      <c r="L109" s="6">
        <f t="shared" si="31"/>
        <v>-10.07</v>
      </c>
      <c r="M109" s="2"/>
      <c r="N109" s="7">
        <f t="shared" si="32"/>
        <v>-1.0070000000000001</v>
      </c>
      <c r="O109" s="11"/>
      <c r="P109" s="6">
        <v>-24.57</v>
      </c>
      <c r="Q109" s="2"/>
      <c r="R109" s="7">
        <f t="shared" si="33"/>
        <v>-9.5500707097807651E-6</v>
      </c>
      <c r="S109" s="2"/>
      <c r="T109" s="6">
        <v>120</v>
      </c>
      <c r="U109" s="2"/>
      <c r="V109" s="7">
        <f t="shared" si="34"/>
        <v>2.9231468162668248E-5</v>
      </c>
      <c r="W109" s="2"/>
      <c r="X109" s="6">
        <f t="shared" si="35"/>
        <v>-144.57</v>
      </c>
      <c r="Y109" s="2"/>
      <c r="Z109" s="7">
        <f t="shared" si="36"/>
        <v>-1.20475</v>
      </c>
    </row>
    <row r="110" spans="1:26" s="27" customFormat="1" outlineLevel="1" collapsed="1" x14ac:dyDescent="0.25">
      <c r="A110" s="25"/>
      <c r="B110" s="13" t="str">
        <f>CONCATENATE("     ","Bank/card Fees                                    ")</f>
        <v xml:space="preserve">     Bank/card Fees                                    </v>
      </c>
      <c r="C110" s="13"/>
      <c r="D110" s="1">
        <f>SUM(OSRRefD22_4x_0)</f>
        <v>494.04</v>
      </c>
      <c r="E110" s="1"/>
      <c r="F110" s="5">
        <f t="shared" si="29"/>
        <v>1.9325614144891253E-3</v>
      </c>
      <c r="G110" s="1"/>
      <c r="H110" s="1">
        <f>SUM(OSRRefH22_4x_0)</f>
        <v>900</v>
      </c>
      <c r="I110" s="1"/>
      <c r="J110" s="5">
        <f t="shared" si="30"/>
        <v>2.7012344641501166E-3</v>
      </c>
      <c r="K110" s="1"/>
      <c r="L110" s="1">
        <f t="shared" si="31"/>
        <v>-405.96</v>
      </c>
      <c r="M110" s="1"/>
      <c r="N110" s="5">
        <f t="shared" si="32"/>
        <v>-0.45106666666666667</v>
      </c>
      <c r="O110" s="13"/>
      <c r="P110" s="1">
        <f>SUM(OSRRefP22_4x_0)</f>
        <v>4972.8900000000003</v>
      </c>
      <c r="Q110" s="1"/>
      <c r="R110" s="5">
        <f t="shared" si="33"/>
        <v>1.932903993974834E-3</v>
      </c>
      <c r="S110" s="1"/>
      <c r="T110" s="1">
        <f>SUM(OSRRefT22_4x_0)</f>
        <v>8886</v>
      </c>
      <c r="U110" s="1"/>
      <c r="V110" s="5">
        <f t="shared" si="34"/>
        <v>2.1645902174455838E-3</v>
      </c>
      <c r="W110" s="1"/>
      <c r="X110" s="1">
        <f t="shared" si="35"/>
        <v>-3913.1099999999997</v>
      </c>
      <c r="Y110" s="1"/>
      <c r="Z110" s="5">
        <f t="shared" si="36"/>
        <v>-0.44036799459824438</v>
      </c>
    </row>
    <row r="111" spans="1:26" s="24" customFormat="1" hidden="1" outlineLevel="2" x14ac:dyDescent="0.25">
      <c r="A111" s="26"/>
      <c r="B111" s="11" t="str">
        <f>CONCATENATE("          ", "6381", " - ", "BANK/CREDIT CARD FEES")</f>
        <v xml:space="preserve">          6381 - BANK/CREDIT CARD FEES</v>
      </c>
      <c r="C111" s="11"/>
      <c r="D111" s="6">
        <v>494.04</v>
      </c>
      <c r="E111" s="2"/>
      <c r="F111" s="7">
        <f t="shared" si="29"/>
        <v>1.9325614144891253E-3</v>
      </c>
      <c r="G111" s="2"/>
      <c r="H111" s="6">
        <v>900</v>
      </c>
      <c r="I111" s="2"/>
      <c r="J111" s="7">
        <f t="shared" si="30"/>
        <v>2.7012344641501166E-3</v>
      </c>
      <c r="K111" s="2"/>
      <c r="L111" s="6">
        <f t="shared" si="31"/>
        <v>-405.96</v>
      </c>
      <c r="M111" s="2"/>
      <c r="N111" s="7">
        <f t="shared" si="32"/>
        <v>-0.45106666666666667</v>
      </c>
      <c r="O111" s="11"/>
      <c r="P111" s="6">
        <v>4972.8900000000003</v>
      </c>
      <c r="Q111" s="2"/>
      <c r="R111" s="7">
        <f t="shared" si="33"/>
        <v>1.932903993974834E-3</v>
      </c>
      <c r="S111" s="2"/>
      <c r="T111" s="6">
        <v>8886</v>
      </c>
      <c r="U111" s="2"/>
      <c r="V111" s="7">
        <f t="shared" si="34"/>
        <v>2.1645902174455838E-3</v>
      </c>
      <c r="W111" s="2"/>
      <c r="X111" s="6">
        <f t="shared" si="35"/>
        <v>-3913.1099999999997</v>
      </c>
      <c r="Y111" s="2"/>
      <c r="Z111" s="7">
        <f t="shared" si="36"/>
        <v>-0.44036799459824438</v>
      </c>
    </row>
    <row r="112" spans="1:26" s="27" customFormat="1" outlineLevel="1" collapsed="1" x14ac:dyDescent="0.25">
      <c r="A112" s="25"/>
      <c r="B112" s="13" t="str">
        <f>CONCATENATE("     ","Discounts and Markdowns                           ")</f>
        <v xml:space="preserve">     Discounts and Markdowns                           </v>
      </c>
      <c r="C112" s="13"/>
      <c r="D112" s="1">
        <f>SUM(OSRRefD22_5x_0)</f>
        <v>0</v>
      </c>
      <c r="E112" s="1"/>
      <c r="F112" s="5">
        <f t="shared" si="29"/>
        <v>0</v>
      </c>
      <c r="G112" s="1"/>
      <c r="H112" s="1">
        <f>SUM(OSRRefH22_5x_0)</f>
        <v>26484</v>
      </c>
      <c r="I112" s="1"/>
      <c r="J112" s="5">
        <f t="shared" si="30"/>
        <v>7.9488326165057438E-2</v>
      </c>
      <c r="K112" s="1"/>
      <c r="L112" s="1">
        <f t="shared" si="31"/>
        <v>-26484</v>
      </c>
      <c r="M112" s="1"/>
      <c r="N112" s="5">
        <f t="shared" si="32"/>
        <v>-1</v>
      </c>
      <c r="O112" s="13"/>
      <c r="P112" s="1">
        <f>SUM(OSRRefP22_5x_0)</f>
        <v>0</v>
      </c>
      <c r="Q112" s="1"/>
      <c r="R112" s="5">
        <f t="shared" si="33"/>
        <v>0</v>
      </c>
      <c r="S112" s="1"/>
      <c r="T112" s="1">
        <f>SUM(OSRRefT22_5x_0)</f>
        <v>322649</v>
      </c>
      <c r="U112" s="1"/>
      <c r="V112" s="5">
        <f t="shared" si="34"/>
        <v>7.859586642680623E-2</v>
      </c>
      <c r="W112" s="1"/>
      <c r="X112" s="1">
        <f t="shared" si="35"/>
        <v>-322649</v>
      </c>
      <c r="Y112" s="1"/>
      <c r="Z112" s="5">
        <f t="shared" si="36"/>
        <v>-1</v>
      </c>
    </row>
    <row r="113" spans="1:26" s="24" customFormat="1" hidden="1" outlineLevel="2" x14ac:dyDescent="0.25">
      <c r="A113" s="26"/>
      <c r="B113" s="11" t="str">
        <f>CONCATENATE("          ", "6382", " - ", "DISCOUNTS/MARK DOWNS")</f>
        <v xml:space="preserve">          6382 - DISCOUNTS/MARK DOWNS</v>
      </c>
      <c r="C113" s="11"/>
      <c r="D113" s="6">
        <v>0</v>
      </c>
      <c r="E113" s="2"/>
      <c r="F113" s="7">
        <f t="shared" si="29"/>
        <v>0</v>
      </c>
      <c r="G113" s="2"/>
      <c r="H113" s="6">
        <v>26484</v>
      </c>
      <c r="I113" s="2"/>
      <c r="J113" s="7">
        <f t="shared" si="30"/>
        <v>7.9488326165057438E-2</v>
      </c>
      <c r="K113" s="2"/>
      <c r="L113" s="6">
        <f t="shared" si="31"/>
        <v>-26484</v>
      </c>
      <c r="M113" s="2"/>
      <c r="N113" s="7">
        <f t="shared" si="32"/>
        <v>-1</v>
      </c>
      <c r="O113" s="11"/>
      <c r="P113" s="6">
        <v>0</v>
      </c>
      <c r="Q113" s="2"/>
      <c r="R113" s="7">
        <f t="shared" si="33"/>
        <v>0</v>
      </c>
      <c r="S113" s="2"/>
      <c r="T113" s="6">
        <v>322649</v>
      </c>
      <c r="U113" s="2"/>
      <c r="V113" s="7">
        <f t="shared" si="34"/>
        <v>7.859586642680623E-2</v>
      </c>
      <c r="W113" s="2"/>
      <c r="X113" s="6">
        <f t="shared" si="35"/>
        <v>-322649</v>
      </c>
      <c r="Y113" s="2"/>
      <c r="Z113" s="7">
        <f t="shared" si="36"/>
        <v>-1</v>
      </c>
    </row>
    <row r="114" spans="1:26" s="24" customFormat="1" hidden="1" outlineLevel="2" x14ac:dyDescent="0.25">
      <c r="A114" s="26"/>
      <c r="B114" s="11" t="str">
        <f>CONCATENATE("          ", "9175", " - ", "EARNED DISCOUNTS")</f>
        <v xml:space="preserve">          9175 - EARNED DISCOUNTS</v>
      </c>
      <c r="C114" s="11"/>
      <c r="D114" s="6">
        <v>0</v>
      </c>
      <c r="E114" s="2"/>
      <c r="F114" s="7">
        <f t="shared" si="29"/>
        <v>0</v>
      </c>
      <c r="G114" s="2"/>
      <c r="H114" s="6"/>
      <c r="I114" s="2"/>
      <c r="J114" s="7">
        <f t="shared" si="30"/>
        <v>0</v>
      </c>
      <c r="K114" s="2"/>
      <c r="L114" s="6">
        <f t="shared" si="31"/>
        <v>0</v>
      </c>
      <c r="M114" s="2"/>
      <c r="N114" s="7">
        <f t="shared" si="32"/>
        <v>0</v>
      </c>
      <c r="O114" s="11"/>
      <c r="P114" s="6">
        <v>0</v>
      </c>
      <c r="Q114" s="2"/>
      <c r="R114" s="7">
        <f t="shared" si="33"/>
        <v>0</v>
      </c>
      <c r="S114" s="2"/>
      <c r="T114" s="6"/>
      <c r="U114" s="2"/>
      <c r="V114" s="7">
        <f t="shared" si="34"/>
        <v>0</v>
      </c>
      <c r="W114" s="2"/>
      <c r="X114" s="6">
        <f t="shared" si="35"/>
        <v>0</v>
      </c>
      <c r="Y114" s="2"/>
      <c r="Z114" s="7">
        <f t="shared" si="36"/>
        <v>0</v>
      </c>
    </row>
    <row r="115" spans="1:26" s="27" customFormat="1" outlineLevel="1" collapsed="1" x14ac:dyDescent="0.25">
      <c r="A115" s="25"/>
      <c r="B115" s="13" t="str">
        <f>CONCATENATE("     ","Donations                                         ")</f>
        <v xml:space="preserve">     Donations                                         </v>
      </c>
      <c r="C115" s="13"/>
      <c r="D115" s="1">
        <f>SUM(OSRRefD22_6x_0)</f>
        <v>0</v>
      </c>
      <c r="E115" s="1"/>
      <c r="F115" s="5">
        <f t="shared" ref="F115:F121" si="37">IF(D$12=0,0,D115/D$12)</f>
        <v>0</v>
      </c>
      <c r="G115" s="1"/>
      <c r="H115" s="1">
        <f>SUM(OSRRefH22_6x_0)</f>
        <v>0</v>
      </c>
      <c r="I115" s="1"/>
      <c r="J115" s="5">
        <f t="shared" ref="J115:J121" si="38">IF(H$12=0,0,H115/H$12)</f>
        <v>0</v>
      </c>
      <c r="K115" s="1"/>
      <c r="L115" s="1">
        <f t="shared" ref="L115:L121" si="39">+D115-H115</f>
        <v>0</v>
      </c>
      <c r="M115" s="1"/>
      <c r="N115" s="5">
        <f t="shared" ref="N115:N121" si="40">IF(H115=0,0,L115/H115)</f>
        <v>0</v>
      </c>
      <c r="O115" s="13"/>
      <c r="P115" s="1">
        <f>SUM(OSRRefP22_6x_0)</f>
        <v>0</v>
      </c>
      <c r="Q115" s="1"/>
      <c r="R115" s="5">
        <f t="shared" ref="R115:R121" si="41">IF(P$12=0,0,P115/P$12)</f>
        <v>0</v>
      </c>
      <c r="S115" s="1"/>
      <c r="T115" s="1">
        <f>SUM(OSRRefT22_6x_0)</f>
        <v>0</v>
      </c>
      <c r="U115" s="1"/>
      <c r="V115" s="5">
        <f t="shared" ref="V115:V121" si="42">IF(T$12=0,0,T115/T$12)</f>
        <v>0</v>
      </c>
      <c r="W115" s="1"/>
      <c r="X115" s="1">
        <f t="shared" ref="X115:X121" si="43">+P115-T115</f>
        <v>0</v>
      </c>
      <c r="Y115" s="1"/>
      <c r="Z115" s="5">
        <f t="shared" ref="Z115:Z121" si="44">IF(T115=0,0,X115/T115)</f>
        <v>0</v>
      </c>
    </row>
    <row r="116" spans="1:26" s="24" customFormat="1" hidden="1" outlineLevel="2" x14ac:dyDescent="0.25">
      <c r="A116" s="26"/>
      <c r="B116" s="11" t="str">
        <f>CONCATENATE("          ", "6395", " - ", "DONATION-OFF CAMPUS")</f>
        <v xml:space="preserve">          6395 - DONATION-OFF CAMPUS</v>
      </c>
      <c r="C116" s="11"/>
      <c r="D116" s="6"/>
      <c r="E116" s="2"/>
      <c r="F116" s="7">
        <f t="shared" si="37"/>
        <v>0</v>
      </c>
      <c r="G116" s="2"/>
      <c r="H116" s="6"/>
      <c r="I116" s="2"/>
      <c r="J116" s="7">
        <f t="shared" si="38"/>
        <v>0</v>
      </c>
      <c r="K116" s="2"/>
      <c r="L116" s="6">
        <f t="shared" si="39"/>
        <v>0</v>
      </c>
      <c r="M116" s="2"/>
      <c r="N116" s="7">
        <f t="shared" si="40"/>
        <v>0</v>
      </c>
      <c r="O116" s="11"/>
      <c r="P116" s="6"/>
      <c r="Q116" s="2"/>
      <c r="R116" s="7">
        <f t="shared" si="41"/>
        <v>0</v>
      </c>
      <c r="S116" s="2"/>
      <c r="T116" s="6">
        <v>0</v>
      </c>
      <c r="U116" s="2"/>
      <c r="V116" s="7">
        <f t="shared" si="42"/>
        <v>0</v>
      </c>
      <c r="W116" s="2"/>
      <c r="X116" s="6">
        <f t="shared" si="43"/>
        <v>0</v>
      </c>
      <c r="Y116" s="2"/>
      <c r="Z116" s="7">
        <f t="shared" si="44"/>
        <v>0</v>
      </c>
    </row>
    <row r="117" spans="1:26" s="27" customFormat="1" outlineLevel="1" collapsed="1" x14ac:dyDescent="0.25">
      <c r="A117" s="25"/>
      <c r="B117" s="13" t="str">
        <f>CONCATENATE("     ","Employees' Appreciation                           ")</f>
        <v xml:space="preserve">     Employees' Appreciation                           </v>
      </c>
      <c r="C117" s="13"/>
      <c r="D117" s="1">
        <f>SUM(OSRRefD22_7x_0)</f>
        <v>0</v>
      </c>
      <c r="E117" s="1"/>
      <c r="F117" s="5">
        <f t="shared" si="37"/>
        <v>0</v>
      </c>
      <c r="G117" s="1"/>
      <c r="H117" s="1">
        <f>SUM(OSRRefH22_7x_0)</f>
        <v>200</v>
      </c>
      <c r="I117" s="1"/>
      <c r="J117" s="5">
        <f t="shared" si="38"/>
        <v>6.0027432536669261E-4</v>
      </c>
      <c r="K117" s="1"/>
      <c r="L117" s="1">
        <f t="shared" si="39"/>
        <v>-200</v>
      </c>
      <c r="M117" s="1"/>
      <c r="N117" s="5">
        <f t="shared" si="40"/>
        <v>-1</v>
      </c>
      <c r="O117" s="13"/>
      <c r="P117" s="1">
        <f>SUM(OSRRefP22_7x_0)</f>
        <v>0</v>
      </c>
      <c r="Q117" s="1"/>
      <c r="R117" s="5">
        <f t="shared" si="41"/>
        <v>0</v>
      </c>
      <c r="S117" s="1"/>
      <c r="T117" s="1">
        <f>SUM(OSRRefT22_7x_0)</f>
        <v>2400</v>
      </c>
      <c r="U117" s="1"/>
      <c r="V117" s="5">
        <f t="shared" si="42"/>
        <v>5.8462936325336492E-4</v>
      </c>
      <c r="W117" s="1"/>
      <c r="X117" s="1">
        <f t="shared" si="43"/>
        <v>-2400</v>
      </c>
      <c r="Y117" s="1"/>
      <c r="Z117" s="5">
        <f t="shared" si="44"/>
        <v>-1</v>
      </c>
    </row>
    <row r="118" spans="1:26" s="24" customFormat="1" hidden="1" outlineLevel="2" x14ac:dyDescent="0.25">
      <c r="A118" s="26"/>
      <c r="B118" s="11" t="str">
        <f>CONCATENATE("          ", "6277", " - ", "EMPLOYEE APPRECIATION")</f>
        <v xml:space="preserve">          6277 - EMPLOYEE APPRECIATION</v>
      </c>
      <c r="C118" s="11"/>
      <c r="D118" s="6"/>
      <c r="E118" s="2"/>
      <c r="F118" s="7">
        <f t="shared" si="37"/>
        <v>0</v>
      </c>
      <c r="G118" s="2"/>
      <c r="H118" s="6">
        <v>200</v>
      </c>
      <c r="I118" s="2"/>
      <c r="J118" s="7">
        <f t="shared" si="38"/>
        <v>6.0027432536669261E-4</v>
      </c>
      <c r="K118" s="2"/>
      <c r="L118" s="6">
        <f t="shared" si="39"/>
        <v>-200</v>
      </c>
      <c r="M118" s="2"/>
      <c r="N118" s="7">
        <f t="shared" si="40"/>
        <v>-1</v>
      </c>
      <c r="O118" s="11"/>
      <c r="P118" s="6"/>
      <c r="Q118" s="2"/>
      <c r="R118" s="7">
        <f t="shared" si="41"/>
        <v>0</v>
      </c>
      <c r="S118" s="2"/>
      <c r="T118" s="6">
        <v>2400</v>
      </c>
      <c r="U118" s="2"/>
      <c r="V118" s="7">
        <f t="shared" si="42"/>
        <v>5.8462936325336492E-4</v>
      </c>
      <c r="W118" s="2"/>
      <c r="X118" s="6">
        <f t="shared" si="43"/>
        <v>-2400</v>
      </c>
      <c r="Y118" s="2"/>
      <c r="Z118" s="7">
        <f t="shared" si="44"/>
        <v>-1</v>
      </c>
    </row>
    <row r="119" spans="1:26" s="27" customFormat="1" outlineLevel="1" collapsed="1" x14ac:dyDescent="0.25">
      <c r="A119" s="25"/>
      <c r="B119" s="13" t="str">
        <f>CONCATENATE("     ","Freight out/Postage                               ")</f>
        <v xml:space="preserve">     Freight out/Postage                               </v>
      </c>
      <c r="C119" s="13"/>
      <c r="D119" s="1">
        <f>SUM(OSRRefD22_8x_0)</f>
        <v>9.25</v>
      </c>
      <c r="E119" s="1"/>
      <c r="F119" s="5">
        <f t="shared" si="37"/>
        <v>3.6183695822250034E-5</v>
      </c>
      <c r="G119" s="1"/>
      <c r="H119" s="1">
        <f>SUM(OSRRefH22_8x_0)</f>
        <v>10</v>
      </c>
      <c r="I119" s="1"/>
      <c r="J119" s="5">
        <f t="shared" si="38"/>
        <v>3.0013716268334628E-5</v>
      </c>
      <c r="K119" s="1"/>
      <c r="L119" s="1">
        <f t="shared" si="39"/>
        <v>-0.75</v>
      </c>
      <c r="M119" s="1"/>
      <c r="N119" s="5">
        <f t="shared" si="40"/>
        <v>-7.4999999999999997E-2</v>
      </c>
      <c r="O119" s="13"/>
      <c r="P119" s="1">
        <f>SUM(OSRRefP22_8x_0)</f>
        <v>-137.59999999999997</v>
      </c>
      <c r="Q119" s="1"/>
      <c r="R119" s="5">
        <f t="shared" si="41"/>
        <v>-5.3483505480904878E-5</v>
      </c>
      <c r="S119" s="1"/>
      <c r="T119" s="1">
        <f>SUM(OSRRefT22_8x_0)</f>
        <v>120</v>
      </c>
      <c r="U119" s="1"/>
      <c r="V119" s="5">
        <f t="shared" si="42"/>
        <v>2.9231468162668248E-5</v>
      </c>
      <c r="W119" s="1"/>
      <c r="X119" s="1">
        <f t="shared" si="43"/>
        <v>-257.59999999999997</v>
      </c>
      <c r="Y119" s="1"/>
      <c r="Z119" s="5">
        <f t="shared" si="44"/>
        <v>-2.1466666666666665</v>
      </c>
    </row>
    <row r="120" spans="1:26" s="24" customFormat="1" hidden="1" outlineLevel="2" x14ac:dyDescent="0.25">
      <c r="A120" s="26"/>
      <c r="B120" s="11" t="str">
        <f>CONCATENATE("          ", "6305", " - ", "FREIGHT OUT")</f>
        <v xml:space="preserve">          6305 - FREIGHT OUT</v>
      </c>
      <c r="C120" s="11"/>
      <c r="D120" s="6">
        <v>9.25</v>
      </c>
      <c r="E120" s="2"/>
      <c r="F120" s="7">
        <f t="shared" si="37"/>
        <v>3.6183695822250034E-5</v>
      </c>
      <c r="G120" s="2"/>
      <c r="H120" s="6"/>
      <c r="I120" s="2"/>
      <c r="J120" s="7">
        <f t="shared" si="38"/>
        <v>0</v>
      </c>
      <c r="K120" s="2"/>
      <c r="L120" s="6">
        <f t="shared" si="39"/>
        <v>9.25</v>
      </c>
      <c r="M120" s="2"/>
      <c r="N120" s="7">
        <f t="shared" si="40"/>
        <v>0</v>
      </c>
      <c r="O120" s="11"/>
      <c r="P120" s="6">
        <v>151.74</v>
      </c>
      <c r="Q120" s="2"/>
      <c r="R120" s="7">
        <f t="shared" si="41"/>
        <v>5.8979557570294398E-5</v>
      </c>
      <c r="S120" s="2"/>
      <c r="T120" s="6"/>
      <c r="U120" s="2"/>
      <c r="V120" s="7">
        <f t="shared" si="42"/>
        <v>0</v>
      </c>
      <c r="W120" s="2"/>
      <c r="X120" s="6">
        <f t="shared" si="43"/>
        <v>151.74</v>
      </c>
      <c r="Y120" s="2"/>
      <c r="Z120" s="7">
        <f t="shared" si="44"/>
        <v>0</v>
      </c>
    </row>
    <row r="121" spans="1:26" s="24" customFormat="1" hidden="1" outlineLevel="2" x14ac:dyDescent="0.25">
      <c r="A121" s="26"/>
      <c r="B121" s="11" t="str">
        <f>CONCATENATE("          ", "6307", " - ", "POSTAGE")</f>
        <v xml:space="preserve">          6307 - POSTAGE</v>
      </c>
      <c r="C121" s="11"/>
      <c r="D121" s="6"/>
      <c r="E121" s="2"/>
      <c r="F121" s="7">
        <f t="shared" si="37"/>
        <v>0</v>
      </c>
      <c r="G121" s="2"/>
      <c r="H121" s="6">
        <v>10</v>
      </c>
      <c r="I121" s="2"/>
      <c r="J121" s="7">
        <f t="shared" si="38"/>
        <v>3.0013716268334628E-5</v>
      </c>
      <c r="K121" s="2"/>
      <c r="L121" s="6">
        <f t="shared" si="39"/>
        <v>-10</v>
      </c>
      <c r="M121" s="2"/>
      <c r="N121" s="7">
        <f t="shared" si="40"/>
        <v>-1</v>
      </c>
      <c r="O121" s="11"/>
      <c r="P121" s="6">
        <v>-289.33999999999997</v>
      </c>
      <c r="Q121" s="2"/>
      <c r="R121" s="7">
        <f t="shared" si="41"/>
        <v>-1.1246306305119927E-4</v>
      </c>
      <c r="S121" s="2"/>
      <c r="T121" s="6">
        <v>120</v>
      </c>
      <c r="U121" s="2"/>
      <c r="V121" s="7">
        <f t="shared" si="42"/>
        <v>2.9231468162668248E-5</v>
      </c>
      <c r="W121" s="2"/>
      <c r="X121" s="6">
        <f t="shared" si="43"/>
        <v>-409.34</v>
      </c>
      <c r="Y121" s="2"/>
      <c r="Z121" s="7">
        <f t="shared" si="44"/>
        <v>-3.4111666666666665</v>
      </c>
    </row>
    <row r="122" spans="1:26" s="27" customFormat="1" outlineLevel="1" collapsed="1" x14ac:dyDescent="0.25">
      <c r="A122" s="25"/>
      <c r="B122" s="13" t="str">
        <f>CONCATENATE("     ","General                                           ")</f>
        <v xml:space="preserve">     General                                           </v>
      </c>
      <c r="C122" s="13"/>
      <c r="D122" s="1">
        <f>SUM(OSRRefD22_9x_0)</f>
        <v>0</v>
      </c>
      <c r="E122" s="1"/>
      <c r="F122" s="5">
        <f t="shared" ref="F122:F124" si="45">IF(D$12=0,0,D122/D$12)</f>
        <v>0</v>
      </c>
      <c r="G122" s="1"/>
      <c r="H122" s="1">
        <f>SUM(OSRRefH22_9x_0)</f>
        <v>1000</v>
      </c>
      <c r="I122" s="1"/>
      <c r="J122" s="5">
        <f t="shared" ref="J122:J124" si="46">IF(H$12=0,0,H122/H$12)</f>
        <v>3.0013716268334628E-3</v>
      </c>
      <c r="K122" s="1"/>
      <c r="L122" s="1">
        <f t="shared" ref="L122:L124" si="47">+D122-H122</f>
        <v>-1000</v>
      </c>
      <c r="M122" s="1"/>
      <c r="N122" s="5">
        <f t="shared" ref="N122:N124" si="48">IF(H122=0,0,L122/H122)</f>
        <v>-1</v>
      </c>
      <c r="O122" s="13"/>
      <c r="P122" s="1">
        <f>SUM(OSRRefP22_9x_0)</f>
        <v>1380.29</v>
      </c>
      <c r="Q122" s="1"/>
      <c r="R122" s="5">
        <f t="shared" ref="R122:R124" si="49">IF(P$12=0,0,P122/P$12)</f>
        <v>5.3650252747266137E-4</v>
      </c>
      <c r="S122" s="1"/>
      <c r="T122" s="1">
        <f>SUM(OSRRefT22_9x_0)</f>
        <v>3500</v>
      </c>
      <c r="U122" s="1"/>
      <c r="V122" s="5">
        <f t="shared" ref="V122:V124" si="50">IF(T$12=0,0,T122/T$12)</f>
        <v>8.5258448807782391E-4</v>
      </c>
      <c r="W122" s="1"/>
      <c r="X122" s="1">
        <f t="shared" ref="X122:X124" si="51">+P122-T122</f>
        <v>-2119.71</v>
      </c>
      <c r="Y122" s="1"/>
      <c r="Z122" s="5">
        <f t="shared" ref="Z122:Z124" si="52">IF(T122=0,0,X122/T122)</f>
        <v>-0.6056314285714286</v>
      </c>
    </row>
    <row r="123" spans="1:26" s="24" customFormat="1" hidden="1" outlineLevel="2" x14ac:dyDescent="0.25">
      <c r="A123" s="26"/>
      <c r="B123" s="11" t="str">
        <f>CONCATENATE("          ", "6276", " - ", "PROPERTY TAX")</f>
        <v xml:space="preserve">          6276 - PROPERTY TAX</v>
      </c>
      <c r="C123" s="11"/>
      <c r="D123" s="6"/>
      <c r="E123" s="2"/>
      <c r="F123" s="7">
        <f t="shared" si="45"/>
        <v>0</v>
      </c>
      <c r="G123" s="2"/>
      <c r="H123" s="6"/>
      <c r="I123" s="2"/>
      <c r="J123" s="7">
        <f t="shared" si="46"/>
        <v>0</v>
      </c>
      <c r="K123" s="2"/>
      <c r="L123" s="6">
        <f t="shared" si="47"/>
        <v>0</v>
      </c>
      <c r="M123" s="2"/>
      <c r="N123" s="7">
        <f t="shared" si="48"/>
        <v>0</v>
      </c>
      <c r="O123" s="11"/>
      <c r="P123" s="6"/>
      <c r="Q123" s="2"/>
      <c r="R123" s="7">
        <f t="shared" si="49"/>
        <v>0</v>
      </c>
      <c r="S123" s="2"/>
      <c r="T123" s="6">
        <v>150</v>
      </c>
      <c r="U123" s="2"/>
      <c r="V123" s="7">
        <f t="shared" si="50"/>
        <v>3.6539335203335307E-5</v>
      </c>
      <c r="W123" s="2"/>
      <c r="X123" s="6">
        <f t="shared" si="51"/>
        <v>-150</v>
      </c>
      <c r="Y123" s="2"/>
      <c r="Z123" s="7">
        <f t="shared" si="52"/>
        <v>-1</v>
      </c>
    </row>
    <row r="124" spans="1:26" s="24" customFormat="1" hidden="1" outlineLevel="2" x14ac:dyDescent="0.25">
      <c r="A124" s="26"/>
      <c r="B124" s="11" t="str">
        <f>CONCATENATE("          ", "6279", " - ", "GENERAL EXPENSE")</f>
        <v xml:space="preserve">          6279 - GENERAL EXPENSE</v>
      </c>
      <c r="C124" s="11"/>
      <c r="D124" s="6"/>
      <c r="E124" s="2"/>
      <c r="F124" s="7">
        <f t="shared" si="45"/>
        <v>0</v>
      </c>
      <c r="G124" s="2"/>
      <c r="H124" s="6">
        <v>1000</v>
      </c>
      <c r="I124" s="2"/>
      <c r="J124" s="7">
        <f t="shared" si="46"/>
        <v>3.0013716268334628E-3</v>
      </c>
      <c r="K124" s="2"/>
      <c r="L124" s="6">
        <f t="shared" si="47"/>
        <v>-1000</v>
      </c>
      <c r="M124" s="2"/>
      <c r="N124" s="7">
        <f t="shared" si="48"/>
        <v>-1</v>
      </c>
      <c r="O124" s="11"/>
      <c r="P124" s="6">
        <v>1380.29</v>
      </c>
      <c r="Q124" s="2"/>
      <c r="R124" s="7">
        <f t="shared" si="49"/>
        <v>5.3650252747266137E-4</v>
      </c>
      <c r="S124" s="2"/>
      <c r="T124" s="6">
        <v>3350</v>
      </c>
      <c r="U124" s="2"/>
      <c r="V124" s="7">
        <f t="shared" si="50"/>
        <v>8.1604515287448862E-4</v>
      </c>
      <c r="W124" s="2"/>
      <c r="X124" s="6">
        <f t="shared" si="51"/>
        <v>-1969.71</v>
      </c>
      <c r="Y124" s="2"/>
      <c r="Z124" s="7">
        <f t="shared" si="52"/>
        <v>-0.58797313432835818</v>
      </c>
    </row>
    <row r="125" spans="1:26" s="27" customFormat="1" outlineLevel="1" collapsed="1" x14ac:dyDescent="0.25">
      <c r="A125" s="25"/>
      <c r="B125" s="13" t="str">
        <f>CONCATENATE("     ","Insurance                                         ")</f>
        <v xml:space="preserve">     Insurance                                         </v>
      </c>
      <c r="C125" s="13"/>
      <c r="D125" s="1">
        <f>SUM(OSRRefD22_10x_0)</f>
        <v>346.03</v>
      </c>
      <c r="E125" s="1"/>
      <c r="F125" s="5">
        <f t="shared" ref="F125:F129" si="53">IF(D$12=0,0,D125/D$12)</f>
        <v>1.3535831638241274E-3</v>
      </c>
      <c r="G125" s="1"/>
      <c r="H125" s="1">
        <f>SUM(OSRRefH22_10x_0)</f>
        <v>176</v>
      </c>
      <c r="I125" s="1"/>
      <c r="J125" s="5">
        <f t="shared" ref="J125:J129" si="54">IF(H$12=0,0,H125/H$12)</f>
        <v>5.2824140632268951E-4</v>
      </c>
      <c r="K125" s="1"/>
      <c r="L125" s="1">
        <f t="shared" ref="L125:L129" si="55">+D125-H125</f>
        <v>170.02999999999997</v>
      </c>
      <c r="M125" s="1"/>
      <c r="N125" s="5">
        <f t="shared" ref="N125:N129" si="56">IF(H125=0,0,L125/H125)</f>
        <v>0.96607954545454533</v>
      </c>
      <c r="O125" s="13"/>
      <c r="P125" s="1">
        <f>SUM(OSRRefP22_10x_0)</f>
        <v>2119.0100000000002</v>
      </c>
      <c r="Q125" s="1"/>
      <c r="R125" s="5">
        <f t="shared" ref="R125:R129" si="57">IF(P$12=0,0,P125/P$12)</f>
        <v>8.2363432375793817E-4</v>
      </c>
      <c r="S125" s="1"/>
      <c r="T125" s="1">
        <f>SUM(OSRRefT22_10x_0)</f>
        <v>2112</v>
      </c>
      <c r="U125" s="1"/>
      <c r="V125" s="5">
        <f t="shared" ref="V125:V129" si="58">IF(T$12=0,0,T125/T$12)</f>
        <v>5.1447383966296122E-4</v>
      </c>
      <c r="W125" s="1"/>
      <c r="X125" s="1">
        <f t="shared" ref="X125:X129" si="59">+P125-T125</f>
        <v>7.0100000000002183</v>
      </c>
      <c r="Y125" s="1"/>
      <c r="Z125" s="5">
        <f t="shared" ref="Z125:Z129" si="60">IF(T125=0,0,X125/T125)</f>
        <v>3.3191287878788912E-3</v>
      </c>
    </row>
    <row r="126" spans="1:26" s="24" customFormat="1" hidden="1" outlineLevel="2" x14ac:dyDescent="0.25">
      <c r="A126" s="26"/>
      <c r="B126" s="11" t="str">
        <f>CONCATENATE("          ", "6314", " - ", "LIABILITY INSURANCE")</f>
        <v xml:space="preserve">          6314 - LIABILITY INSURANCE</v>
      </c>
      <c r="C126" s="11"/>
      <c r="D126" s="6">
        <v>346.03</v>
      </c>
      <c r="E126" s="2"/>
      <c r="F126" s="7">
        <f t="shared" si="53"/>
        <v>1.3535831638241274E-3</v>
      </c>
      <c r="G126" s="2"/>
      <c r="H126" s="6">
        <v>176</v>
      </c>
      <c r="I126" s="2"/>
      <c r="J126" s="7">
        <f t="shared" si="54"/>
        <v>5.2824140632268951E-4</v>
      </c>
      <c r="K126" s="2"/>
      <c r="L126" s="6">
        <f t="shared" si="55"/>
        <v>170.02999999999997</v>
      </c>
      <c r="M126" s="2"/>
      <c r="N126" s="7">
        <f t="shared" si="56"/>
        <v>0.96607954545454533</v>
      </c>
      <c r="O126" s="11"/>
      <c r="P126" s="6">
        <v>2119.0100000000002</v>
      </c>
      <c r="Q126" s="2"/>
      <c r="R126" s="7">
        <f t="shared" si="57"/>
        <v>8.2363432375793817E-4</v>
      </c>
      <c r="S126" s="2"/>
      <c r="T126" s="6">
        <v>2112</v>
      </c>
      <c r="U126" s="2"/>
      <c r="V126" s="7">
        <f t="shared" si="58"/>
        <v>5.1447383966296122E-4</v>
      </c>
      <c r="W126" s="2"/>
      <c r="X126" s="6">
        <f t="shared" si="59"/>
        <v>7.0100000000002183</v>
      </c>
      <c r="Y126" s="2"/>
      <c r="Z126" s="7">
        <f t="shared" si="60"/>
        <v>3.3191287878788912E-3</v>
      </c>
    </row>
    <row r="127" spans="1:26" s="27" customFormat="1" outlineLevel="1" collapsed="1" x14ac:dyDescent="0.25">
      <c r="A127" s="25"/>
      <c r="B127" s="13" t="str">
        <f>CONCATENATE("     ","Inventory Adjustment                              ")</f>
        <v xml:space="preserve">     Inventory Adjustment                              </v>
      </c>
      <c r="C127" s="13"/>
      <c r="D127" s="1">
        <f>SUM(OSRRefD22_11x_0)</f>
        <v>-12100</v>
      </c>
      <c r="E127" s="1"/>
      <c r="F127" s="5">
        <f t="shared" si="53"/>
        <v>-4.7332185886402749E-2</v>
      </c>
      <c r="G127" s="1"/>
      <c r="H127" s="1">
        <f>SUM(OSRRefH22_11x_0)</f>
        <v>1100</v>
      </c>
      <c r="I127" s="1"/>
      <c r="J127" s="5">
        <f t="shared" si="54"/>
        <v>3.301508789516809E-3</v>
      </c>
      <c r="K127" s="1"/>
      <c r="L127" s="1">
        <f t="shared" si="55"/>
        <v>-13200</v>
      </c>
      <c r="M127" s="1"/>
      <c r="N127" s="5">
        <f t="shared" si="56"/>
        <v>-12</v>
      </c>
      <c r="O127" s="13"/>
      <c r="P127" s="1">
        <f>SUM(OSRRefP22_11x_0)</f>
        <v>0</v>
      </c>
      <c r="Q127" s="1"/>
      <c r="R127" s="5">
        <f t="shared" si="57"/>
        <v>0</v>
      </c>
      <c r="S127" s="1"/>
      <c r="T127" s="1">
        <f>SUM(OSRRefT22_11x_0)</f>
        <v>13200</v>
      </c>
      <c r="U127" s="1"/>
      <c r="V127" s="5">
        <f t="shared" si="58"/>
        <v>3.2154614978935074E-3</v>
      </c>
      <c r="W127" s="1"/>
      <c r="X127" s="1">
        <f t="shared" si="59"/>
        <v>-13200</v>
      </c>
      <c r="Y127" s="1"/>
      <c r="Z127" s="5">
        <f t="shared" si="60"/>
        <v>-1</v>
      </c>
    </row>
    <row r="128" spans="1:26" s="24" customFormat="1" hidden="1" outlineLevel="2" x14ac:dyDescent="0.25">
      <c r="A128" s="26"/>
      <c r="B128" s="11" t="str">
        <f>CONCATENATE("          ", "6408", " - ", "INVENTORY ADJUSTMENT")</f>
        <v xml:space="preserve">          6408 - INVENTORY ADJUSTMENT</v>
      </c>
      <c r="C128" s="11"/>
      <c r="D128" s="6">
        <v>-12100</v>
      </c>
      <c r="E128" s="2"/>
      <c r="F128" s="7">
        <f t="shared" si="53"/>
        <v>-4.7332185886402749E-2</v>
      </c>
      <c r="G128" s="2"/>
      <c r="H128" s="6">
        <v>1100</v>
      </c>
      <c r="I128" s="2"/>
      <c r="J128" s="7">
        <f t="shared" si="54"/>
        <v>3.301508789516809E-3</v>
      </c>
      <c r="K128" s="2"/>
      <c r="L128" s="6">
        <f t="shared" si="55"/>
        <v>-13200</v>
      </c>
      <c r="M128" s="2"/>
      <c r="N128" s="7">
        <f t="shared" si="56"/>
        <v>-12</v>
      </c>
      <c r="O128" s="11"/>
      <c r="P128" s="6">
        <v>0</v>
      </c>
      <c r="Q128" s="2"/>
      <c r="R128" s="7">
        <f t="shared" si="57"/>
        <v>0</v>
      </c>
      <c r="S128" s="2"/>
      <c r="T128" s="6">
        <v>13200</v>
      </c>
      <c r="U128" s="2"/>
      <c r="V128" s="7">
        <f t="shared" si="58"/>
        <v>3.2154614978935074E-3</v>
      </c>
      <c r="W128" s="2"/>
      <c r="X128" s="6">
        <f t="shared" si="59"/>
        <v>-13200</v>
      </c>
      <c r="Y128" s="2"/>
      <c r="Z128" s="7">
        <f t="shared" si="60"/>
        <v>-1</v>
      </c>
    </row>
    <row r="129" spans="1:26" s="24" customFormat="1" hidden="1" outlineLevel="2" x14ac:dyDescent="0.25">
      <c r="A129" s="26"/>
      <c r="B129" s="11" t="str">
        <f>CONCATENATE("          ", "7741", " - ", "INV. SHRINKAGE-LOGO GIFTS")</f>
        <v xml:space="preserve">          7741 - INV. SHRINKAGE-LOGO GIFTS</v>
      </c>
      <c r="C129" s="11"/>
      <c r="D129" s="6"/>
      <c r="E129" s="2"/>
      <c r="F129" s="7">
        <f t="shared" si="53"/>
        <v>0</v>
      </c>
      <c r="G129" s="2"/>
      <c r="H129" s="6"/>
      <c r="I129" s="2"/>
      <c r="J129" s="7">
        <f t="shared" si="54"/>
        <v>0</v>
      </c>
      <c r="K129" s="2"/>
      <c r="L129" s="6">
        <f t="shared" si="55"/>
        <v>0</v>
      </c>
      <c r="M129" s="2"/>
      <c r="N129" s="7">
        <f t="shared" si="56"/>
        <v>0</v>
      </c>
      <c r="O129" s="11"/>
      <c r="P129" s="6">
        <v>0</v>
      </c>
      <c r="Q129" s="2"/>
      <c r="R129" s="7">
        <f t="shared" si="57"/>
        <v>0</v>
      </c>
      <c r="S129" s="2"/>
      <c r="T129" s="6"/>
      <c r="U129" s="2"/>
      <c r="V129" s="7">
        <f t="shared" si="58"/>
        <v>0</v>
      </c>
      <c r="W129" s="2"/>
      <c r="X129" s="6">
        <f t="shared" si="59"/>
        <v>0</v>
      </c>
      <c r="Y129" s="2"/>
      <c r="Z129" s="7">
        <f t="shared" si="60"/>
        <v>0</v>
      </c>
    </row>
    <row r="130" spans="1:26" s="27" customFormat="1" outlineLevel="1" collapsed="1" x14ac:dyDescent="0.25">
      <c r="A130" s="25"/>
      <c r="B130" s="13" t="str">
        <f>CONCATENATE("     ","Professional Services                             ")</f>
        <v xml:space="preserve">     Professional Services                             </v>
      </c>
      <c r="C130" s="13"/>
      <c r="D130" s="1">
        <f>SUM(OSRRefD22_12x_0)</f>
        <v>1966.87</v>
      </c>
      <c r="E130" s="1"/>
      <c r="F130" s="5">
        <f t="shared" ref="F130:F137" si="61">IF(D$12=0,0,D130/D$12)</f>
        <v>7.6939054920982615E-3</v>
      </c>
      <c r="G130" s="1"/>
      <c r="H130" s="1">
        <f>SUM(OSRRefH22_12x_0)</f>
        <v>0</v>
      </c>
      <c r="I130" s="1"/>
      <c r="J130" s="5">
        <f t="shared" ref="J130:J137" si="62">IF(H$12=0,0,H130/H$12)</f>
        <v>0</v>
      </c>
      <c r="K130" s="1"/>
      <c r="L130" s="1">
        <f t="shared" ref="L130:L137" si="63">+D130-H130</f>
        <v>1966.87</v>
      </c>
      <c r="M130" s="1"/>
      <c r="N130" s="5">
        <f t="shared" ref="N130:N137" si="64">IF(H130=0,0,L130/H130)</f>
        <v>0</v>
      </c>
      <c r="O130" s="13"/>
      <c r="P130" s="1">
        <f>SUM(OSRRefP22_12x_0)</f>
        <v>1966.87</v>
      </c>
      <c r="Q130" s="1"/>
      <c r="R130" s="5">
        <f t="shared" ref="R130:R137" si="65">IF(P$12=0,0,P130/P$12)</f>
        <v>7.6449929088101304E-4</v>
      </c>
      <c r="S130" s="1"/>
      <c r="T130" s="1">
        <f>SUM(OSRRefT22_12x_0)</f>
        <v>6500</v>
      </c>
      <c r="U130" s="1"/>
      <c r="V130" s="5">
        <f t="shared" ref="V130:V137" si="66">IF(T$12=0,0,T130/T$12)</f>
        <v>1.5833711921445302E-3</v>
      </c>
      <c r="W130" s="1"/>
      <c r="X130" s="1">
        <f t="shared" ref="X130:X137" si="67">+P130-T130</f>
        <v>-4533.13</v>
      </c>
      <c r="Y130" s="1"/>
      <c r="Z130" s="5">
        <f t="shared" ref="Z130:Z137" si="68">IF(T130=0,0,X130/T130)</f>
        <v>-0.6974046153846154</v>
      </c>
    </row>
    <row r="131" spans="1:26" s="24" customFormat="1" hidden="1" outlineLevel="2" x14ac:dyDescent="0.25">
      <c r="A131" s="26"/>
      <c r="B131" s="11" t="str">
        <f>CONCATENATE("          ", "6336", " - ", "PROFESSIONAL SERVICES")</f>
        <v xml:space="preserve">          6336 - PROFESSIONAL SERVICES</v>
      </c>
      <c r="C131" s="11"/>
      <c r="D131" s="6">
        <v>1966.87</v>
      </c>
      <c r="E131" s="2"/>
      <c r="F131" s="7">
        <f t="shared" si="61"/>
        <v>7.6939054920982615E-3</v>
      </c>
      <c r="G131" s="2"/>
      <c r="H131" s="6">
        <v>0</v>
      </c>
      <c r="I131" s="2"/>
      <c r="J131" s="7">
        <f t="shared" si="62"/>
        <v>0</v>
      </c>
      <c r="K131" s="2"/>
      <c r="L131" s="6">
        <f t="shared" si="63"/>
        <v>1966.87</v>
      </c>
      <c r="M131" s="2"/>
      <c r="N131" s="7">
        <f t="shared" si="64"/>
        <v>0</v>
      </c>
      <c r="O131" s="11"/>
      <c r="P131" s="6">
        <v>1966.87</v>
      </c>
      <c r="Q131" s="2"/>
      <c r="R131" s="7">
        <f t="shared" si="65"/>
        <v>7.6449929088101304E-4</v>
      </c>
      <c r="S131" s="2"/>
      <c r="T131" s="6">
        <v>6500</v>
      </c>
      <c r="U131" s="2"/>
      <c r="V131" s="7">
        <f t="shared" si="66"/>
        <v>1.5833711921445302E-3</v>
      </c>
      <c r="W131" s="2"/>
      <c r="X131" s="6">
        <f t="shared" si="67"/>
        <v>-4533.13</v>
      </c>
      <c r="Y131" s="2"/>
      <c r="Z131" s="7">
        <f t="shared" si="68"/>
        <v>-0.6974046153846154</v>
      </c>
    </row>
    <row r="132" spans="1:26" s="27" customFormat="1" outlineLevel="1" collapsed="1" x14ac:dyDescent="0.25">
      <c r="A132" s="25"/>
      <c r="B132" s="13" t="str">
        <f>CONCATENATE("     ","Rent                                              ")</f>
        <v xml:space="preserve">     Rent                                              </v>
      </c>
      <c r="C132" s="13"/>
      <c r="D132" s="1">
        <f>SUM(OSRRefD22_13x_0)</f>
        <v>6900</v>
      </c>
      <c r="E132" s="1"/>
      <c r="F132" s="5">
        <f t="shared" si="61"/>
        <v>2.6991081207948676E-2</v>
      </c>
      <c r="G132" s="1"/>
      <c r="H132" s="1">
        <f>SUM(OSRRefH22_13x_0)</f>
        <v>6900</v>
      </c>
      <c r="I132" s="1"/>
      <c r="J132" s="5">
        <f t="shared" si="62"/>
        <v>2.0709464225150895E-2</v>
      </c>
      <c r="K132" s="1"/>
      <c r="L132" s="1">
        <f t="shared" si="63"/>
        <v>0</v>
      </c>
      <c r="M132" s="1"/>
      <c r="N132" s="5">
        <f t="shared" si="64"/>
        <v>0</v>
      </c>
      <c r="O132" s="13"/>
      <c r="P132" s="1">
        <f>SUM(OSRRefP22_13x_0)</f>
        <v>82800</v>
      </c>
      <c r="Q132" s="1"/>
      <c r="R132" s="5">
        <f t="shared" si="65"/>
        <v>3.2183388472521259E-2</v>
      </c>
      <c r="S132" s="1"/>
      <c r="T132" s="1">
        <f>SUM(OSRRefT22_13x_0)</f>
        <v>82801</v>
      </c>
      <c r="U132" s="1"/>
      <c r="V132" s="5">
        <f t="shared" si="66"/>
        <v>2.0169956627809113E-2</v>
      </c>
      <c r="W132" s="1"/>
      <c r="X132" s="1">
        <f t="shared" si="67"/>
        <v>-1</v>
      </c>
      <c r="Y132" s="1"/>
      <c r="Z132" s="5">
        <f t="shared" si="68"/>
        <v>-1.2077148826704991E-5</v>
      </c>
    </row>
    <row r="133" spans="1:26" s="24" customFormat="1" hidden="1" outlineLevel="2" x14ac:dyDescent="0.25">
      <c r="A133" s="26"/>
      <c r="B133" s="11" t="str">
        <f>CONCATENATE("          ", "6273", " - ", "RENT")</f>
        <v xml:space="preserve">          6273 - RENT</v>
      </c>
      <c r="C133" s="11"/>
      <c r="D133" s="6">
        <v>6900</v>
      </c>
      <c r="E133" s="2"/>
      <c r="F133" s="7">
        <f t="shared" si="61"/>
        <v>2.6991081207948676E-2</v>
      </c>
      <c r="G133" s="2"/>
      <c r="H133" s="6">
        <v>6900</v>
      </c>
      <c r="I133" s="2"/>
      <c r="J133" s="7">
        <f t="shared" si="62"/>
        <v>2.0709464225150895E-2</v>
      </c>
      <c r="K133" s="2"/>
      <c r="L133" s="6">
        <f t="shared" si="63"/>
        <v>0</v>
      </c>
      <c r="M133" s="2"/>
      <c r="N133" s="7">
        <f t="shared" si="64"/>
        <v>0</v>
      </c>
      <c r="O133" s="11"/>
      <c r="P133" s="6">
        <v>82800</v>
      </c>
      <c r="Q133" s="2"/>
      <c r="R133" s="7">
        <f t="shared" si="65"/>
        <v>3.2183388472521259E-2</v>
      </c>
      <c r="S133" s="2"/>
      <c r="T133" s="6">
        <v>82801</v>
      </c>
      <c r="U133" s="2"/>
      <c r="V133" s="7">
        <f t="shared" si="66"/>
        <v>2.0169956627809113E-2</v>
      </c>
      <c r="W133" s="2"/>
      <c r="X133" s="6">
        <f t="shared" si="67"/>
        <v>-1</v>
      </c>
      <c r="Y133" s="2"/>
      <c r="Z133" s="7">
        <f t="shared" si="68"/>
        <v>-1.2077148826704991E-5</v>
      </c>
    </row>
    <row r="134" spans="1:26" s="27" customFormat="1" outlineLevel="1" collapsed="1" x14ac:dyDescent="0.25">
      <c r="A134" s="25"/>
      <c r="B134" s="13" t="str">
        <f>CONCATENATE("     ","Repair and Maintenance                            ")</f>
        <v xml:space="preserve">     Repair and Maintenance                            </v>
      </c>
      <c r="C134" s="13"/>
      <c r="D134" s="1">
        <f>SUM(OSRRefD22_14x_0)</f>
        <v>824.67</v>
      </c>
      <c r="E134" s="1"/>
      <c r="F134" s="5">
        <f t="shared" si="61"/>
        <v>3.225903614457831E-3</v>
      </c>
      <c r="G134" s="1"/>
      <c r="H134" s="1">
        <f>SUM(OSRRefH22_14x_0)</f>
        <v>200</v>
      </c>
      <c r="I134" s="1"/>
      <c r="J134" s="5">
        <f t="shared" si="62"/>
        <v>6.0027432536669261E-4</v>
      </c>
      <c r="K134" s="1"/>
      <c r="L134" s="1">
        <f t="shared" si="63"/>
        <v>624.66999999999996</v>
      </c>
      <c r="M134" s="1"/>
      <c r="N134" s="5">
        <f t="shared" si="64"/>
        <v>3.1233499999999998</v>
      </c>
      <c r="O134" s="13"/>
      <c r="P134" s="1">
        <f>SUM(OSRRefP22_14x_0)</f>
        <v>1134.3800000000001</v>
      </c>
      <c r="Q134" s="1"/>
      <c r="R134" s="5">
        <f t="shared" si="65"/>
        <v>4.4092019583887281E-4</v>
      </c>
      <c r="S134" s="1"/>
      <c r="T134" s="1">
        <f>SUM(OSRRefT22_14x_0)</f>
        <v>2700</v>
      </c>
      <c r="U134" s="1"/>
      <c r="V134" s="5">
        <f t="shared" si="66"/>
        <v>6.577080336600356E-4</v>
      </c>
      <c r="W134" s="1"/>
      <c r="X134" s="1">
        <f t="shared" si="67"/>
        <v>-1565.62</v>
      </c>
      <c r="Y134" s="1"/>
      <c r="Z134" s="5">
        <f t="shared" si="68"/>
        <v>-0.57985925925925919</v>
      </c>
    </row>
    <row r="135" spans="1:26" s="24" customFormat="1" hidden="1" outlineLevel="2" x14ac:dyDescent="0.25">
      <c r="A135" s="26"/>
      <c r="B135" s="11" t="str">
        <f>CONCATENATE("          ", "6372", " - ", "COMPUTER HARDWARE MAINTENANCE")</f>
        <v xml:space="preserve">          6372 - COMPUTER HARDWARE MAINTENANCE</v>
      </c>
      <c r="C135" s="11"/>
      <c r="D135" s="6"/>
      <c r="E135" s="2"/>
      <c r="F135" s="7">
        <f t="shared" si="61"/>
        <v>0</v>
      </c>
      <c r="G135" s="2"/>
      <c r="H135" s="6"/>
      <c r="I135" s="2"/>
      <c r="J135" s="7">
        <f t="shared" si="62"/>
        <v>0</v>
      </c>
      <c r="K135" s="2"/>
      <c r="L135" s="6">
        <f t="shared" si="63"/>
        <v>0</v>
      </c>
      <c r="M135" s="2"/>
      <c r="N135" s="7">
        <f t="shared" si="64"/>
        <v>0</v>
      </c>
      <c r="O135" s="11"/>
      <c r="P135" s="6">
        <v>-0.52</v>
      </c>
      <c r="Q135" s="2"/>
      <c r="R135" s="7">
        <f t="shared" si="65"/>
        <v>-2.0211789861969874E-7</v>
      </c>
      <c r="S135" s="2"/>
      <c r="T135" s="6"/>
      <c r="U135" s="2"/>
      <c r="V135" s="7">
        <f t="shared" si="66"/>
        <v>0</v>
      </c>
      <c r="W135" s="2"/>
      <c r="X135" s="6">
        <f t="shared" si="67"/>
        <v>-0.52</v>
      </c>
      <c r="Y135" s="2"/>
      <c r="Z135" s="7">
        <f t="shared" si="68"/>
        <v>0</v>
      </c>
    </row>
    <row r="136" spans="1:26" s="24" customFormat="1" hidden="1" outlineLevel="2" x14ac:dyDescent="0.25">
      <c r="A136" s="26"/>
      <c r="B136" s="11" t="str">
        <f>CONCATENATE("          ", "6373", " - ", "MAINTENANCE CONTRACTS")</f>
        <v xml:space="preserve">          6373 - MAINTENANCE CONTRACTS</v>
      </c>
      <c r="C136" s="11"/>
      <c r="D136" s="6">
        <v>230.9</v>
      </c>
      <c r="E136" s="2"/>
      <c r="F136" s="7">
        <f t="shared" si="61"/>
        <v>9.0322328274135494E-4</v>
      </c>
      <c r="G136" s="2"/>
      <c r="H136" s="6"/>
      <c r="I136" s="2"/>
      <c r="J136" s="7">
        <f t="shared" si="62"/>
        <v>0</v>
      </c>
      <c r="K136" s="2"/>
      <c r="L136" s="6">
        <f t="shared" si="63"/>
        <v>230.9</v>
      </c>
      <c r="M136" s="2"/>
      <c r="N136" s="7">
        <f t="shared" si="64"/>
        <v>0</v>
      </c>
      <c r="O136" s="11"/>
      <c r="P136" s="6">
        <v>375.57</v>
      </c>
      <c r="Q136" s="2"/>
      <c r="R136" s="7">
        <f t="shared" si="65"/>
        <v>1.4597965227807741E-4</v>
      </c>
      <c r="S136" s="2"/>
      <c r="T136" s="6"/>
      <c r="U136" s="2"/>
      <c r="V136" s="7">
        <f t="shared" si="66"/>
        <v>0</v>
      </c>
      <c r="W136" s="2"/>
      <c r="X136" s="6">
        <f t="shared" si="67"/>
        <v>375.57</v>
      </c>
      <c r="Y136" s="2"/>
      <c r="Z136" s="7">
        <f t="shared" si="68"/>
        <v>0</v>
      </c>
    </row>
    <row r="137" spans="1:26" s="24" customFormat="1" hidden="1" outlineLevel="2" x14ac:dyDescent="0.25">
      <c r="A137" s="26"/>
      <c r="B137" s="11" t="str">
        <f>CONCATENATE("          ", "6375", " - ", "OUTSIDE REPAIRS &amp; MAINTENANCE")</f>
        <v xml:space="preserve">          6375 - OUTSIDE REPAIRS &amp; MAINTENANCE</v>
      </c>
      <c r="C137" s="11"/>
      <c r="D137" s="6">
        <v>593.77</v>
      </c>
      <c r="E137" s="2"/>
      <c r="F137" s="7">
        <f t="shared" si="61"/>
        <v>2.322680331716476E-3</v>
      </c>
      <c r="G137" s="2"/>
      <c r="H137" s="6">
        <v>200</v>
      </c>
      <c r="I137" s="2"/>
      <c r="J137" s="7">
        <f t="shared" si="62"/>
        <v>6.0027432536669261E-4</v>
      </c>
      <c r="K137" s="2"/>
      <c r="L137" s="6">
        <f t="shared" si="63"/>
        <v>393.77</v>
      </c>
      <c r="M137" s="2"/>
      <c r="N137" s="7">
        <f t="shared" si="64"/>
        <v>1.96885</v>
      </c>
      <c r="O137" s="11"/>
      <c r="P137" s="6">
        <v>759.33</v>
      </c>
      <c r="Q137" s="2"/>
      <c r="R137" s="7">
        <f t="shared" si="65"/>
        <v>2.9514266145941505E-4</v>
      </c>
      <c r="S137" s="2"/>
      <c r="T137" s="6">
        <v>2700</v>
      </c>
      <c r="U137" s="2"/>
      <c r="V137" s="7">
        <f t="shared" si="66"/>
        <v>6.577080336600356E-4</v>
      </c>
      <c r="W137" s="2"/>
      <c r="X137" s="6">
        <f t="shared" si="67"/>
        <v>-1940.67</v>
      </c>
      <c r="Y137" s="2"/>
      <c r="Z137" s="7">
        <f t="shared" si="68"/>
        <v>-0.71876666666666666</v>
      </c>
    </row>
    <row r="138" spans="1:26" s="27" customFormat="1" outlineLevel="1" collapsed="1" x14ac:dyDescent="0.25">
      <c r="A138" s="25"/>
      <c r="B138" s="13" t="str">
        <f>CONCATENATE("     ","Royalty &amp; Commissions                             ")</f>
        <v xml:space="preserve">     Royalty &amp; Commissions                             </v>
      </c>
      <c r="C138" s="13"/>
      <c r="D138" s="1">
        <f>SUM(OSRRefD22_15x_0)</f>
        <v>0</v>
      </c>
      <c r="E138" s="1"/>
      <c r="F138" s="5">
        <f t="shared" ref="F138:F141" si="69">IF(D$12=0,0,D138/D$12)</f>
        <v>0</v>
      </c>
      <c r="G138" s="1"/>
      <c r="H138" s="1">
        <f>SUM(OSRRefH22_15x_0)</f>
        <v>6271</v>
      </c>
      <c r="I138" s="1"/>
      <c r="J138" s="5">
        <f t="shared" ref="J138:J141" si="70">IF(H$12=0,0,H138/H$12)</f>
        <v>1.8821601471872645E-2</v>
      </c>
      <c r="K138" s="1"/>
      <c r="L138" s="1">
        <f t="shared" ref="L138:L141" si="71">+D138-H138</f>
        <v>-6271</v>
      </c>
      <c r="M138" s="1"/>
      <c r="N138" s="5">
        <f t="shared" ref="N138:N141" si="72">IF(H138=0,0,L138/H138)</f>
        <v>-1</v>
      </c>
      <c r="O138" s="13"/>
      <c r="P138" s="1">
        <f>SUM(OSRRefP22_15x_0)</f>
        <v>35159.06</v>
      </c>
      <c r="Q138" s="1"/>
      <c r="R138" s="5">
        <f t="shared" ref="R138:R141" si="73">IF(P$12=0,0,P138/P$12)</f>
        <v>1.3665914085853662E-2</v>
      </c>
      <c r="S138" s="1"/>
      <c r="T138" s="1">
        <f>SUM(OSRRefT22_15x_0)</f>
        <v>75252</v>
      </c>
      <c r="U138" s="1"/>
      <c r="V138" s="5">
        <f t="shared" ref="V138:V141" si="74">IF(T$12=0,0,T138/T$12)</f>
        <v>1.8331053684809258E-2</v>
      </c>
      <c r="W138" s="1"/>
      <c r="X138" s="1">
        <f t="shared" ref="X138:X141" si="75">+P138-T138</f>
        <v>-40092.94</v>
      </c>
      <c r="Y138" s="1"/>
      <c r="Z138" s="5">
        <f t="shared" ref="Z138:Z141" si="76">IF(T138=0,0,X138/T138)</f>
        <v>-0.53278238452134163</v>
      </c>
    </row>
    <row r="139" spans="1:26" s="24" customFormat="1" hidden="1" outlineLevel="2" x14ac:dyDescent="0.25">
      <c r="A139" s="26"/>
      <c r="B139" s="11" t="str">
        <f>CONCATENATE("          ", "6252", " - ", "ROYALTY DUE CSTV")</f>
        <v xml:space="preserve">          6252 - ROYALTY DUE CSTV</v>
      </c>
      <c r="C139" s="11"/>
      <c r="D139" s="6"/>
      <c r="E139" s="2"/>
      <c r="F139" s="7">
        <f t="shared" si="69"/>
        <v>0</v>
      </c>
      <c r="G139" s="2"/>
      <c r="H139" s="6">
        <v>1085</v>
      </c>
      <c r="I139" s="2"/>
      <c r="J139" s="7">
        <f t="shared" si="70"/>
        <v>3.2564882151143071E-3</v>
      </c>
      <c r="K139" s="2"/>
      <c r="L139" s="6">
        <f t="shared" si="71"/>
        <v>-1085</v>
      </c>
      <c r="M139" s="2"/>
      <c r="N139" s="7">
        <f t="shared" si="72"/>
        <v>-1</v>
      </c>
      <c r="O139" s="11"/>
      <c r="P139" s="6"/>
      <c r="Q139" s="2"/>
      <c r="R139" s="7">
        <f t="shared" si="73"/>
        <v>0</v>
      </c>
      <c r="S139" s="2"/>
      <c r="T139" s="6">
        <v>13020</v>
      </c>
      <c r="U139" s="2"/>
      <c r="V139" s="7">
        <f t="shared" si="74"/>
        <v>3.171614295649505E-3</v>
      </c>
      <c r="W139" s="2"/>
      <c r="X139" s="6">
        <f t="shared" si="75"/>
        <v>-13020</v>
      </c>
      <c r="Y139" s="2"/>
      <c r="Z139" s="7">
        <f t="shared" si="76"/>
        <v>-1</v>
      </c>
    </row>
    <row r="140" spans="1:26" s="24" customFormat="1" hidden="1" outlineLevel="2" x14ac:dyDescent="0.25">
      <c r="A140" s="26"/>
      <c r="B140" s="11" t="str">
        <f>CONCATENATE("          ", "6253", " - ", "ROYALTY DUE ATHLETICS-LRG")</f>
        <v xml:space="preserve">          6253 - ROYALTY DUE ATHLETICS-LRG</v>
      </c>
      <c r="C140" s="11"/>
      <c r="D140" s="6"/>
      <c r="E140" s="2"/>
      <c r="F140" s="7">
        <f t="shared" si="69"/>
        <v>0</v>
      </c>
      <c r="G140" s="2"/>
      <c r="H140" s="6">
        <v>4037</v>
      </c>
      <c r="I140" s="2"/>
      <c r="J140" s="7">
        <f t="shared" si="70"/>
        <v>1.2116537257526689E-2</v>
      </c>
      <c r="K140" s="2"/>
      <c r="L140" s="6">
        <f t="shared" si="71"/>
        <v>-4037</v>
      </c>
      <c r="M140" s="2"/>
      <c r="N140" s="7">
        <f t="shared" si="72"/>
        <v>-1</v>
      </c>
      <c r="O140" s="11"/>
      <c r="P140" s="6">
        <v>35159.06</v>
      </c>
      <c r="Q140" s="2"/>
      <c r="R140" s="7">
        <f t="shared" si="73"/>
        <v>1.3665914085853662E-2</v>
      </c>
      <c r="S140" s="2"/>
      <c r="T140" s="6">
        <v>48444</v>
      </c>
      <c r="U140" s="2"/>
      <c r="V140" s="7">
        <f t="shared" si="74"/>
        <v>1.1800743697269172E-2</v>
      </c>
      <c r="W140" s="2"/>
      <c r="X140" s="6">
        <f t="shared" si="75"/>
        <v>-13284.940000000002</v>
      </c>
      <c r="Y140" s="2"/>
      <c r="Z140" s="7">
        <f t="shared" si="76"/>
        <v>-0.27423292874246558</v>
      </c>
    </row>
    <row r="141" spans="1:26" s="24" customFormat="1" hidden="1" outlineLevel="2" x14ac:dyDescent="0.25">
      <c r="A141" s="26"/>
      <c r="B141" s="11" t="str">
        <f>CONCATENATE("          ", "6254", " - ", "ROYALTY &amp; COMMISSIONS")</f>
        <v xml:space="preserve">          6254 - ROYALTY &amp; COMMISSIONS</v>
      </c>
      <c r="C141" s="11"/>
      <c r="D141" s="6"/>
      <c r="E141" s="2"/>
      <c r="F141" s="7">
        <f t="shared" si="69"/>
        <v>0</v>
      </c>
      <c r="G141" s="2"/>
      <c r="H141" s="6">
        <v>1149</v>
      </c>
      <c r="I141" s="2"/>
      <c r="J141" s="7">
        <f t="shared" si="70"/>
        <v>3.448575999231649E-3</v>
      </c>
      <c r="K141" s="2"/>
      <c r="L141" s="6">
        <f t="shared" si="71"/>
        <v>-1149</v>
      </c>
      <c r="M141" s="2"/>
      <c r="N141" s="7">
        <f t="shared" si="72"/>
        <v>-1</v>
      </c>
      <c r="O141" s="11"/>
      <c r="P141" s="6"/>
      <c r="Q141" s="2"/>
      <c r="R141" s="7">
        <f t="shared" si="73"/>
        <v>0</v>
      </c>
      <c r="S141" s="2"/>
      <c r="T141" s="6">
        <v>13788</v>
      </c>
      <c r="U141" s="2"/>
      <c r="V141" s="7">
        <f t="shared" si="74"/>
        <v>3.3586956918905818E-3</v>
      </c>
      <c r="W141" s="2"/>
      <c r="X141" s="6">
        <f t="shared" si="75"/>
        <v>-13788</v>
      </c>
      <c r="Y141" s="2"/>
      <c r="Z141" s="7">
        <f t="shared" si="76"/>
        <v>-1</v>
      </c>
    </row>
    <row r="142" spans="1:26" s="27" customFormat="1" outlineLevel="1" collapsed="1" x14ac:dyDescent="0.25">
      <c r="A142" s="25"/>
      <c r="B142" s="13" t="str">
        <f>CONCATENATE("     ","Services                                          ")</f>
        <v xml:space="preserve">     Services                                          </v>
      </c>
      <c r="C142" s="13"/>
      <c r="D142" s="1">
        <f>SUM(OSRRefD22_16x_0)</f>
        <v>155.59</v>
      </c>
      <c r="E142" s="1"/>
      <c r="F142" s="5">
        <f t="shared" ref="F142:F145" si="77">IF(D$12=0,0,D142/D$12)</f>
        <v>6.0862932248474417E-4</v>
      </c>
      <c r="G142" s="1"/>
      <c r="H142" s="1">
        <f>SUM(OSRRefH22_16x_0)</f>
        <v>210</v>
      </c>
      <c r="I142" s="1"/>
      <c r="J142" s="5">
        <f t="shared" ref="J142:J145" si="78">IF(H$12=0,0,H142/H$12)</f>
        <v>6.3028804163502725E-4</v>
      </c>
      <c r="K142" s="1"/>
      <c r="L142" s="1">
        <f t="shared" ref="L142:L145" si="79">+D142-H142</f>
        <v>-54.41</v>
      </c>
      <c r="M142" s="1"/>
      <c r="N142" s="5">
        <f t="shared" ref="N142:N145" si="80">IF(H142=0,0,L142/H142)</f>
        <v>-0.2590952380952381</v>
      </c>
      <c r="O142" s="13"/>
      <c r="P142" s="1">
        <f>SUM(OSRRefP22_16x_0)</f>
        <v>1074.1099999999999</v>
      </c>
      <c r="Q142" s="1"/>
      <c r="R142" s="5">
        <f t="shared" ref="R142:R145" si="81">IF(P$12=0,0,P142/P$12)</f>
        <v>4.1749395401231647E-4</v>
      </c>
      <c r="S142" s="1"/>
      <c r="T142" s="1">
        <f>SUM(OSRRefT22_16x_0)</f>
        <v>2505</v>
      </c>
      <c r="U142" s="1"/>
      <c r="V142" s="5">
        <f t="shared" ref="V142:V145" si="82">IF(T$12=0,0,T142/T$12)</f>
        <v>6.1020689789569971E-4</v>
      </c>
      <c r="W142" s="1"/>
      <c r="X142" s="1">
        <f t="shared" ref="X142:X145" si="83">+P142-T142</f>
        <v>-1430.89</v>
      </c>
      <c r="Y142" s="1"/>
      <c r="Z142" s="5">
        <f t="shared" ref="Z142:Z145" si="84">IF(T142=0,0,X142/T142)</f>
        <v>-0.57121357285429142</v>
      </c>
    </row>
    <row r="143" spans="1:26" s="24" customFormat="1" hidden="1" outlineLevel="2" x14ac:dyDescent="0.25">
      <c r="A143" s="26"/>
      <c r="B143" s="11" t="str">
        <f>CONCATENATE("          ", "6283", " - ", "PLANT SERVICE")</f>
        <v xml:space="preserve">          6283 - PLANT SERVICE</v>
      </c>
      <c r="C143" s="11"/>
      <c r="D143" s="6"/>
      <c r="E143" s="2"/>
      <c r="F143" s="7">
        <f t="shared" si="77"/>
        <v>0</v>
      </c>
      <c r="G143" s="2"/>
      <c r="H143" s="6">
        <v>0</v>
      </c>
      <c r="I143" s="2"/>
      <c r="J143" s="7">
        <f t="shared" si="78"/>
        <v>0</v>
      </c>
      <c r="K143" s="2"/>
      <c r="L143" s="6">
        <f t="shared" si="79"/>
        <v>0</v>
      </c>
      <c r="M143" s="2"/>
      <c r="N143" s="7">
        <f t="shared" si="80"/>
        <v>0</v>
      </c>
      <c r="O143" s="11"/>
      <c r="P143" s="6">
        <v>41.31</v>
      </c>
      <c r="Q143" s="2"/>
      <c r="R143" s="7">
        <f t="shared" si="81"/>
        <v>1.605671229226876E-5</v>
      </c>
      <c r="S143" s="2"/>
      <c r="T143" s="6">
        <v>0</v>
      </c>
      <c r="U143" s="2"/>
      <c r="V143" s="7">
        <f t="shared" si="82"/>
        <v>0</v>
      </c>
      <c r="W143" s="2"/>
      <c r="X143" s="6">
        <f t="shared" si="83"/>
        <v>41.31</v>
      </c>
      <c r="Y143" s="2"/>
      <c r="Z143" s="7">
        <f t="shared" si="84"/>
        <v>0</v>
      </c>
    </row>
    <row r="144" spans="1:26" s="24" customFormat="1" hidden="1" outlineLevel="2" x14ac:dyDescent="0.25">
      <c r="A144" s="26"/>
      <c r="B144" s="11" t="str">
        <f>CONCATENATE("          ", "6284", " - ", "TRASH REMOVAL EXPENSE")</f>
        <v xml:space="preserve">          6284 - TRASH REMOVAL EXPENSE</v>
      </c>
      <c r="C144" s="11"/>
      <c r="D144" s="6">
        <v>142.57</v>
      </c>
      <c r="E144" s="2"/>
      <c r="F144" s="7">
        <f t="shared" si="77"/>
        <v>5.5769832577061483E-4</v>
      </c>
      <c r="G144" s="2"/>
      <c r="H144" s="6">
        <v>110</v>
      </c>
      <c r="I144" s="2"/>
      <c r="J144" s="7">
        <f t="shared" si="78"/>
        <v>3.3015087895168094E-4</v>
      </c>
      <c r="K144" s="2"/>
      <c r="L144" s="6">
        <f t="shared" si="79"/>
        <v>32.569999999999993</v>
      </c>
      <c r="M144" s="2"/>
      <c r="N144" s="7">
        <f t="shared" si="80"/>
        <v>0.29609090909090902</v>
      </c>
      <c r="O144" s="11"/>
      <c r="P144" s="6">
        <v>1725.86</v>
      </c>
      <c r="Q144" s="2"/>
      <c r="R144" s="7">
        <f t="shared" si="81"/>
        <v>6.708215317534485E-4</v>
      </c>
      <c r="S144" s="2"/>
      <c r="T144" s="6">
        <v>880</v>
      </c>
      <c r="U144" s="2"/>
      <c r="V144" s="7">
        <f t="shared" si="82"/>
        <v>2.1436409985956716E-4</v>
      </c>
      <c r="W144" s="2"/>
      <c r="X144" s="6">
        <f t="shared" si="83"/>
        <v>845.8599999999999</v>
      </c>
      <c r="Y144" s="2"/>
      <c r="Z144" s="7">
        <f t="shared" si="84"/>
        <v>0.96120454545454537</v>
      </c>
    </row>
    <row r="145" spans="1:26" s="24" customFormat="1" hidden="1" outlineLevel="2" x14ac:dyDescent="0.25">
      <c r="A145" s="26"/>
      <c r="B145" s="11" t="str">
        <f>CONCATENATE("          ", "6285", " - ", "JANITORIAL SERVICES")</f>
        <v xml:space="preserve">          6285 - JANITORIAL SERVICES</v>
      </c>
      <c r="C145" s="11"/>
      <c r="D145" s="6">
        <v>13.02</v>
      </c>
      <c r="E145" s="2"/>
      <c r="F145" s="7">
        <f t="shared" si="77"/>
        <v>5.0930996714129236E-5</v>
      </c>
      <c r="G145" s="2"/>
      <c r="H145" s="6">
        <v>100</v>
      </c>
      <c r="I145" s="2"/>
      <c r="J145" s="7">
        <f t="shared" si="78"/>
        <v>3.001371626833463E-4</v>
      </c>
      <c r="K145" s="2"/>
      <c r="L145" s="6">
        <f t="shared" si="79"/>
        <v>-86.98</v>
      </c>
      <c r="M145" s="2"/>
      <c r="N145" s="7">
        <f t="shared" si="80"/>
        <v>-0.86980000000000002</v>
      </c>
      <c r="O145" s="11"/>
      <c r="P145" s="6">
        <v>-693.06</v>
      </c>
      <c r="Q145" s="2"/>
      <c r="R145" s="7">
        <f t="shared" si="81"/>
        <v>-2.6938429003340073E-4</v>
      </c>
      <c r="S145" s="2"/>
      <c r="T145" s="6">
        <v>1625</v>
      </c>
      <c r="U145" s="2"/>
      <c r="V145" s="7">
        <f t="shared" si="82"/>
        <v>3.9584279803613255E-4</v>
      </c>
      <c r="W145" s="2"/>
      <c r="X145" s="6">
        <f t="shared" si="83"/>
        <v>-2318.06</v>
      </c>
      <c r="Y145" s="2"/>
      <c r="Z145" s="7">
        <f t="shared" si="84"/>
        <v>-1.4264984615384615</v>
      </c>
    </row>
    <row r="146" spans="1:26" s="27" customFormat="1" outlineLevel="1" collapsed="1" x14ac:dyDescent="0.25">
      <c r="A146" s="25"/>
      <c r="B146" s="13" t="str">
        <f>CONCATENATE("     ","Subscriptions &amp; Dues                              ")</f>
        <v xml:space="preserve">     Subscriptions &amp; Dues                              </v>
      </c>
      <c r="C146" s="13"/>
      <c r="D146" s="1">
        <f>SUM(OSRRefD22_17x_0)</f>
        <v>0</v>
      </c>
      <c r="E146" s="1"/>
      <c r="F146" s="5">
        <f t="shared" ref="F146:F148" si="85">IF(D$12=0,0,D146/D$12)</f>
        <v>0</v>
      </c>
      <c r="G146" s="1"/>
      <c r="H146" s="1">
        <f>SUM(OSRRefH22_17x_0)</f>
        <v>200</v>
      </c>
      <c r="I146" s="1"/>
      <c r="J146" s="5">
        <f t="shared" ref="J146:J148" si="86">IF(H$12=0,0,H146/H$12)</f>
        <v>6.0027432536669261E-4</v>
      </c>
      <c r="K146" s="1"/>
      <c r="L146" s="1">
        <f t="shared" ref="L146:L148" si="87">+D146-H146</f>
        <v>-200</v>
      </c>
      <c r="M146" s="1"/>
      <c r="N146" s="5">
        <f t="shared" ref="N146:N148" si="88">IF(H146=0,0,L146/H146)</f>
        <v>-1</v>
      </c>
      <c r="O146" s="13"/>
      <c r="P146" s="1">
        <f>SUM(OSRRefP22_17x_0)</f>
        <v>2047.7199999999998</v>
      </c>
      <c r="Q146" s="1"/>
      <c r="R146" s="5">
        <f t="shared" ref="R146:R148" si="89">IF(P$12=0,0,P146/P$12)</f>
        <v>7.9592473723371043E-4</v>
      </c>
      <c r="S146" s="1"/>
      <c r="T146" s="1">
        <f>SUM(OSRRefT22_17x_0)</f>
        <v>1595</v>
      </c>
      <c r="U146" s="1"/>
      <c r="V146" s="5">
        <f t="shared" ref="V146:V148" si="90">IF(T$12=0,0,T146/T$12)</f>
        <v>3.8853493099546546E-4</v>
      </c>
      <c r="W146" s="1"/>
      <c r="X146" s="1">
        <f t="shared" ref="X146:X148" si="91">+P146-T146</f>
        <v>452.7199999999998</v>
      </c>
      <c r="Y146" s="1"/>
      <c r="Z146" s="5">
        <f t="shared" ref="Z146:Z148" si="92">IF(T146=0,0,X146/T146)</f>
        <v>0.28383699059561118</v>
      </c>
    </row>
    <row r="147" spans="1:26" s="24" customFormat="1" hidden="1" outlineLevel="2" x14ac:dyDescent="0.25">
      <c r="A147" s="26"/>
      <c r="B147" s="11" t="str">
        <f>CONCATENATE("          ", "6258", " - ", "MEMBERSHIP DUES")</f>
        <v xml:space="preserve">          6258 - MEMBERSHIP DUES</v>
      </c>
      <c r="C147" s="11"/>
      <c r="D147" s="6"/>
      <c r="E147" s="2"/>
      <c r="F147" s="7">
        <f t="shared" si="85"/>
        <v>0</v>
      </c>
      <c r="G147" s="2"/>
      <c r="H147" s="6">
        <v>200</v>
      </c>
      <c r="I147" s="2"/>
      <c r="J147" s="7">
        <f t="shared" si="86"/>
        <v>6.0027432536669261E-4</v>
      </c>
      <c r="K147" s="2"/>
      <c r="L147" s="6">
        <f t="shared" si="87"/>
        <v>-200</v>
      </c>
      <c r="M147" s="2"/>
      <c r="N147" s="7">
        <f t="shared" si="88"/>
        <v>-1</v>
      </c>
      <c r="O147" s="11"/>
      <c r="P147" s="6">
        <v>-342.88</v>
      </c>
      <c r="Q147" s="2"/>
      <c r="R147" s="7">
        <f t="shared" si="89"/>
        <v>-1.3327343284369673E-4</v>
      </c>
      <c r="S147" s="2"/>
      <c r="T147" s="6">
        <v>1595</v>
      </c>
      <c r="U147" s="2"/>
      <c r="V147" s="7">
        <f t="shared" si="90"/>
        <v>3.8853493099546546E-4</v>
      </c>
      <c r="W147" s="2"/>
      <c r="X147" s="6">
        <f t="shared" si="91"/>
        <v>-1937.88</v>
      </c>
      <c r="Y147" s="2"/>
      <c r="Z147" s="7">
        <f t="shared" si="92"/>
        <v>-1.2149717868338559</v>
      </c>
    </row>
    <row r="148" spans="1:26" s="24" customFormat="1" hidden="1" outlineLevel="2" x14ac:dyDescent="0.25">
      <c r="A148" s="26"/>
      <c r="B148" s="11" t="str">
        <f>CONCATENATE("          ", "6275", " - ", "SUBSCRIPTIONS")</f>
        <v xml:space="preserve">          6275 - SUBSCRIPTIONS</v>
      </c>
      <c r="C148" s="11"/>
      <c r="D148" s="6"/>
      <c r="E148" s="2"/>
      <c r="F148" s="7">
        <f t="shared" si="85"/>
        <v>0</v>
      </c>
      <c r="G148" s="2"/>
      <c r="H148" s="6">
        <v>0</v>
      </c>
      <c r="I148" s="2"/>
      <c r="J148" s="7">
        <f t="shared" si="86"/>
        <v>0</v>
      </c>
      <c r="K148" s="2"/>
      <c r="L148" s="6">
        <f t="shared" si="87"/>
        <v>0</v>
      </c>
      <c r="M148" s="2"/>
      <c r="N148" s="7">
        <f t="shared" si="88"/>
        <v>0</v>
      </c>
      <c r="O148" s="11"/>
      <c r="P148" s="6">
        <v>2390.6</v>
      </c>
      <c r="Q148" s="2"/>
      <c r="R148" s="7">
        <f t="shared" si="89"/>
        <v>9.2919817007740724E-4</v>
      </c>
      <c r="S148" s="2"/>
      <c r="T148" s="6">
        <v>0</v>
      </c>
      <c r="U148" s="2"/>
      <c r="V148" s="7">
        <f t="shared" si="90"/>
        <v>0</v>
      </c>
      <c r="W148" s="2"/>
      <c r="X148" s="6">
        <f t="shared" si="91"/>
        <v>2390.6</v>
      </c>
      <c r="Y148" s="2"/>
      <c r="Z148" s="7">
        <f t="shared" si="92"/>
        <v>0</v>
      </c>
    </row>
    <row r="149" spans="1:26" s="27" customFormat="1" outlineLevel="1" collapsed="1" x14ac:dyDescent="0.25">
      <c r="A149" s="25"/>
      <c r="B149" s="13" t="str">
        <f>CONCATENATE("     ","Supplies                                          ")</f>
        <v xml:space="preserve">     Supplies                                          </v>
      </c>
      <c r="C149" s="13"/>
      <c r="D149" s="1">
        <f>SUM(OSRRefD22_18x_0)</f>
        <v>1001.3499999999999</v>
      </c>
      <c r="E149" s="1"/>
      <c r="F149" s="5">
        <f t="shared" ref="F149:F157" si="93">IF(D$12=0,0,D149/D$12)</f>
        <v>3.9170317634173047E-3</v>
      </c>
      <c r="G149" s="1"/>
      <c r="H149" s="1">
        <f>SUM(OSRRefH22_18x_0)</f>
        <v>620</v>
      </c>
      <c r="I149" s="1"/>
      <c r="J149" s="5">
        <f t="shared" ref="J149:J157" si="94">IF(H$12=0,0,H149/H$12)</f>
        <v>1.8608504086367471E-3</v>
      </c>
      <c r="K149" s="1"/>
      <c r="L149" s="1">
        <f t="shared" ref="L149:L157" si="95">+D149-H149</f>
        <v>381.34999999999991</v>
      </c>
      <c r="M149" s="1"/>
      <c r="N149" s="5">
        <f t="shared" ref="N149:N157" si="96">IF(H149=0,0,L149/H149)</f>
        <v>0.61508064516129013</v>
      </c>
      <c r="O149" s="13"/>
      <c r="P149" s="1">
        <f>SUM(OSRRefP22_18x_0)</f>
        <v>5642.12</v>
      </c>
      <c r="Q149" s="1"/>
      <c r="R149" s="5">
        <f t="shared" ref="R149:R157" si="97">IF(P$12=0,0,P149/P$12)</f>
        <v>2.1930258426157202E-3</v>
      </c>
      <c r="S149" s="1"/>
      <c r="T149" s="1">
        <f>SUM(OSRRefT22_18x_0)</f>
        <v>7520</v>
      </c>
      <c r="U149" s="1"/>
      <c r="V149" s="5">
        <f t="shared" ref="V149:V157" si="98">IF(T$12=0,0,T149/T$12)</f>
        <v>1.8318386715272103E-3</v>
      </c>
      <c r="W149" s="1"/>
      <c r="X149" s="1">
        <f t="shared" ref="X149:X157" si="99">+P149-T149</f>
        <v>-1877.88</v>
      </c>
      <c r="Y149" s="1"/>
      <c r="Z149" s="5">
        <f t="shared" ref="Z149:Z157" si="100">IF(T149=0,0,X149/T149)</f>
        <v>-0.24971808510638299</v>
      </c>
    </row>
    <row r="150" spans="1:26" s="24" customFormat="1" hidden="1" outlineLevel="2" x14ac:dyDescent="0.25">
      <c r="A150" s="26"/>
      <c r="B150" s="11" t="str">
        <f>CONCATENATE("          ", "6234", " - ", "EXPENDABLE SUPPLIES &amp; EQUIPMEN")</f>
        <v xml:space="preserve">          6234 - EXPENDABLE SUPPLIES &amp; EQUIPMEN</v>
      </c>
      <c r="C150" s="11"/>
      <c r="D150" s="6"/>
      <c r="E150" s="2"/>
      <c r="F150" s="7">
        <f t="shared" si="93"/>
        <v>0</v>
      </c>
      <c r="G150" s="2"/>
      <c r="H150" s="6">
        <v>50</v>
      </c>
      <c r="I150" s="2"/>
      <c r="J150" s="7">
        <f t="shared" si="94"/>
        <v>1.5006858134167315E-4</v>
      </c>
      <c r="K150" s="2"/>
      <c r="L150" s="6">
        <f t="shared" si="95"/>
        <v>-50</v>
      </c>
      <c r="M150" s="2"/>
      <c r="N150" s="7">
        <f t="shared" si="96"/>
        <v>-1</v>
      </c>
      <c r="O150" s="11"/>
      <c r="P150" s="6">
        <v>449.5</v>
      </c>
      <c r="Q150" s="2"/>
      <c r="R150" s="7">
        <f t="shared" si="97"/>
        <v>1.7471537582606649E-4</v>
      </c>
      <c r="S150" s="2"/>
      <c r="T150" s="6">
        <v>600</v>
      </c>
      <c r="U150" s="2"/>
      <c r="V150" s="7">
        <f t="shared" si="98"/>
        <v>1.4615734081334123E-4</v>
      </c>
      <c r="W150" s="2"/>
      <c r="X150" s="6">
        <f t="shared" si="99"/>
        <v>-150.5</v>
      </c>
      <c r="Y150" s="2"/>
      <c r="Z150" s="7">
        <f t="shared" si="100"/>
        <v>-0.25083333333333335</v>
      </c>
    </row>
    <row r="151" spans="1:26" s="24" customFormat="1" hidden="1" outlineLevel="2" x14ac:dyDescent="0.25">
      <c r="A151" s="26"/>
      <c r="B151" s="11" t="str">
        <f>CONCATENATE("          ", "6235", " - ", "COVID-19 EXPENSES")</f>
        <v xml:space="preserve">          6235 - COVID-19 EXPENSES</v>
      </c>
      <c r="C151" s="11"/>
      <c r="D151" s="6"/>
      <c r="E151" s="2"/>
      <c r="F151" s="7">
        <f t="shared" si="93"/>
        <v>0</v>
      </c>
      <c r="G151" s="2"/>
      <c r="H151" s="6">
        <v>200</v>
      </c>
      <c r="I151" s="2"/>
      <c r="J151" s="7">
        <f t="shared" si="94"/>
        <v>6.0027432536669261E-4</v>
      </c>
      <c r="K151" s="2"/>
      <c r="L151" s="6">
        <f t="shared" si="95"/>
        <v>-200</v>
      </c>
      <c r="M151" s="2"/>
      <c r="N151" s="7">
        <f t="shared" si="96"/>
        <v>-1</v>
      </c>
      <c r="O151" s="11"/>
      <c r="P151" s="6">
        <v>1292.1300000000001</v>
      </c>
      <c r="Q151" s="2"/>
      <c r="R151" s="7">
        <f t="shared" si="97"/>
        <v>5.0223576989129098E-4</v>
      </c>
      <c r="S151" s="2"/>
      <c r="T151" s="6">
        <v>2400</v>
      </c>
      <c r="U151" s="2"/>
      <c r="V151" s="7">
        <f t="shared" si="98"/>
        <v>5.8462936325336492E-4</v>
      </c>
      <c r="W151" s="2"/>
      <c r="X151" s="6">
        <f t="shared" si="99"/>
        <v>-1107.8699999999999</v>
      </c>
      <c r="Y151" s="2"/>
      <c r="Z151" s="7">
        <f t="shared" si="100"/>
        <v>-0.46161249999999998</v>
      </c>
    </row>
    <row r="152" spans="1:26" s="24" customFormat="1" hidden="1" outlineLevel="2" x14ac:dyDescent="0.25">
      <c r="A152" s="26"/>
      <c r="B152" s="11" t="str">
        <f>CONCATENATE("          ", "6237", " - ", "JANITORIAL SUPPLIES")</f>
        <v xml:space="preserve">          6237 - JANITORIAL SUPPLIES</v>
      </c>
      <c r="C152" s="11"/>
      <c r="D152" s="6"/>
      <c r="E152" s="2"/>
      <c r="F152" s="7">
        <f t="shared" si="93"/>
        <v>0</v>
      </c>
      <c r="G152" s="2"/>
      <c r="H152" s="6">
        <v>70</v>
      </c>
      <c r="I152" s="2"/>
      <c r="J152" s="7">
        <f t="shared" si="94"/>
        <v>2.1009601387834241E-4</v>
      </c>
      <c r="K152" s="2"/>
      <c r="L152" s="6">
        <f t="shared" si="95"/>
        <v>-70</v>
      </c>
      <c r="M152" s="2"/>
      <c r="N152" s="7">
        <f t="shared" si="96"/>
        <v>-1</v>
      </c>
      <c r="O152" s="11"/>
      <c r="P152" s="6">
        <v>191.74</v>
      </c>
      <c r="Q152" s="2"/>
      <c r="R152" s="7">
        <f t="shared" si="97"/>
        <v>7.4527088233348145E-5</v>
      </c>
      <c r="S152" s="2"/>
      <c r="T152" s="6">
        <v>820</v>
      </c>
      <c r="U152" s="2"/>
      <c r="V152" s="7">
        <f t="shared" si="98"/>
        <v>1.9974836577823303E-4</v>
      </c>
      <c r="W152" s="2"/>
      <c r="X152" s="6">
        <f t="shared" si="99"/>
        <v>-628.26</v>
      </c>
      <c r="Y152" s="2"/>
      <c r="Z152" s="7">
        <f t="shared" si="100"/>
        <v>-0.76617073170731709</v>
      </c>
    </row>
    <row r="153" spans="1:26" s="24" customFormat="1" hidden="1" outlineLevel="2" x14ac:dyDescent="0.25">
      <c r="A153" s="26"/>
      <c r="B153" s="11" t="str">
        <f>CONCATENATE("          ", "6241", " - ", "OFFICE EXPENSE")</f>
        <v xml:space="preserve">          6241 - OFFICE EXPENSE</v>
      </c>
      <c r="C153" s="11"/>
      <c r="D153" s="6">
        <v>522.79999999999995</v>
      </c>
      <c r="E153" s="2"/>
      <c r="F153" s="7">
        <f t="shared" si="93"/>
        <v>2.0450633703645747E-3</v>
      </c>
      <c r="G153" s="2"/>
      <c r="H153" s="6">
        <v>125</v>
      </c>
      <c r="I153" s="2"/>
      <c r="J153" s="7">
        <f t="shared" si="94"/>
        <v>3.7517145335418285E-4</v>
      </c>
      <c r="K153" s="2"/>
      <c r="L153" s="6">
        <f t="shared" si="95"/>
        <v>397.79999999999995</v>
      </c>
      <c r="M153" s="2"/>
      <c r="N153" s="7">
        <f t="shared" si="96"/>
        <v>3.1823999999999995</v>
      </c>
      <c r="O153" s="11"/>
      <c r="P153" s="6">
        <v>2119.9699999999998</v>
      </c>
      <c r="Q153" s="2"/>
      <c r="R153" s="7">
        <f t="shared" si="97"/>
        <v>8.2400746449385123E-4</v>
      </c>
      <c r="S153" s="2"/>
      <c r="T153" s="6">
        <v>1500</v>
      </c>
      <c r="U153" s="2"/>
      <c r="V153" s="7">
        <f t="shared" si="98"/>
        <v>3.6539335203335309E-4</v>
      </c>
      <c r="W153" s="2"/>
      <c r="X153" s="6">
        <f t="shared" si="99"/>
        <v>619.9699999999998</v>
      </c>
      <c r="Y153" s="2"/>
      <c r="Z153" s="7">
        <f t="shared" si="100"/>
        <v>0.4133133333333332</v>
      </c>
    </row>
    <row r="154" spans="1:26" s="24" customFormat="1" hidden="1" outlineLevel="2" x14ac:dyDescent="0.25">
      <c r="A154" s="26"/>
      <c r="B154" s="11" t="str">
        <f>CONCATENATE("          ", "6243", " - ", "PAPER SUPPLIES")</f>
        <v xml:space="preserve">          6243 - PAPER SUPPLIES</v>
      </c>
      <c r="C154" s="11"/>
      <c r="D154" s="6"/>
      <c r="E154" s="2"/>
      <c r="F154" s="7">
        <f t="shared" si="93"/>
        <v>0</v>
      </c>
      <c r="G154" s="2"/>
      <c r="H154" s="6">
        <v>50</v>
      </c>
      <c r="I154" s="2"/>
      <c r="J154" s="7">
        <f t="shared" si="94"/>
        <v>1.5006858134167315E-4</v>
      </c>
      <c r="K154" s="2"/>
      <c r="L154" s="6">
        <f t="shared" si="95"/>
        <v>-50</v>
      </c>
      <c r="M154" s="2"/>
      <c r="N154" s="7">
        <f t="shared" si="96"/>
        <v>-1</v>
      </c>
      <c r="O154" s="11"/>
      <c r="P154" s="6"/>
      <c r="Q154" s="2"/>
      <c r="R154" s="7">
        <f t="shared" si="97"/>
        <v>0</v>
      </c>
      <c r="S154" s="2"/>
      <c r="T154" s="6">
        <v>600</v>
      </c>
      <c r="U154" s="2"/>
      <c r="V154" s="7">
        <f t="shared" si="98"/>
        <v>1.4615734081334123E-4</v>
      </c>
      <c r="W154" s="2"/>
      <c r="X154" s="6">
        <f t="shared" si="99"/>
        <v>-600</v>
      </c>
      <c r="Y154" s="2"/>
      <c r="Z154" s="7">
        <f t="shared" si="100"/>
        <v>-1</v>
      </c>
    </row>
    <row r="155" spans="1:26" s="24" customFormat="1" hidden="1" outlineLevel="2" x14ac:dyDescent="0.25">
      <c r="A155" s="26"/>
      <c r="B155" s="11" t="str">
        <f>CONCATENATE("          ", "6244", " - ", "SAFETY SUPPLY EXPENSE")</f>
        <v xml:space="preserve">          6244 - SAFETY SUPPLY EXPENSE</v>
      </c>
      <c r="C155" s="11"/>
      <c r="D155" s="6"/>
      <c r="E155" s="2"/>
      <c r="F155" s="7">
        <f t="shared" si="93"/>
        <v>0</v>
      </c>
      <c r="G155" s="2"/>
      <c r="H155" s="6">
        <v>0</v>
      </c>
      <c r="I155" s="2"/>
      <c r="J155" s="7">
        <f t="shared" si="94"/>
        <v>0</v>
      </c>
      <c r="K155" s="2"/>
      <c r="L155" s="6">
        <f t="shared" si="95"/>
        <v>0</v>
      </c>
      <c r="M155" s="2"/>
      <c r="N155" s="7">
        <f t="shared" si="96"/>
        <v>0</v>
      </c>
      <c r="O155" s="11"/>
      <c r="P155" s="6"/>
      <c r="Q155" s="2"/>
      <c r="R155" s="7">
        <f t="shared" si="97"/>
        <v>0</v>
      </c>
      <c r="S155" s="2"/>
      <c r="T155" s="6">
        <v>100</v>
      </c>
      <c r="U155" s="2"/>
      <c r="V155" s="7">
        <f t="shared" si="98"/>
        <v>2.4359556802223542E-5</v>
      </c>
      <c r="W155" s="2"/>
      <c r="X155" s="6">
        <f t="shared" si="99"/>
        <v>-100</v>
      </c>
      <c r="Y155" s="2"/>
      <c r="Z155" s="7">
        <f t="shared" si="100"/>
        <v>-1</v>
      </c>
    </row>
    <row r="156" spans="1:26" s="24" customFormat="1" hidden="1" outlineLevel="2" x14ac:dyDescent="0.25">
      <c r="A156" s="26"/>
      <c r="B156" s="11" t="str">
        <f>CONCATENATE("          ", "6245", " - ", "PRINTING")</f>
        <v xml:space="preserve">          6245 - PRINTING</v>
      </c>
      <c r="C156" s="11"/>
      <c r="D156" s="6">
        <v>0</v>
      </c>
      <c r="E156" s="2"/>
      <c r="F156" s="7">
        <f t="shared" si="93"/>
        <v>0</v>
      </c>
      <c r="G156" s="2"/>
      <c r="H156" s="6">
        <v>50</v>
      </c>
      <c r="I156" s="2"/>
      <c r="J156" s="7">
        <f t="shared" si="94"/>
        <v>1.5006858134167315E-4</v>
      </c>
      <c r="K156" s="2"/>
      <c r="L156" s="6">
        <f t="shared" si="95"/>
        <v>-50</v>
      </c>
      <c r="M156" s="2"/>
      <c r="N156" s="7">
        <f t="shared" si="96"/>
        <v>-1</v>
      </c>
      <c r="O156" s="11"/>
      <c r="P156" s="6">
        <v>0</v>
      </c>
      <c r="Q156" s="2"/>
      <c r="R156" s="7">
        <f t="shared" si="97"/>
        <v>0</v>
      </c>
      <c r="S156" s="2"/>
      <c r="T156" s="6">
        <v>600</v>
      </c>
      <c r="U156" s="2"/>
      <c r="V156" s="7">
        <f t="shared" si="98"/>
        <v>1.4615734081334123E-4</v>
      </c>
      <c r="W156" s="2"/>
      <c r="X156" s="6">
        <f t="shared" si="99"/>
        <v>-600</v>
      </c>
      <c r="Y156" s="2"/>
      <c r="Z156" s="7">
        <f t="shared" si="100"/>
        <v>-1</v>
      </c>
    </row>
    <row r="157" spans="1:26" s="24" customFormat="1" hidden="1" outlineLevel="2" x14ac:dyDescent="0.25">
      <c r="A157" s="26"/>
      <c r="B157" s="11" t="str">
        <f>CONCATENATE("          ", "6247", " - ", "STORE SUPPLIES")</f>
        <v xml:space="preserve">          6247 - STORE SUPPLIES</v>
      </c>
      <c r="C157" s="11"/>
      <c r="D157" s="6">
        <v>478.55</v>
      </c>
      <c r="E157" s="2"/>
      <c r="F157" s="7">
        <f t="shared" si="93"/>
        <v>1.8719683930527302E-3</v>
      </c>
      <c r="G157" s="2"/>
      <c r="H157" s="6">
        <v>75</v>
      </c>
      <c r="I157" s="2"/>
      <c r="J157" s="7">
        <f t="shared" si="94"/>
        <v>2.2510287201250973E-4</v>
      </c>
      <c r="K157" s="2"/>
      <c r="L157" s="6">
        <f t="shared" si="95"/>
        <v>403.55</v>
      </c>
      <c r="M157" s="2"/>
      <c r="N157" s="7">
        <f t="shared" si="96"/>
        <v>5.3806666666666665</v>
      </c>
      <c r="O157" s="11"/>
      <c r="P157" s="6">
        <v>1588.78</v>
      </c>
      <c r="Q157" s="2"/>
      <c r="R157" s="7">
        <f t="shared" si="97"/>
        <v>6.1754014417116337E-4</v>
      </c>
      <c r="S157" s="2"/>
      <c r="T157" s="6">
        <v>900</v>
      </c>
      <c r="U157" s="2"/>
      <c r="V157" s="7">
        <f t="shared" si="98"/>
        <v>2.1923601122001186E-4</v>
      </c>
      <c r="W157" s="2"/>
      <c r="X157" s="6">
        <f t="shared" si="99"/>
        <v>688.78</v>
      </c>
      <c r="Y157" s="2"/>
      <c r="Z157" s="7">
        <f t="shared" si="100"/>
        <v>0.76531111111111105</v>
      </c>
    </row>
    <row r="158" spans="1:26" s="27" customFormat="1" outlineLevel="1" collapsed="1" x14ac:dyDescent="0.25">
      <c r="A158" s="25"/>
      <c r="B158" s="13" t="str">
        <f>CONCATENATE("     ","Telephone/Data Lines                              ")</f>
        <v xml:space="preserve">     Telephone/Data Lines                              </v>
      </c>
      <c r="C158" s="13"/>
      <c r="D158" s="1">
        <f>SUM(OSRRefD22_19x_0)</f>
        <v>692.94</v>
      </c>
      <c r="E158" s="1"/>
      <c r="F158" s="5">
        <f t="shared" ref="F158:F160" si="101">IF(D$12=0,0,D158/D$12)</f>
        <v>2.7106086684399937E-3</v>
      </c>
      <c r="G158" s="1"/>
      <c r="H158" s="1">
        <f>SUM(OSRRefH22_19x_0)</f>
        <v>830</v>
      </c>
      <c r="I158" s="1"/>
      <c r="J158" s="5">
        <f t="shared" ref="J158:J160" si="102">IF(H$12=0,0,H158/H$12)</f>
        <v>2.4911384502717742E-3</v>
      </c>
      <c r="K158" s="1"/>
      <c r="L158" s="1">
        <f t="shared" ref="L158:L160" si="103">+D158-H158</f>
        <v>-137.05999999999995</v>
      </c>
      <c r="M158" s="1"/>
      <c r="N158" s="5">
        <f t="shared" ref="N158:N160" si="104">IF(H158=0,0,L158/H158)</f>
        <v>-0.16513253012048187</v>
      </c>
      <c r="O158" s="13"/>
      <c r="P158" s="1">
        <f>SUM(OSRRefP22_19x_0)</f>
        <v>6948.37</v>
      </c>
      <c r="Q158" s="1"/>
      <c r="R158" s="5">
        <f t="shared" ref="R158:R160" si="105">IF(P$12=0,0,P158/P$12)</f>
        <v>2.7007498908310692E-3</v>
      </c>
      <c r="S158" s="1"/>
      <c r="T158" s="1">
        <f>SUM(OSRRefT22_19x_0)</f>
        <v>9960</v>
      </c>
      <c r="U158" s="1"/>
      <c r="V158" s="5">
        <f t="shared" ref="V158:V160" si="106">IF(T$12=0,0,T158/T$12)</f>
        <v>2.4262118575014645E-3</v>
      </c>
      <c r="W158" s="1"/>
      <c r="X158" s="1">
        <f t="shared" ref="X158:X160" si="107">+P158-T158</f>
        <v>-3011.63</v>
      </c>
      <c r="Y158" s="1"/>
      <c r="Z158" s="5">
        <f t="shared" ref="Z158:Z160" si="108">IF(T158=0,0,X158/T158)</f>
        <v>-0.30237248995983934</v>
      </c>
    </row>
    <row r="159" spans="1:26" s="24" customFormat="1" hidden="1" outlineLevel="2" x14ac:dyDescent="0.25">
      <c r="A159" s="26"/>
      <c r="B159" s="11" t="str">
        <f>CONCATENATE("          ", "6303", " - ", "DATA PHONE LINES")</f>
        <v xml:space="preserve">          6303 - DATA PHONE LINES</v>
      </c>
      <c r="C159" s="11"/>
      <c r="D159" s="6"/>
      <c r="E159" s="2"/>
      <c r="F159" s="7">
        <f t="shared" si="101"/>
        <v>0</v>
      </c>
      <c r="G159" s="2"/>
      <c r="H159" s="6">
        <v>230</v>
      </c>
      <c r="I159" s="2"/>
      <c r="J159" s="7">
        <f t="shared" si="102"/>
        <v>6.9031547417169642E-4</v>
      </c>
      <c r="K159" s="2"/>
      <c r="L159" s="6">
        <f t="shared" si="103"/>
        <v>-230</v>
      </c>
      <c r="M159" s="2"/>
      <c r="N159" s="7">
        <f t="shared" si="104"/>
        <v>-1</v>
      </c>
      <c r="O159" s="11"/>
      <c r="P159" s="6"/>
      <c r="Q159" s="2"/>
      <c r="R159" s="7">
        <f t="shared" si="105"/>
        <v>0</v>
      </c>
      <c r="S159" s="2"/>
      <c r="T159" s="6">
        <v>2760</v>
      </c>
      <c r="U159" s="2"/>
      <c r="V159" s="7">
        <f t="shared" si="106"/>
        <v>6.7232376774136967E-4</v>
      </c>
      <c r="W159" s="2"/>
      <c r="X159" s="6">
        <f t="shared" si="107"/>
        <v>-2760</v>
      </c>
      <c r="Y159" s="2"/>
      <c r="Z159" s="7">
        <f t="shared" si="108"/>
        <v>-1</v>
      </c>
    </row>
    <row r="160" spans="1:26" s="24" customFormat="1" hidden="1" outlineLevel="2" x14ac:dyDescent="0.25">
      <c r="A160" s="26"/>
      <c r="B160" s="11" t="str">
        <f>CONCATENATE("          ", "6309", " - ", "TELEPHONE")</f>
        <v xml:space="preserve">          6309 - TELEPHONE</v>
      </c>
      <c r="C160" s="11"/>
      <c r="D160" s="6">
        <v>692.94</v>
      </c>
      <c r="E160" s="2"/>
      <c r="F160" s="7">
        <f t="shared" si="101"/>
        <v>2.7106086684399937E-3</v>
      </c>
      <c r="G160" s="2"/>
      <c r="H160" s="6">
        <v>600</v>
      </c>
      <c r="I160" s="2"/>
      <c r="J160" s="7">
        <f t="shared" si="102"/>
        <v>1.8008229761000778E-3</v>
      </c>
      <c r="K160" s="2"/>
      <c r="L160" s="6">
        <f t="shared" si="103"/>
        <v>92.940000000000055</v>
      </c>
      <c r="M160" s="2"/>
      <c r="N160" s="7">
        <f t="shared" si="104"/>
        <v>0.15490000000000009</v>
      </c>
      <c r="O160" s="11"/>
      <c r="P160" s="6">
        <v>6948.37</v>
      </c>
      <c r="Q160" s="2"/>
      <c r="R160" s="7">
        <f t="shared" si="105"/>
        <v>2.7007498908310692E-3</v>
      </c>
      <c r="S160" s="2"/>
      <c r="T160" s="6">
        <v>7200</v>
      </c>
      <c r="U160" s="2"/>
      <c r="V160" s="7">
        <f t="shared" si="106"/>
        <v>1.7538880897600949E-3</v>
      </c>
      <c r="W160" s="2"/>
      <c r="X160" s="6">
        <f t="shared" si="107"/>
        <v>-251.63000000000011</v>
      </c>
      <c r="Y160" s="2"/>
      <c r="Z160" s="7">
        <f t="shared" si="108"/>
        <v>-3.4948611111111125E-2</v>
      </c>
    </row>
    <row r="161" spans="1:26" s="27" customFormat="1" outlineLevel="1" collapsed="1" x14ac:dyDescent="0.25">
      <c r="A161" s="25"/>
      <c r="B161" s="13" t="str">
        <f>CONCATENATE("     ","Training                                          ")</f>
        <v xml:space="preserve">     Training                                          </v>
      </c>
      <c r="C161" s="13"/>
      <c r="D161" s="1">
        <f>SUM(OSRRefD22_20x_0)</f>
        <v>0</v>
      </c>
      <c r="E161" s="1"/>
      <c r="F161" s="5">
        <f t="shared" ref="F161:F165" si="109">IF(D$12=0,0,D161/D$12)</f>
        <v>0</v>
      </c>
      <c r="G161" s="1"/>
      <c r="H161" s="1">
        <f>SUM(OSRRefH22_20x_0)</f>
        <v>0</v>
      </c>
      <c r="I161" s="1"/>
      <c r="J161" s="5">
        <f t="shared" ref="J161:J165" si="110">IF(H$12=0,0,H161/H$12)</f>
        <v>0</v>
      </c>
      <c r="K161" s="1"/>
      <c r="L161" s="1">
        <f t="shared" ref="L161:L165" si="111">+D161-H161</f>
        <v>0</v>
      </c>
      <c r="M161" s="1"/>
      <c r="N161" s="5">
        <f t="shared" ref="N161:N165" si="112">IF(H161=0,0,L161/H161)</f>
        <v>0</v>
      </c>
      <c r="O161" s="13"/>
      <c r="P161" s="1">
        <f>SUM(OSRRefP22_20x_0)</f>
        <v>0</v>
      </c>
      <c r="Q161" s="1"/>
      <c r="R161" s="5">
        <f t="shared" ref="R161:R165" si="113">IF(P$12=0,0,P161/P$12)</f>
        <v>0</v>
      </c>
      <c r="S161" s="1"/>
      <c r="T161" s="1">
        <f>SUM(OSRRefT22_20x_0)</f>
        <v>3600</v>
      </c>
      <c r="U161" s="1"/>
      <c r="V161" s="5">
        <f t="shared" ref="V161:V165" si="114">IF(T$12=0,0,T161/T$12)</f>
        <v>8.7694404488004743E-4</v>
      </c>
      <c r="W161" s="1"/>
      <c r="X161" s="1">
        <f t="shared" ref="X161:X165" si="115">+P161-T161</f>
        <v>-3600</v>
      </c>
      <c r="Y161" s="1"/>
      <c r="Z161" s="5">
        <f t="shared" ref="Z161:Z165" si="116">IF(T161=0,0,X161/T161)</f>
        <v>-1</v>
      </c>
    </row>
    <row r="162" spans="1:26" s="24" customFormat="1" hidden="1" outlineLevel="2" x14ac:dyDescent="0.25">
      <c r="A162" s="26"/>
      <c r="B162" s="11" t="str">
        <f>CONCATENATE("          ", "6376", " - ", "TRAINING")</f>
        <v xml:space="preserve">          6376 - TRAINING</v>
      </c>
      <c r="C162" s="11"/>
      <c r="D162" s="6"/>
      <c r="E162" s="2"/>
      <c r="F162" s="7">
        <f t="shared" si="109"/>
        <v>0</v>
      </c>
      <c r="G162" s="2"/>
      <c r="H162" s="6">
        <v>0</v>
      </c>
      <c r="I162" s="2"/>
      <c r="J162" s="7">
        <f t="shared" si="110"/>
        <v>0</v>
      </c>
      <c r="K162" s="2"/>
      <c r="L162" s="6">
        <f t="shared" si="111"/>
        <v>0</v>
      </c>
      <c r="M162" s="2"/>
      <c r="N162" s="7">
        <f t="shared" si="112"/>
        <v>0</v>
      </c>
      <c r="O162" s="11"/>
      <c r="P162" s="6"/>
      <c r="Q162" s="2"/>
      <c r="R162" s="7">
        <f t="shared" si="113"/>
        <v>0</v>
      </c>
      <c r="S162" s="2"/>
      <c r="T162" s="6">
        <v>3600</v>
      </c>
      <c r="U162" s="2"/>
      <c r="V162" s="7">
        <f t="shared" si="114"/>
        <v>8.7694404488004743E-4</v>
      </c>
      <c r="W162" s="2"/>
      <c r="X162" s="6">
        <f t="shared" si="115"/>
        <v>-3600</v>
      </c>
      <c r="Y162" s="2"/>
      <c r="Z162" s="7">
        <f t="shared" si="116"/>
        <v>-1</v>
      </c>
    </row>
    <row r="163" spans="1:26" s="27" customFormat="1" outlineLevel="1" collapsed="1" x14ac:dyDescent="0.25">
      <c r="A163" s="25"/>
      <c r="B163" s="13" t="str">
        <f>CONCATENATE("     ","Travel                                            ")</f>
        <v xml:space="preserve">     Travel                                            </v>
      </c>
      <c r="C163" s="13"/>
      <c r="D163" s="1">
        <f>SUM(OSRRefD22_21x_0)</f>
        <v>0</v>
      </c>
      <c r="E163" s="1"/>
      <c r="F163" s="5">
        <f t="shared" si="109"/>
        <v>0</v>
      </c>
      <c r="G163" s="1"/>
      <c r="H163" s="1">
        <f>SUM(OSRRefH22_21x_0)</f>
        <v>50</v>
      </c>
      <c r="I163" s="1"/>
      <c r="J163" s="5">
        <f t="shared" si="110"/>
        <v>1.5006858134167315E-4</v>
      </c>
      <c r="K163" s="1"/>
      <c r="L163" s="1">
        <f t="shared" si="111"/>
        <v>-50</v>
      </c>
      <c r="M163" s="1"/>
      <c r="N163" s="5">
        <f t="shared" si="112"/>
        <v>-1</v>
      </c>
      <c r="O163" s="13"/>
      <c r="P163" s="1">
        <f>SUM(OSRRefP22_21x_0)</f>
        <v>613.35</v>
      </c>
      <c r="Q163" s="1"/>
      <c r="R163" s="5">
        <f t="shared" si="113"/>
        <v>2.3840194830460041E-4</v>
      </c>
      <c r="S163" s="1"/>
      <c r="T163" s="1">
        <f>SUM(OSRRefT22_21x_0)</f>
        <v>800</v>
      </c>
      <c r="U163" s="1"/>
      <c r="V163" s="5">
        <f t="shared" si="114"/>
        <v>1.9487645441778833E-4</v>
      </c>
      <c r="W163" s="1"/>
      <c r="X163" s="1">
        <f t="shared" si="115"/>
        <v>-186.64999999999998</v>
      </c>
      <c r="Y163" s="1"/>
      <c r="Z163" s="5">
        <f t="shared" si="116"/>
        <v>-0.23331249999999998</v>
      </c>
    </row>
    <row r="164" spans="1:26" s="24" customFormat="1" hidden="1" outlineLevel="2" x14ac:dyDescent="0.25">
      <c r="A164" s="26"/>
      <c r="B164" s="11" t="str">
        <f>CONCATENATE("          ", "6294", " - ", "TRAVEL OPERATIONAL")</f>
        <v xml:space="preserve">          6294 - TRAVEL OPERATIONAL</v>
      </c>
      <c r="C164" s="11"/>
      <c r="D164" s="6"/>
      <c r="E164" s="2"/>
      <c r="F164" s="7">
        <f t="shared" si="109"/>
        <v>0</v>
      </c>
      <c r="G164" s="2"/>
      <c r="H164" s="6">
        <v>25</v>
      </c>
      <c r="I164" s="2"/>
      <c r="J164" s="7">
        <f t="shared" si="110"/>
        <v>7.5034290670836576E-5</v>
      </c>
      <c r="K164" s="2"/>
      <c r="L164" s="6">
        <f t="shared" si="111"/>
        <v>-25</v>
      </c>
      <c r="M164" s="2"/>
      <c r="N164" s="7">
        <f t="shared" si="112"/>
        <v>-1</v>
      </c>
      <c r="O164" s="11"/>
      <c r="P164" s="6">
        <v>613.35</v>
      </c>
      <c r="Q164" s="2"/>
      <c r="R164" s="7">
        <f t="shared" si="113"/>
        <v>2.3840194830460041E-4</v>
      </c>
      <c r="S164" s="2"/>
      <c r="T164" s="6">
        <v>300</v>
      </c>
      <c r="U164" s="2"/>
      <c r="V164" s="7">
        <f t="shared" si="114"/>
        <v>7.3078670406670615E-5</v>
      </c>
      <c r="W164" s="2"/>
      <c r="X164" s="6">
        <f t="shared" si="115"/>
        <v>313.35000000000002</v>
      </c>
      <c r="Y164" s="2"/>
      <c r="Z164" s="7">
        <f t="shared" si="116"/>
        <v>1.0445</v>
      </c>
    </row>
    <row r="165" spans="1:26" s="24" customFormat="1" hidden="1" outlineLevel="2" x14ac:dyDescent="0.25">
      <c r="A165" s="26"/>
      <c r="B165" s="11" t="str">
        <f>CONCATENATE("          ", "6298", " - ", "VEHICLE MILEAGE")</f>
        <v xml:space="preserve">          6298 - VEHICLE MILEAGE</v>
      </c>
      <c r="C165" s="11"/>
      <c r="D165" s="6"/>
      <c r="E165" s="2"/>
      <c r="F165" s="7">
        <f t="shared" si="109"/>
        <v>0</v>
      </c>
      <c r="G165" s="2"/>
      <c r="H165" s="6">
        <v>25</v>
      </c>
      <c r="I165" s="2"/>
      <c r="J165" s="7">
        <f t="shared" si="110"/>
        <v>7.5034290670836576E-5</v>
      </c>
      <c r="K165" s="2"/>
      <c r="L165" s="6">
        <f t="shared" si="111"/>
        <v>-25</v>
      </c>
      <c r="M165" s="2"/>
      <c r="N165" s="7">
        <f t="shared" si="112"/>
        <v>-1</v>
      </c>
      <c r="O165" s="11"/>
      <c r="P165" s="6"/>
      <c r="Q165" s="2"/>
      <c r="R165" s="7">
        <f t="shared" si="113"/>
        <v>0</v>
      </c>
      <c r="S165" s="2"/>
      <c r="T165" s="6">
        <v>500</v>
      </c>
      <c r="U165" s="2"/>
      <c r="V165" s="7">
        <f t="shared" si="114"/>
        <v>1.217977840111177E-4</v>
      </c>
      <c r="W165" s="2"/>
      <c r="X165" s="6">
        <f t="shared" si="115"/>
        <v>-500</v>
      </c>
      <c r="Y165" s="2"/>
      <c r="Z165" s="7">
        <f t="shared" si="116"/>
        <v>-1</v>
      </c>
    </row>
    <row r="166" spans="1:26" s="27" customFormat="1" outlineLevel="1" collapsed="1" x14ac:dyDescent="0.25">
      <c r="A166" s="25"/>
      <c r="B166" s="13" t="str">
        <f>CONCATENATE("     ","Utilities                                         ")</f>
        <v xml:space="preserve">     Utilities                                         </v>
      </c>
      <c r="C166" s="13"/>
      <c r="D166" s="1">
        <f>SUM(OSRRefD22_22x_0)</f>
        <v>29.94</v>
      </c>
      <c r="E166" s="1"/>
      <c r="F166" s="5">
        <f t="shared" ref="F166:F167" si="117">IF(D$12=0,0,D166/D$12)</f>
        <v>1.1711782193709904E-4</v>
      </c>
      <c r="G166" s="1"/>
      <c r="H166" s="1">
        <f>SUM(OSRRefH22_22x_0)</f>
        <v>105</v>
      </c>
      <c r="I166" s="1"/>
      <c r="J166" s="5">
        <f t="shared" ref="J166:J167" si="118">IF(H$12=0,0,H166/H$12)</f>
        <v>3.1514402081751362E-4</v>
      </c>
      <c r="K166" s="1"/>
      <c r="L166" s="1">
        <f t="shared" ref="L166:L167" si="119">+D166-H166</f>
        <v>-75.06</v>
      </c>
      <c r="M166" s="1"/>
      <c r="N166" s="5">
        <f t="shared" ref="N166:N167" si="120">IF(H166=0,0,L166/H166)</f>
        <v>-0.71485714285714286</v>
      </c>
      <c r="O166" s="13"/>
      <c r="P166" s="1">
        <f>SUM(OSRRefP22_22x_0)</f>
        <v>324.37</v>
      </c>
      <c r="Q166" s="1"/>
      <c r="R166" s="5">
        <f t="shared" ref="R166:R167" si="121">IF(P$12=0,0,P166/P$12)</f>
        <v>1.2607881302936861E-4</v>
      </c>
      <c r="S166" s="1"/>
      <c r="T166" s="1">
        <f>SUM(OSRRefT22_22x_0)</f>
        <v>4240</v>
      </c>
      <c r="U166" s="1"/>
      <c r="V166" s="5">
        <f t="shared" ref="V166:V167" si="122">IF(T$12=0,0,T166/T$12)</f>
        <v>1.0328452084142781E-3</v>
      </c>
      <c r="W166" s="1"/>
      <c r="X166" s="1">
        <f t="shared" ref="X166:X167" si="123">+P166-T166</f>
        <v>-3915.63</v>
      </c>
      <c r="Y166" s="1"/>
      <c r="Z166" s="5">
        <f t="shared" ref="Z166:Z167" si="124">IF(T166=0,0,X166/T166)</f>
        <v>-0.92349764150943403</v>
      </c>
    </row>
    <row r="167" spans="1:26" s="24" customFormat="1" hidden="1" outlineLevel="2" x14ac:dyDescent="0.25">
      <c r="A167" s="26"/>
      <c r="B167" s="11" t="str">
        <f>CONCATENATE("          ", "6274", " - ", "UTILITIES")</f>
        <v xml:space="preserve">          6274 - UTILITIES</v>
      </c>
      <c r="C167" s="11"/>
      <c r="D167" s="6">
        <v>29.94</v>
      </c>
      <c r="E167" s="2"/>
      <c r="F167" s="7">
        <f t="shared" si="117"/>
        <v>1.1711782193709904E-4</v>
      </c>
      <c r="G167" s="2"/>
      <c r="H167" s="6">
        <v>105</v>
      </c>
      <c r="I167" s="2"/>
      <c r="J167" s="7">
        <f t="shared" si="118"/>
        <v>3.1514402081751362E-4</v>
      </c>
      <c r="K167" s="2"/>
      <c r="L167" s="6">
        <f t="shared" si="119"/>
        <v>-75.06</v>
      </c>
      <c r="M167" s="2"/>
      <c r="N167" s="7">
        <f t="shared" si="120"/>
        <v>-0.71485714285714286</v>
      </c>
      <c r="O167" s="11"/>
      <c r="P167" s="6">
        <v>324.37</v>
      </c>
      <c r="Q167" s="2"/>
      <c r="R167" s="7">
        <f t="shared" si="121"/>
        <v>1.2607881302936861E-4</v>
      </c>
      <c r="S167" s="2"/>
      <c r="T167" s="6">
        <v>4240</v>
      </c>
      <c r="U167" s="2"/>
      <c r="V167" s="7">
        <f t="shared" si="122"/>
        <v>1.0328452084142781E-3</v>
      </c>
      <c r="W167" s="2"/>
      <c r="X167" s="6">
        <f t="shared" si="123"/>
        <v>-3915.63</v>
      </c>
      <c r="Y167" s="2"/>
      <c r="Z167" s="7">
        <f t="shared" si="124"/>
        <v>-0.92349764150943403</v>
      </c>
    </row>
    <row r="168" spans="1:26" s="61" customFormat="1" x14ac:dyDescent="0.25">
      <c r="A168" s="36"/>
      <c r="B168" s="36"/>
      <c r="C168" s="36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6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3" customFormat="1" collapsed="1" x14ac:dyDescent="0.25">
      <c r="A169" s="10"/>
      <c r="B169" s="29" t="s">
        <v>293</v>
      </c>
      <c r="C169" s="10"/>
      <c r="D169" s="4">
        <f>SUM(OSRRefD25x_0)</f>
        <v>381445.06</v>
      </c>
      <c r="E169" s="4"/>
      <c r="F169" s="12">
        <f t="shared" ref="F169:F173" si="125">IF(D$12=0,0,D169/D$12)</f>
        <v>1.4921180566421528</v>
      </c>
      <c r="G169" s="4"/>
      <c r="H169" s="4">
        <f>SUM(OSRRefH25x_0)</f>
        <v>221695</v>
      </c>
      <c r="I169" s="4"/>
      <c r="J169" s="12">
        <f t="shared" ref="J169:J173" si="126">IF(H$12=0,0,H169/H$12)</f>
        <v>0.66538908281084452</v>
      </c>
      <c r="K169" s="4"/>
      <c r="L169" s="4">
        <f t="shared" ref="L169:L173" si="127">+D169-H169</f>
        <v>159750.06</v>
      </c>
      <c r="M169" s="4"/>
      <c r="N169" s="12">
        <f t="shared" ref="N169:N173" si="128">IF(H169=0,0,L169/H169)</f>
        <v>0.72058485757459567</v>
      </c>
      <c r="O169" s="10"/>
      <c r="P169" s="4">
        <f>SUM(OSRRefP25x_0)</f>
        <v>794131.84000000008</v>
      </c>
      <c r="Q169" s="4"/>
      <c r="R169" s="12">
        <f t="shared" ref="R169:R173" si="129">IF(P$12=0,0,P169/P$12)</f>
        <v>0.30866972832268236</v>
      </c>
      <c r="S169" s="4"/>
      <c r="T169" s="4">
        <f>SUM(OSRRefT25x_0)</f>
        <v>657760</v>
      </c>
      <c r="U169" s="4"/>
      <c r="V169" s="12">
        <f t="shared" ref="V169:V173" si="130">IF(T$12=0,0,T169/T$12)</f>
        <v>0.16022742082230557</v>
      </c>
      <c r="W169" s="4"/>
      <c r="X169" s="4">
        <f t="shared" ref="X169:X173" si="131">+P169-T169</f>
        <v>136371.84000000008</v>
      </c>
      <c r="Y169" s="4"/>
      <c r="Z169" s="12">
        <f t="shared" ref="Z169:Z173" si="132">IF(T169=0,0,X169/T169)</f>
        <v>0.207327657504257</v>
      </c>
    </row>
    <row r="170" spans="1:26" s="24" customFormat="1" hidden="1" outlineLevel="1" x14ac:dyDescent="0.25">
      <c r="A170" s="44"/>
      <c r="B170" s="11" t="str">
        <f>CONCATENATE("          ", "4098", " - ", "TAXABLE SALES-GRAD RENTALS")</f>
        <v xml:space="preserve">          4098 - TAXABLE SALES-GRAD RENTALS</v>
      </c>
      <c r="C170" s="11"/>
      <c r="D170" s="2">
        <f>--1017.7</f>
        <v>1017.7</v>
      </c>
      <c r="E170" s="2"/>
      <c r="F170" s="19">
        <f t="shared" si="125"/>
        <v>3.9809888906274446E-3</v>
      </c>
      <c r="G170" s="2"/>
      <c r="H170" s="2"/>
      <c r="I170" s="2"/>
      <c r="J170" s="19">
        <f t="shared" si="126"/>
        <v>0</v>
      </c>
      <c r="K170" s="2"/>
      <c r="L170" s="2">
        <f t="shared" si="127"/>
        <v>1017.7</v>
      </c>
      <c r="M170" s="2"/>
      <c r="N170" s="19">
        <f t="shared" si="128"/>
        <v>0</v>
      </c>
      <c r="O170" s="11"/>
      <c r="P170" s="2">
        <f>--1067.65</f>
        <v>1067.6500000000001</v>
      </c>
      <c r="Q170" s="2"/>
      <c r="R170" s="19">
        <f t="shared" si="129"/>
        <v>4.149830278102334E-4</v>
      </c>
      <c r="S170" s="2"/>
      <c r="T170" s="2"/>
      <c r="U170" s="2"/>
      <c r="V170" s="19">
        <f t="shared" si="130"/>
        <v>0</v>
      </c>
      <c r="W170" s="2"/>
      <c r="X170" s="2">
        <f t="shared" si="131"/>
        <v>1067.6500000000001</v>
      </c>
      <c r="Y170" s="2"/>
      <c r="Z170" s="19">
        <f t="shared" si="132"/>
        <v>0</v>
      </c>
    </row>
    <row r="171" spans="1:26" s="24" customFormat="1" hidden="1" outlineLevel="1" x14ac:dyDescent="0.25">
      <c r="A171" s="44"/>
      <c r="B171" s="11" t="str">
        <f>CONCATENATE("          ", "9150", " - ", "MISC. INCOME")</f>
        <v xml:space="preserve">          9150 - MISC. INCOME</v>
      </c>
      <c r="C171" s="11"/>
      <c r="D171" s="2">
        <f>--1666.87</f>
        <v>1666.87</v>
      </c>
      <c r="E171" s="2"/>
      <c r="F171" s="19">
        <f t="shared" si="125"/>
        <v>6.52038022218745E-3</v>
      </c>
      <c r="G171" s="2"/>
      <c r="H171" s="2">
        <v>8075</v>
      </c>
      <c r="I171" s="2"/>
      <c r="J171" s="19">
        <f t="shared" si="126"/>
        <v>2.4236075886680211E-2</v>
      </c>
      <c r="K171" s="2"/>
      <c r="L171" s="2">
        <f t="shared" si="127"/>
        <v>-6408.13</v>
      </c>
      <c r="M171" s="2"/>
      <c r="N171" s="19">
        <f t="shared" si="128"/>
        <v>-0.79357647058823533</v>
      </c>
      <c r="O171" s="11"/>
      <c r="P171" s="2">
        <f>--65963.14</f>
        <v>65963.14</v>
      </c>
      <c r="Q171" s="2"/>
      <c r="R171" s="19">
        <f t="shared" si="129"/>
        <v>2.5639098544532678E-2</v>
      </c>
      <c r="S171" s="2"/>
      <c r="T171" s="2">
        <v>96900</v>
      </c>
      <c r="U171" s="2"/>
      <c r="V171" s="19">
        <f t="shared" si="130"/>
        <v>2.360441054135461E-2</v>
      </c>
      <c r="W171" s="2"/>
      <c r="X171" s="2">
        <f t="shared" si="131"/>
        <v>-30936.86</v>
      </c>
      <c r="Y171" s="2"/>
      <c r="Z171" s="19">
        <f t="shared" si="132"/>
        <v>-0.31926584107327144</v>
      </c>
    </row>
    <row r="172" spans="1:26" s="24" customFormat="1" hidden="1" outlineLevel="1" x14ac:dyDescent="0.25">
      <c r="A172" s="44"/>
      <c r="B172" s="11" t="str">
        <f>CONCATENATE("          ", "9151", " - ", "MISC. INCOME")</f>
        <v xml:space="preserve">          9151 - MISC. INCOME</v>
      </c>
      <c r="C172" s="11"/>
      <c r="D172" s="2">
        <f>0</f>
        <v>0</v>
      </c>
      <c r="E172" s="2"/>
      <c r="F172" s="19">
        <f t="shared" si="125"/>
        <v>0</v>
      </c>
      <c r="G172" s="2"/>
      <c r="H172" s="2">
        <v>213620</v>
      </c>
      <c r="I172" s="2"/>
      <c r="J172" s="19">
        <f t="shared" si="126"/>
        <v>0.64115300692416433</v>
      </c>
      <c r="K172" s="2"/>
      <c r="L172" s="2">
        <f t="shared" si="127"/>
        <v>-213620</v>
      </c>
      <c r="M172" s="2"/>
      <c r="N172" s="19">
        <f t="shared" si="128"/>
        <v>-1</v>
      </c>
      <c r="O172" s="11"/>
      <c r="P172" s="2">
        <f>0</f>
        <v>0</v>
      </c>
      <c r="Q172" s="2"/>
      <c r="R172" s="19">
        <f t="shared" si="129"/>
        <v>0</v>
      </c>
      <c r="S172" s="2"/>
      <c r="T172" s="2">
        <v>560860</v>
      </c>
      <c r="U172" s="2"/>
      <c r="V172" s="19">
        <f t="shared" si="130"/>
        <v>0.13662301028095095</v>
      </c>
      <c r="W172" s="2"/>
      <c r="X172" s="2">
        <f t="shared" si="131"/>
        <v>-560860</v>
      </c>
      <c r="Y172" s="2"/>
      <c r="Z172" s="19">
        <f t="shared" si="132"/>
        <v>-1</v>
      </c>
    </row>
    <row r="173" spans="1:26" s="24" customFormat="1" hidden="1" outlineLevel="1" x14ac:dyDescent="0.25">
      <c r="A173" s="44"/>
      <c r="B173" s="11" t="str">
        <f>CONCATENATE("          ", "9163", " - ", "MISC. INCOME")</f>
        <v xml:space="preserve">          9163 - MISC. INCOME</v>
      </c>
      <c r="C173" s="11"/>
      <c r="D173" s="2">
        <f>--378760.49</f>
        <v>378760.49</v>
      </c>
      <c r="E173" s="2"/>
      <c r="F173" s="19">
        <f t="shared" si="125"/>
        <v>1.481616687529338</v>
      </c>
      <c r="G173" s="2"/>
      <c r="H173" s="2"/>
      <c r="I173" s="2"/>
      <c r="J173" s="19">
        <f t="shared" si="126"/>
        <v>0</v>
      </c>
      <c r="K173" s="2"/>
      <c r="L173" s="2">
        <f t="shared" si="127"/>
        <v>378760.49</v>
      </c>
      <c r="M173" s="2"/>
      <c r="N173" s="19">
        <f t="shared" si="128"/>
        <v>0</v>
      </c>
      <c r="O173" s="11"/>
      <c r="P173" s="2">
        <f>--727101.05</f>
        <v>727101.05</v>
      </c>
      <c r="Q173" s="2"/>
      <c r="R173" s="19">
        <f t="shared" si="129"/>
        <v>0.2826156467503394</v>
      </c>
      <c r="S173" s="2"/>
      <c r="T173" s="2"/>
      <c r="U173" s="2"/>
      <c r="V173" s="19">
        <f t="shared" si="130"/>
        <v>0</v>
      </c>
      <c r="W173" s="2"/>
      <c r="X173" s="2">
        <f t="shared" si="131"/>
        <v>727101.05</v>
      </c>
      <c r="Y173" s="2"/>
      <c r="Z173" s="19">
        <f t="shared" si="132"/>
        <v>0</v>
      </c>
    </row>
    <row r="174" spans="1:26" x14ac:dyDescent="0.2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25">
      <c r="A175" s="10"/>
      <c r="B175" s="28" t="s">
        <v>277</v>
      </c>
      <c r="C175" s="28"/>
      <c r="D175" s="20">
        <f>+D82-D84+D169</f>
        <v>554686.3600000001</v>
      </c>
      <c r="E175" s="14"/>
      <c r="F175" s="22">
        <f>IF(D$12=0,0,D175/D$12)</f>
        <v>2.1697948677828198</v>
      </c>
      <c r="G175" s="14"/>
      <c r="H175" s="20">
        <f>+H82-H84+H169</f>
        <v>281845.95907517697</v>
      </c>
      <c r="I175" s="14"/>
      <c r="J175" s="22">
        <f>IF(H$12=0,0,H175/H$12)</f>
        <v>0.84592446470590155</v>
      </c>
      <c r="K175" s="16"/>
      <c r="L175" s="20">
        <f>+D175-H175</f>
        <v>272840.40092482313</v>
      </c>
      <c r="M175" s="16"/>
      <c r="N175" s="22">
        <f>IF(H175=0,0,L175/H175)</f>
        <v>0.96804794299728891</v>
      </c>
      <c r="O175" s="29"/>
      <c r="P175" s="20">
        <f>+P82-P84+P169</f>
        <v>1308519.5300000003</v>
      </c>
      <c r="Q175" s="14"/>
      <c r="R175" s="22">
        <f>IF(P$12=0,0,P175/P$12)</f>
        <v>0.50860618789699208</v>
      </c>
      <c r="S175" s="14"/>
      <c r="T175" s="20">
        <f>+T82-T84+T169</f>
        <v>1344168.6666271</v>
      </c>
      <c r="U175" s="14"/>
      <c r="V175" s="22">
        <f>IF(T$12=0,0,T175/T$12)</f>
        <v>0.32743352986471919</v>
      </c>
      <c r="W175" s="16"/>
      <c r="X175" s="20">
        <f>+P175-T175</f>
        <v>-35649.13662709971</v>
      </c>
      <c r="Y175" s="16"/>
      <c r="Z175" s="22">
        <f>IF(T175=0,0,X175/T175)</f>
        <v>-2.652132690799399E-2</v>
      </c>
    </row>
    <row r="176" spans="1:26" x14ac:dyDescent="0.25">
      <c r="A176" s="9"/>
      <c r="B176" s="10"/>
      <c r="C176" s="9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s="23" customFormat="1" x14ac:dyDescent="0.25">
      <c r="A177" s="52"/>
      <c r="B177" s="10" t="s">
        <v>128</v>
      </c>
      <c r="C177" s="10"/>
      <c r="D177" s="4">
        <v>216979.37</v>
      </c>
      <c r="E177" s="4"/>
      <c r="F177" s="12">
        <f>IF(D$12=0,0,D177/D$12)</f>
        <v>0.84876924581442648</v>
      </c>
      <c r="G177" s="4"/>
      <c r="H177" s="4">
        <v>-2683</v>
      </c>
      <c r="I177" s="4"/>
      <c r="J177" s="12">
        <f>IF(H$12=0,0,H177/H$12)</f>
        <v>-8.0526800747941808E-3</v>
      </c>
      <c r="K177" s="4"/>
      <c r="L177" s="4">
        <f>+D177-H177</f>
        <v>219662.37</v>
      </c>
      <c r="M177" s="4"/>
      <c r="N177" s="12">
        <f>IF(H177=0,0,L177/H177)</f>
        <v>-81.871923220275804</v>
      </c>
      <c r="O177" s="10"/>
      <c r="P177" s="4">
        <v>712125.05</v>
      </c>
      <c r="Q177" s="4"/>
      <c r="R177" s="12">
        <f>IF(P$12=0,0,P177/P$12)</f>
        <v>0.27679465127009212</v>
      </c>
      <c r="S177" s="4"/>
      <c r="T177" s="4">
        <v>693684</v>
      </c>
      <c r="U177" s="4"/>
      <c r="V177" s="12">
        <f>IF(T$12=0,0,T177/T$12)</f>
        <v>0.16897834800793635</v>
      </c>
      <c r="W177" s="4"/>
      <c r="X177" s="4">
        <f>+P177-T177</f>
        <v>18441.050000000047</v>
      </c>
      <c r="Y177" s="4"/>
      <c r="Z177" s="12">
        <f>IF(T177=0,0,X177/T177)</f>
        <v>2.6584222787321095E-2</v>
      </c>
    </row>
    <row r="178" spans="1:26" x14ac:dyDescent="0.25">
      <c r="A178" s="9"/>
      <c r="B178" s="10"/>
      <c r="C178" s="10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O178" s="10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s="23" customFormat="1" ht="15.75" thickBot="1" x14ac:dyDescent="0.3">
      <c r="A179" s="10"/>
      <c r="B179" s="28" t="s">
        <v>126</v>
      </c>
      <c r="C179" s="28"/>
      <c r="D179" s="34">
        <f>+D175-D177</f>
        <v>337706.99000000011</v>
      </c>
      <c r="E179" s="14"/>
      <c r="F179" s="35">
        <f>IF(D$12=0,0,D179/D$12)</f>
        <v>1.3210256219683933</v>
      </c>
      <c r="G179" s="14"/>
      <c r="H179" s="34">
        <f>+H175-H177</f>
        <v>284528.95907517697</v>
      </c>
      <c r="I179" s="14"/>
      <c r="J179" s="35">
        <f>IF(H$12=0,0,H179/H$12)</f>
        <v>0.85397714478069564</v>
      </c>
      <c r="K179" s="16"/>
      <c r="L179" s="34">
        <f>D179-H179</f>
        <v>53178.030924823135</v>
      </c>
      <c r="M179" s="16"/>
      <c r="N179" s="35">
        <f>IF(H179=0,0,L179/H179)</f>
        <v>0.18689848336588008</v>
      </c>
      <c r="O179" s="29"/>
      <c r="P179" s="34">
        <f>+P175-P177</f>
        <v>596394.48000000021</v>
      </c>
      <c r="Q179" s="14"/>
      <c r="R179" s="35">
        <f>IF(P$12=0,0,P179/P$12)</f>
        <v>0.23181153662689996</v>
      </c>
      <c r="S179" s="14"/>
      <c r="T179" s="34">
        <f>+T175-T177</f>
        <v>650484.66662709997</v>
      </c>
      <c r="U179" s="14"/>
      <c r="V179" s="35">
        <f>IF(T$12=0,0,T179/T$12)</f>
        <v>0.15845518185678284</v>
      </c>
      <c r="W179" s="16"/>
      <c r="X179" s="34">
        <f>P179-T179</f>
        <v>-54090.186627099756</v>
      </c>
      <c r="Y179" s="16"/>
      <c r="Z179" s="35">
        <f>IF(T179=0,0,X179/T179)</f>
        <v>-8.3153668952058113E-2</v>
      </c>
    </row>
    <row r="180" spans="1:26" ht="15.75" thickTop="1" x14ac:dyDescent="0.25">
      <c r="A180" s="9"/>
      <c r="B180" s="9"/>
      <c r="C180" s="9"/>
      <c r="D180" s="3"/>
      <c r="E180" s="3"/>
      <c r="F180" s="8"/>
      <c r="G180" s="3"/>
      <c r="H180" s="3"/>
      <c r="I180" s="3"/>
      <c r="J180" s="8"/>
      <c r="K180" s="3"/>
      <c r="L180" s="3"/>
      <c r="M180" s="3"/>
      <c r="N180" s="8"/>
      <c r="P180" s="3"/>
      <c r="Q180" s="3"/>
      <c r="R180" s="8"/>
      <c r="S180" s="3"/>
      <c r="T180" s="3"/>
      <c r="U180" s="3"/>
      <c r="V180" s="8"/>
      <c r="W180" s="3"/>
      <c r="X180" s="3"/>
      <c r="Y180" s="3"/>
      <c r="Z180" s="8"/>
    </row>
    <row r="181" spans="1:26" x14ac:dyDescent="0.25">
      <c r="A181" s="9"/>
      <c r="B181" s="9"/>
      <c r="C181" s="9"/>
      <c r="D181" s="3"/>
      <c r="E181" s="3"/>
      <c r="F181" s="8"/>
      <c r="G181" s="3"/>
      <c r="H181" s="3"/>
      <c r="I181" s="3"/>
      <c r="J181" s="8"/>
      <c r="K181" s="3"/>
      <c r="L181" s="3"/>
      <c r="M181" s="3"/>
      <c r="N181" s="8"/>
      <c r="P181" s="3"/>
      <c r="Q181" s="3"/>
      <c r="R181" s="8"/>
      <c r="S181" s="3"/>
      <c r="T181" s="3"/>
      <c r="U181" s="3"/>
      <c r="V181" s="8"/>
      <c r="W181" s="3"/>
      <c r="X181" s="3"/>
      <c r="Y181" s="3"/>
      <c r="Z181" s="8"/>
    </row>
    <row r="182" spans="1:26" s="23" customFormat="1" ht="15.75" thickBot="1" x14ac:dyDescent="0.3">
      <c r="A182" s="10"/>
      <c r="B182" s="28" t="s">
        <v>294</v>
      </c>
      <c r="C182" s="28"/>
      <c r="D182" s="33">
        <f>SUM(D179:D181)</f>
        <v>337706.99000000011</v>
      </c>
      <c r="E182" s="14"/>
      <c r="F182" s="31">
        <f>IF(D$12=0,0,D182/D$12)</f>
        <v>1.3210256219683933</v>
      </c>
      <c r="G182" s="14"/>
      <c r="H182" s="33">
        <f>SUM(H179:H181)</f>
        <v>284528.95907517697</v>
      </c>
      <c r="I182" s="14"/>
      <c r="J182" s="31">
        <f>IF(H$12=0,0,H182/H$12)</f>
        <v>0.85397714478069564</v>
      </c>
      <c r="K182" s="16"/>
      <c r="L182" s="33">
        <f>+D182-H182</f>
        <v>53178.030924823135</v>
      </c>
      <c r="M182" s="16"/>
      <c r="N182" s="31">
        <f>IF(H182=0,0,L182/H182)</f>
        <v>0.18689848336588008</v>
      </c>
      <c r="O182" s="29"/>
      <c r="P182" s="33">
        <f>SUM(P179:P181)</f>
        <v>596394.48000000021</v>
      </c>
      <c r="Q182" s="14"/>
      <c r="R182" s="31">
        <f>IF(P$12=0,0,P182/P$12)</f>
        <v>0.23181153662689996</v>
      </c>
      <c r="S182" s="14"/>
      <c r="T182" s="33">
        <f>SUM(T179:T181)</f>
        <v>650484.66662709997</v>
      </c>
      <c r="U182" s="14"/>
      <c r="V182" s="31">
        <f>IF(T$12=0,0,T182/T$12)</f>
        <v>0.15845518185678284</v>
      </c>
      <c r="W182" s="16"/>
      <c r="X182" s="33">
        <f>+P182-T182</f>
        <v>-54090.186627099756</v>
      </c>
      <c r="Y182" s="16"/>
      <c r="Z182" s="31">
        <f>IF(T182=0,0,X182/T182)</f>
        <v>-8.3153668952058113E-2</v>
      </c>
    </row>
    <row r="183" spans="1:26" ht="15.75" thickTop="1" x14ac:dyDescent="0.25">
      <c r="A183" s="9"/>
      <c r="C183" s="9"/>
      <c r="D183" s="18"/>
      <c r="E183" s="18"/>
      <c r="G183" s="18"/>
      <c r="H183" s="18"/>
      <c r="I183" s="18"/>
      <c r="J183" s="42"/>
      <c r="K183" s="18"/>
      <c r="L183" s="18"/>
      <c r="M183" s="18"/>
      <c r="P183" s="18"/>
      <c r="Q183" s="18"/>
      <c r="R183" s="42"/>
      <c r="S183" s="18"/>
      <c r="T183" s="18"/>
      <c r="U183" s="18"/>
      <c r="V183" s="42"/>
      <c r="W183" s="18"/>
      <c r="X183" s="18"/>
    </row>
    <row r="184" spans="1:26" x14ac:dyDescent="0.25">
      <c r="A184" s="9"/>
      <c r="B184" s="56">
        <v>44454.686084143519</v>
      </c>
      <c r="D184" s="18"/>
      <c r="E184" s="18"/>
      <c r="G184" s="18"/>
      <c r="H184" s="18"/>
      <c r="I184" s="18"/>
      <c r="J184" s="42"/>
      <c r="K184" s="18"/>
      <c r="L184" s="18"/>
      <c r="M184" s="18"/>
      <c r="P184" s="18"/>
      <c r="Q184" s="18"/>
      <c r="R184" s="42"/>
      <c r="S184" s="18"/>
      <c r="T184" s="18"/>
      <c r="U184" s="18"/>
      <c r="V184" s="42"/>
      <c r="W184" s="18"/>
      <c r="X184" s="18"/>
    </row>
    <row r="185" spans="1:26" x14ac:dyDescent="0.25">
      <c r="A185" s="9"/>
      <c r="B185" s="55" t="s">
        <v>56</v>
      </c>
      <c r="D185" s="18"/>
      <c r="E185" s="18"/>
      <c r="G185" s="18"/>
      <c r="H185" s="18"/>
      <c r="I185" s="18"/>
      <c r="J185" s="42"/>
      <c r="K185" s="18"/>
      <c r="L185" s="18"/>
      <c r="M185" s="18"/>
      <c r="P185" s="18"/>
      <c r="Q185" s="18"/>
      <c r="R185" s="42"/>
      <c r="S185" s="18"/>
      <c r="T185" s="18"/>
      <c r="U185" s="18"/>
      <c r="V185" s="42"/>
      <c r="W185" s="18"/>
      <c r="X185" s="18"/>
    </row>
    <row r="186" spans="1:26" x14ac:dyDescent="0.25">
      <c r="A186" s="9"/>
      <c r="B186" s="63"/>
      <c r="D186" s="18"/>
      <c r="E186" s="18"/>
      <c r="G186" s="18"/>
      <c r="H186" s="18"/>
      <c r="I186" s="18"/>
      <c r="J186" s="42"/>
      <c r="K186" s="18"/>
      <c r="L186" s="18"/>
      <c r="M186" s="18"/>
      <c r="P186" s="18"/>
      <c r="Q186" s="18"/>
      <c r="R186" s="42"/>
      <c r="S186" s="18"/>
      <c r="T186" s="18"/>
      <c r="U186" s="18"/>
      <c r="V186" s="42"/>
      <c r="W186" s="18"/>
      <c r="X186" s="18"/>
    </row>
    <row r="187" spans="1:26" x14ac:dyDescent="0.25">
      <c r="D187" s="18"/>
      <c r="E187" s="18"/>
      <c r="G187" s="18"/>
      <c r="H187" s="18"/>
      <c r="I187" s="18"/>
      <c r="J187" s="42"/>
      <c r="K187" s="18"/>
      <c r="L187" s="18"/>
      <c r="M187" s="18"/>
      <c r="P187" s="18"/>
      <c r="Q187" s="18"/>
      <c r="R187" s="42"/>
      <c r="S187" s="18"/>
      <c r="T187" s="18"/>
      <c r="U187" s="18"/>
      <c r="V187" s="42"/>
      <c r="W187" s="18"/>
      <c r="X187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222004.08000000002</v>
      </c>
      <c r="E12" s="4"/>
      <c r="F12" s="12"/>
      <c r="G12" s="4"/>
      <c r="H12" s="4">
        <f>SUM(OSRRefH13x_0)</f>
        <v>273385</v>
      </c>
      <c r="I12" s="4"/>
      <c r="J12" s="12"/>
      <c r="K12" s="4"/>
      <c r="L12" s="4">
        <f t="shared" ref="L12:L51" si="0">+D12-H12</f>
        <v>-51380.919999999984</v>
      </c>
      <c r="M12" s="4"/>
      <c r="N12" s="12">
        <f t="shared" ref="N12:N51" si="1">IF(H12=0,0,L12/H12)</f>
        <v>-0.18794344971377355</v>
      </c>
      <c r="O12" s="10"/>
      <c r="P12" s="4">
        <f>SUM(OSRRefP13x_0)</f>
        <v>2253110.89</v>
      </c>
      <c r="Q12" s="4"/>
      <c r="R12" s="12"/>
      <c r="S12" s="4"/>
      <c r="T12" s="4">
        <f>SUM(OSRRefT13x_0)</f>
        <v>3514750</v>
      </c>
      <c r="U12" s="4"/>
      <c r="V12" s="12"/>
      <c r="W12" s="4"/>
      <c r="X12" s="4">
        <f t="shared" ref="X12:X51" si="2">+P12-T12</f>
        <v>-1261639.1099999999</v>
      </c>
      <c r="Y12" s="4"/>
      <c r="Z12" s="12">
        <f t="shared" ref="Z12:Z51" si="3">IF(T12=0,0,X12/T12)</f>
        <v>-0.35895557578775156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-5737.24</f>
        <v>-5737.24</v>
      </c>
      <c r="E13" s="2"/>
      <c r="F13" s="19"/>
      <c r="G13" s="2"/>
      <c r="H13" s="2">
        <v>273385</v>
      </c>
      <c r="I13" s="2"/>
      <c r="J13" s="19"/>
      <c r="K13" s="2"/>
      <c r="L13" s="2">
        <f t="shared" si="0"/>
        <v>-279122.24</v>
      </c>
      <c r="M13" s="2"/>
      <c r="N13" s="19">
        <f t="shared" si="1"/>
        <v>-1.0209859355853466</v>
      </c>
      <c r="O13" s="11"/>
      <c r="P13" s="2">
        <f>-133441.2</f>
        <v>-133441.20000000001</v>
      </c>
      <c r="Q13" s="2"/>
      <c r="R13" s="19"/>
      <c r="S13" s="2"/>
      <c r="T13" s="2">
        <v>3514750</v>
      </c>
      <c r="U13" s="2"/>
      <c r="V13" s="19"/>
      <c r="W13" s="2"/>
      <c r="X13" s="2">
        <f t="shared" si="2"/>
        <v>-3648191.2</v>
      </c>
      <c r="Y13" s="2"/>
      <c r="Z13" s="19">
        <f t="shared" si="3"/>
        <v>-1.0379660573298244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/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--3356.39</f>
        <v>3356.39</v>
      </c>
      <c r="E15" s="2"/>
      <c r="F15" s="19"/>
      <c r="G15" s="2"/>
      <c r="H15" s="2"/>
      <c r="I15" s="2"/>
      <c r="J15" s="19"/>
      <c r="K15" s="2"/>
      <c r="L15" s="2">
        <f t="shared" si="0"/>
        <v>3356.39</v>
      </c>
      <c r="M15" s="2"/>
      <c r="N15" s="19">
        <f t="shared" si="1"/>
        <v>0</v>
      </c>
      <c r="O15" s="11"/>
      <c r="P15" s="2">
        <f>--65036.73</f>
        <v>65036.73</v>
      </c>
      <c r="Q15" s="2"/>
      <c r="R15" s="19"/>
      <c r="S15" s="2"/>
      <c r="T15" s="2"/>
      <c r="U15" s="2"/>
      <c r="V15" s="19"/>
      <c r="W15" s="2"/>
      <c r="X15" s="2">
        <f t="shared" si="2"/>
        <v>65036.73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--2312.88</f>
        <v>2312.88</v>
      </c>
      <c r="E16" s="2"/>
      <c r="F16" s="19"/>
      <c r="G16" s="2"/>
      <c r="H16" s="2"/>
      <c r="I16" s="2"/>
      <c r="J16" s="19"/>
      <c r="K16" s="2"/>
      <c r="L16" s="2">
        <f t="shared" si="0"/>
        <v>2312.88</v>
      </c>
      <c r="M16" s="2"/>
      <c r="N16" s="19">
        <f t="shared" si="1"/>
        <v>0</v>
      </c>
      <c r="O16" s="11"/>
      <c r="P16" s="2">
        <f>--38199.91</f>
        <v>38199.910000000003</v>
      </c>
      <c r="Q16" s="2"/>
      <c r="R16" s="19"/>
      <c r="S16" s="2"/>
      <c r="T16" s="2"/>
      <c r="U16" s="2"/>
      <c r="V16" s="19"/>
      <c r="W16" s="2"/>
      <c r="X16" s="2">
        <f t="shared" si="2"/>
        <v>38199.910000000003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--380.76</f>
        <v>380.76</v>
      </c>
      <c r="E17" s="2"/>
      <c r="F17" s="19"/>
      <c r="G17" s="2"/>
      <c r="H17" s="2"/>
      <c r="I17" s="2"/>
      <c r="J17" s="19"/>
      <c r="K17" s="2"/>
      <c r="L17" s="2">
        <f t="shared" si="0"/>
        <v>380.76</v>
      </c>
      <c r="M17" s="2"/>
      <c r="N17" s="19">
        <f t="shared" si="1"/>
        <v>0</v>
      </c>
      <c r="O17" s="11"/>
      <c r="P17" s="2">
        <f>--4706.92</f>
        <v>4706.92</v>
      </c>
      <c r="Q17" s="2"/>
      <c r="R17" s="19"/>
      <c r="S17" s="2"/>
      <c r="T17" s="2"/>
      <c r="U17" s="2"/>
      <c r="V17" s="19"/>
      <c r="W17" s="2"/>
      <c r="X17" s="2">
        <f t="shared" si="2"/>
        <v>4706.92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--79436</f>
        <v>79436</v>
      </c>
      <c r="E19" s="2"/>
      <c r="F19" s="19"/>
      <c r="G19" s="2"/>
      <c r="H19" s="2"/>
      <c r="I19" s="2"/>
      <c r="J19" s="19"/>
      <c r="K19" s="2"/>
      <c r="L19" s="2">
        <f t="shared" si="0"/>
        <v>79436</v>
      </c>
      <c r="M19" s="2"/>
      <c r="N19" s="19">
        <f t="shared" si="1"/>
        <v>0</v>
      </c>
      <c r="O19" s="11"/>
      <c r="P19" s="2">
        <f>--938013.8</f>
        <v>938013.8</v>
      </c>
      <c r="Q19" s="2"/>
      <c r="R19" s="19"/>
      <c r="S19" s="2"/>
      <c r="T19" s="2"/>
      <c r="U19" s="2"/>
      <c r="V19" s="19"/>
      <c r="W19" s="2"/>
      <c r="X19" s="2">
        <f t="shared" si="2"/>
        <v>938013.8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--76113.34</f>
        <v>76113.34</v>
      </c>
      <c r="E20" s="2"/>
      <c r="F20" s="19"/>
      <c r="G20" s="2"/>
      <c r="H20" s="2"/>
      <c r="I20" s="2"/>
      <c r="J20" s="19"/>
      <c r="K20" s="2"/>
      <c r="L20" s="2">
        <f t="shared" si="0"/>
        <v>76113.34</v>
      </c>
      <c r="M20" s="2"/>
      <c r="N20" s="19">
        <f t="shared" si="1"/>
        <v>0</v>
      </c>
      <c r="O20" s="11"/>
      <c r="P20" s="2">
        <f>--578424.82</f>
        <v>578424.81999999995</v>
      </c>
      <c r="Q20" s="2"/>
      <c r="R20" s="19"/>
      <c r="S20" s="2"/>
      <c r="T20" s="2"/>
      <c r="U20" s="2"/>
      <c r="V20" s="19"/>
      <c r="W20" s="2"/>
      <c r="X20" s="2">
        <f t="shared" si="2"/>
        <v>578424.81999999995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--3981.62</f>
        <v>3981.62</v>
      </c>
      <c r="E21" s="2"/>
      <c r="F21" s="19"/>
      <c r="G21" s="2"/>
      <c r="H21" s="2"/>
      <c r="I21" s="2"/>
      <c r="J21" s="19"/>
      <c r="K21" s="2"/>
      <c r="L21" s="2">
        <f t="shared" si="0"/>
        <v>3981.62</v>
      </c>
      <c r="M21" s="2"/>
      <c r="N21" s="19">
        <f t="shared" si="1"/>
        <v>0</v>
      </c>
      <c r="O21" s="11"/>
      <c r="P21" s="2">
        <f>--84692.82</f>
        <v>84692.82</v>
      </c>
      <c r="Q21" s="2"/>
      <c r="R21" s="19"/>
      <c r="S21" s="2"/>
      <c r="T21" s="2"/>
      <c r="U21" s="2"/>
      <c r="V21" s="19"/>
      <c r="W21" s="2"/>
      <c r="X21" s="2">
        <f t="shared" si="2"/>
        <v>84692.82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--2878.3</f>
        <v>2878.3</v>
      </c>
      <c r="E22" s="2"/>
      <c r="F22" s="19"/>
      <c r="G22" s="2"/>
      <c r="H22" s="2"/>
      <c r="I22" s="2"/>
      <c r="J22" s="19"/>
      <c r="K22" s="2"/>
      <c r="L22" s="2">
        <f t="shared" si="0"/>
        <v>2878.3</v>
      </c>
      <c r="M22" s="2"/>
      <c r="N22" s="19">
        <f t="shared" si="1"/>
        <v>0</v>
      </c>
      <c r="O22" s="11"/>
      <c r="P22" s="2">
        <f>--135843.69</f>
        <v>135843.69</v>
      </c>
      <c r="Q22" s="2"/>
      <c r="R22" s="19"/>
      <c r="S22" s="2"/>
      <c r="T22" s="2"/>
      <c r="U22" s="2"/>
      <c r="V22" s="19"/>
      <c r="W22" s="2"/>
      <c r="X22" s="2">
        <f t="shared" si="2"/>
        <v>135843.69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--1872.27</f>
        <v>1872.27</v>
      </c>
      <c r="E23" s="2"/>
      <c r="F23" s="19"/>
      <c r="G23" s="2"/>
      <c r="H23" s="2"/>
      <c r="I23" s="2"/>
      <c r="J23" s="19"/>
      <c r="K23" s="2"/>
      <c r="L23" s="2">
        <f t="shared" si="0"/>
        <v>1872.27</v>
      </c>
      <c r="M23" s="2"/>
      <c r="N23" s="19">
        <f t="shared" si="1"/>
        <v>0</v>
      </c>
      <c r="O23" s="11"/>
      <c r="P23" s="2">
        <f>--40013.58</f>
        <v>40013.58</v>
      </c>
      <c r="Q23" s="2"/>
      <c r="R23" s="19"/>
      <c r="S23" s="2"/>
      <c r="T23" s="2"/>
      <c r="U23" s="2"/>
      <c r="V23" s="19"/>
      <c r="W23" s="2"/>
      <c r="X23" s="2">
        <f t="shared" si="2"/>
        <v>40013.58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--81300.55</f>
        <v>81300.55</v>
      </c>
      <c r="E24" s="2"/>
      <c r="F24" s="19"/>
      <c r="G24" s="2"/>
      <c r="H24" s="2"/>
      <c r="I24" s="2"/>
      <c r="J24" s="19"/>
      <c r="K24" s="2"/>
      <c r="L24" s="2">
        <f t="shared" si="0"/>
        <v>81300.55</v>
      </c>
      <c r="M24" s="2"/>
      <c r="N24" s="19">
        <f t="shared" si="1"/>
        <v>0</v>
      </c>
      <c r="O24" s="11"/>
      <c r="P24" s="2">
        <f>--314552.11</f>
        <v>314552.11</v>
      </c>
      <c r="Q24" s="2"/>
      <c r="R24" s="19"/>
      <c r="S24" s="2"/>
      <c r="T24" s="2"/>
      <c r="U24" s="2"/>
      <c r="V24" s="19"/>
      <c r="W24" s="2"/>
      <c r="X24" s="2">
        <f t="shared" si="2"/>
        <v>314552.11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--99.87</f>
        <v>99.87</v>
      </c>
      <c r="E26" s="2"/>
      <c r="F26" s="19"/>
      <c r="G26" s="2"/>
      <c r="H26" s="2"/>
      <c r="I26" s="2"/>
      <c r="J26" s="19"/>
      <c r="K26" s="2"/>
      <c r="L26" s="2">
        <f t="shared" si="0"/>
        <v>99.87</v>
      </c>
      <c r="M26" s="2"/>
      <c r="N26" s="19">
        <f t="shared" si="1"/>
        <v>0</v>
      </c>
      <c r="O26" s="11"/>
      <c r="P26" s="2">
        <f>--7748.6</f>
        <v>7748.6</v>
      </c>
      <c r="Q26" s="2"/>
      <c r="R26" s="19"/>
      <c r="S26" s="2"/>
      <c r="T26" s="2"/>
      <c r="U26" s="2"/>
      <c r="V26" s="19"/>
      <c r="W26" s="2"/>
      <c r="X26" s="2">
        <f t="shared" si="2"/>
        <v>7748.6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--115.91</f>
        <v>115.91</v>
      </c>
      <c r="Q27" s="2"/>
      <c r="R27" s="19"/>
      <c r="S27" s="2"/>
      <c r="T27" s="2"/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--531.62</f>
        <v>531.62</v>
      </c>
      <c r="E28" s="2"/>
      <c r="F28" s="19"/>
      <c r="G28" s="2"/>
      <c r="H28" s="2"/>
      <c r="I28" s="2"/>
      <c r="J28" s="19"/>
      <c r="K28" s="2"/>
      <c r="L28" s="2">
        <f t="shared" si="0"/>
        <v>531.62</v>
      </c>
      <c r="M28" s="2"/>
      <c r="N28" s="19">
        <f t="shared" si="1"/>
        <v>0</v>
      </c>
      <c r="O28" s="11"/>
      <c r="P28" s="2">
        <f>--10777.6</f>
        <v>10777.6</v>
      </c>
      <c r="Q28" s="2"/>
      <c r="R28" s="19"/>
      <c r="S28" s="2"/>
      <c r="T28" s="2"/>
      <c r="U28" s="2"/>
      <c r="V28" s="19"/>
      <c r="W28" s="2"/>
      <c r="X28" s="2">
        <f t="shared" si="2"/>
        <v>10777.6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/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--9520.45</f>
        <v>9520.4500000000007</v>
      </c>
      <c r="E33" s="2"/>
      <c r="F33" s="19"/>
      <c r="G33" s="2"/>
      <c r="H33" s="2"/>
      <c r="I33" s="2"/>
      <c r="J33" s="19"/>
      <c r="K33" s="2"/>
      <c r="L33" s="2">
        <f t="shared" si="0"/>
        <v>9520.4500000000007</v>
      </c>
      <c r="M33" s="2"/>
      <c r="N33" s="19">
        <f t="shared" si="1"/>
        <v>0</v>
      </c>
      <c r="O33" s="11"/>
      <c r="P33" s="2">
        <f>--180828.03</f>
        <v>180828.03</v>
      </c>
      <c r="Q33" s="2"/>
      <c r="R33" s="19"/>
      <c r="S33" s="2"/>
      <c r="T33" s="2"/>
      <c r="U33" s="2"/>
      <c r="V33" s="19"/>
      <c r="W33" s="2"/>
      <c r="X33" s="2">
        <f t="shared" si="2"/>
        <v>180828.03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-25127.54</f>
        <v>-25127.54</v>
      </c>
      <c r="E34" s="2"/>
      <c r="F34" s="19"/>
      <c r="G34" s="2"/>
      <c r="H34" s="2"/>
      <c r="I34" s="2"/>
      <c r="J34" s="19"/>
      <c r="K34" s="2"/>
      <c r="L34" s="2">
        <f t="shared" si="0"/>
        <v>-25127.54</v>
      </c>
      <c r="M34" s="2"/>
      <c r="N34" s="19">
        <f t="shared" si="1"/>
        <v>0</v>
      </c>
      <c r="O34" s="11"/>
      <c r="P34" s="2">
        <f>--12272.45</f>
        <v>12272.45</v>
      </c>
      <c r="Q34" s="2"/>
      <c r="R34" s="19"/>
      <c r="S34" s="2"/>
      <c r="T34" s="2"/>
      <c r="U34" s="2"/>
      <c r="V34" s="19"/>
      <c r="W34" s="2"/>
      <c r="X34" s="2">
        <f t="shared" si="2"/>
        <v>12272.45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--54.07</f>
        <v>54.07</v>
      </c>
      <c r="E35" s="2"/>
      <c r="F35" s="19"/>
      <c r="G35" s="2"/>
      <c r="H35" s="2"/>
      <c r="I35" s="2"/>
      <c r="J35" s="19"/>
      <c r="K35" s="2"/>
      <c r="L35" s="2">
        <f t="shared" si="0"/>
        <v>54.07</v>
      </c>
      <c r="M35" s="2"/>
      <c r="N35" s="19">
        <f t="shared" si="1"/>
        <v>0</v>
      </c>
      <c r="O35" s="11"/>
      <c r="P35" s="2">
        <f>--1521.44</f>
        <v>1521.44</v>
      </c>
      <c r="Q35" s="2"/>
      <c r="R35" s="19"/>
      <c r="S35" s="2"/>
      <c r="T35" s="2"/>
      <c r="U35" s="2"/>
      <c r="V35" s="19"/>
      <c r="W35" s="2"/>
      <c r="X35" s="2">
        <f t="shared" si="2"/>
        <v>1521.44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--9.95</f>
        <v>9.9499999999999993</v>
      </c>
      <c r="E36" s="2"/>
      <c r="F36" s="19"/>
      <c r="G36" s="2"/>
      <c r="H36" s="2"/>
      <c r="I36" s="2"/>
      <c r="J36" s="19"/>
      <c r="K36" s="2"/>
      <c r="L36" s="2">
        <f t="shared" si="0"/>
        <v>9.9499999999999993</v>
      </c>
      <c r="M36" s="2"/>
      <c r="N36" s="19">
        <f t="shared" si="1"/>
        <v>0</v>
      </c>
      <c r="O36" s="11"/>
      <c r="P36" s="2">
        <f>--2562.11</f>
        <v>2562.11</v>
      </c>
      <c r="Q36" s="2"/>
      <c r="R36" s="19"/>
      <c r="S36" s="2"/>
      <c r="T36" s="2"/>
      <c r="U36" s="2"/>
      <c r="V36" s="19"/>
      <c r="W36" s="2"/>
      <c r="X36" s="2">
        <f t="shared" si="2"/>
        <v>2562.11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--129.75</f>
        <v>129.75</v>
      </c>
      <c r="E37" s="2"/>
      <c r="F37" s="19"/>
      <c r="G37" s="2"/>
      <c r="H37" s="2"/>
      <c r="I37" s="2"/>
      <c r="J37" s="19"/>
      <c r="K37" s="2"/>
      <c r="L37" s="2">
        <f t="shared" si="0"/>
        <v>129.75</v>
      </c>
      <c r="M37" s="2"/>
      <c r="N37" s="19">
        <f t="shared" si="1"/>
        <v>0</v>
      </c>
      <c r="O37" s="11"/>
      <c r="P37" s="2">
        <f>--1003.55</f>
        <v>1003.55</v>
      </c>
      <c r="Q37" s="2"/>
      <c r="R37" s="19"/>
      <c r="S37" s="2"/>
      <c r="T37" s="2"/>
      <c r="U37" s="2"/>
      <c r="V37" s="19"/>
      <c r="W37" s="2"/>
      <c r="X37" s="2">
        <f t="shared" si="2"/>
        <v>1003.55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--30</f>
        <v>30</v>
      </c>
      <c r="E38" s="2"/>
      <c r="F38" s="19"/>
      <c r="G38" s="2"/>
      <c r="H38" s="2"/>
      <c r="I38" s="2"/>
      <c r="J38" s="19"/>
      <c r="K38" s="2"/>
      <c r="L38" s="2">
        <f t="shared" si="0"/>
        <v>30</v>
      </c>
      <c r="M38" s="2"/>
      <c r="N38" s="19">
        <f t="shared" si="1"/>
        <v>0</v>
      </c>
      <c r="O38" s="11"/>
      <c r="P38" s="2">
        <f>--74089.89</f>
        <v>74089.89</v>
      </c>
      <c r="Q38" s="2"/>
      <c r="R38" s="19"/>
      <c r="S38" s="2"/>
      <c r="T38" s="2"/>
      <c r="U38" s="2"/>
      <c r="V38" s="19"/>
      <c r="W38" s="2"/>
      <c r="X38" s="2">
        <f t="shared" si="2"/>
        <v>74089.89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/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-80.63</f>
        <v>-80.63</v>
      </c>
      <c r="E40" s="2"/>
      <c r="F40" s="19"/>
      <c r="G40" s="2"/>
      <c r="H40" s="2"/>
      <c r="I40" s="2"/>
      <c r="J40" s="19"/>
      <c r="K40" s="2"/>
      <c r="L40" s="2">
        <f t="shared" si="0"/>
        <v>-80.63</v>
      </c>
      <c r="M40" s="2"/>
      <c r="N40" s="19">
        <f t="shared" si="1"/>
        <v>0</v>
      </c>
      <c r="O40" s="11"/>
      <c r="P40" s="2">
        <f>-1361.93</f>
        <v>-1361.93</v>
      </c>
      <c r="Q40" s="2"/>
      <c r="R40" s="19"/>
      <c r="S40" s="2"/>
      <c r="T40" s="2"/>
      <c r="U40" s="2"/>
      <c r="V40" s="19"/>
      <c r="W40" s="2"/>
      <c r="X40" s="2">
        <f t="shared" si="2"/>
        <v>-1361.93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-105.6</f>
        <v>-105.6</v>
      </c>
      <c r="E41" s="2"/>
      <c r="F41" s="19"/>
      <c r="G41" s="2"/>
      <c r="H41" s="2"/>
      <c r="I41" s="2"/>
      <c r="J41" s="19"/>
      <c r="K41" s="2"/>
      <c r="L41" s="2">
        <f t="shared" si="0"/>
        <v>-105.6</v>
      </c>
      <c r="M41" s="2"/>
      <c r="N41" s="19">
        <f t="shared" si="1"/>
        <v>0</v>
      </c>
      <c r="O41" s="11"/>
      <c r="P41" s="2">
        <f>-12857.13</f>
        <v>-12857.13</v>
      </c>
      <c r="Q41" s="2"/>
      <c r="R41" s="19"/>
      <c r="S41" s="2"/>
      <c r="T41" s="2"/>
      <c r="U41" s="2"/>
      <c r="V41" s="19"/>
      <c r="W41" s="2"/>
      <c r="X41" s="2">
        <f t="shared" si="2"/>
        <v>-12857.13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-3359.4</f>
        <v>-3359.4</v>
      </c>
      <c r="E42" s="2"/>
      <c r="F42" s="19"/>
      <c r="G42" s="2"/>
      <c r="H42" s="2"/>
      <c r="I42" s="2"/>
      <c r="J42" s="19"/>
      <c r="K42" s="2"/>
      <c r="L42" s="2">
        <f t="shared" si="0"/>
        <v>-3359.4</v>
      </c>
      <c r="M42" s="2"/>
      <c r="N42" s="19">
        <f t="shared" si="1"/>
        <v>0</v>
      </c>
      <c r="O42" s="11"/>
      <c r="P42" s="2">
        <f>-40558.46</f>
        <v>-40558.46</v>
      </c>
      <c r="Q42" s="2"/>
      <c r="R42" s="19"/>
      <c r="S42" s="2"/>
      <c r="T42" s="2"/>
      <c r="U42" s="2"/>
      <c r="V42" s="19"/>
      <c r="W42" s="2"/>
      <c r="X42" s="2">
        <f t="shared" si="2"/>
        <v>-40558.46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-1833.22</f>
        <v>-1833.22</v>
      </c>
      <c r="E43" s="2"/>
      <c r="F43" s="19"/>
      <c r="G43" s="2"/>
      <c r="H43" s="2"/>
      <c r="I43" s="2"/>
      <c r="J43" s="19"/>
      <c r="K43" s="2"/>
      <c r="L43" s="2">
        <f t="shared" si="0"/>
        <v>-1833.22</v>
      </c>
      <c r="M43" s="2"/>
      <c r="N43" s="19">
        <f t="shared" si="1"/>
        <v>0</v>
      </c>
      <c r="O43" s="11"/>
      <c r="P43" s="2">
        <f>-16520.85</f>
        <v>-16520.849999999999</v>
      </c>
      <c r="Q43" s="2"/>
      <c r="R43" s="19"/>
      <c r="S43" s="2"/>
      <c r="T43" s="2"/>
      <c r="U43" s="2"/>
      <c r="V43" s="19"/>
      <c r="W43" s="2"/>
      <c r="X43" s="2">
        <f t="shared" si="2"/>
        <v>-16520.849999999999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-94.52</f>
        <v>-94.52</v>
      </c>
      <c r="E44" s="2"/>
      <c r="F44" s="19"/>
      <c r="G44" s="2"/>
      <c r="H44" s="2"/>
      <c r="I44" s="2"/>
      <c r="J44" s="19"/>
      <c r="K44" s="2"/>
      <c r="L44" s="2">
        <f t="shared" si="0"/>
        <v>-94.52</v>
      </c>
      <c r="M44" s="2"/>
      <c r="N44" s="19">
        <f t="shared" si="1"/>
        <v>0</v>
      </c>
      <c r="O44" s="11"/>
      <c r="P44" s="2">
        <f>-2511.55</f>
        <v>-2511.5500000000002</v>
      </c>
      <c r="Q44" s="2"/>
      <c r="R44" s="19"/>
      <c r="S44" s="2"/>
      <c r="T44" s="2"/>
      <c r="U44" s="2"/>
      <c r="V44" s="19"/>
      <c r="W44" s="2"/>
      <c r="X44" s="2">
        <f t="shared" si="2"/>
        <v>-2511.5500000000002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-9.99</f>
        <v>-9.99</v>
      </c>
      <c r="E45" s="2"/>
      <c r="F45" s="19"/>
      <c r="G45" s="2"/>
      <c r="H45" s="2"/>
      <c r="I45" s="2"/>
      <c r="J45" s="19"/>
      <c r="K45" s="2"/>
      <c r="L45" s="2">
        <f t="shared" si="0"/>
        <v>-9.99</v>
      </c>
      <c r="M45" s="2"/>
      <c r="N45" s="19">
        <f t="shared" si="1"/>
        <v>0</v>
      </c>
      <c r="O45" s="11"/>
      <c r="P45" s="2">
        <f>-6228.98</f>
        <v>-6228.98</v>
      </c>
      <c r="Q45" s="2"/>
      <c r="R45" s="19"/>
      <c r="S45" s="2"/>
      <c r="T45" s="2"/>
      <c r="U45" s="2"/>
      <c r="V45" s="19"/>
      <c r="W45" s="2"/>
      <c r="X45" s="2">
        <f t="shared" si="2"/>
        <v>-6228.98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-29.85</f>
        <v>-29.85</v>
      </c>
      <c r="E46" s="2"/>
      <c r="F46" s="19"/>
      <c r="G46" s="2"/>
      <c r="H46" s="2"/>
      <c r="I46" s="2"/>
      <c r="J46" s="19"/>
      <c r="K46" s="2"/>
      <c r="L46" s="2">
        <f t="shared" si="0"/>
        <v>-29.85</v>
      </c>
      <c r="M46" s="2"/>
      <c r="N46" s="19">
        <f t="shared" si="1"/>
        <v>0</v>
      </c>
      <c r="O46" s="11"/>
      <c r="P46" s="2">
        <f>-1237.93</f>
        <v>-1237.93</v>
      </c>
      <c r="Q46" s="2"/>
      <c r="R46" s="19"/>
      <c r="S46" s="2"/>
      <c r="T46" s="2"/>
      <c r="U46" s="2"/>
      <c r="V46" s="19"/>
      <c r="W46" s="2"/>
      <c r="X46" s="2">
        <f t="shared" si="2"/>
        <v>-1237.93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-3318.4</f>
        <v>-3318.4</v>
      </c>
      <c r="E47" s="2"/>
      <c r="F47" s="19"/>
      <c r="G47" s="2"/>
      <c r="H47" s="2"/>
      <c r="I47" s="2"/>
      <c r="J47" s="19"/>
      <c r="K47" s="2"/>
      <c r="L47" s="2">
        <f t="shared" si="0"/>
        <v>-3318.4</v>
      </c>
      <c r="M47" s="2"/>
      <c r="N47" s="19">
        <f t="shared" si="1"/>
        <v>0</v>
      </c>
      <c r="O47" s="11"/>
      <c r="P47" s="2">
        <f>-18772.13</f>
        <v>-18772.13</v>
      </c>
      <c r="Q47" s="2"/>
      <c r="R47" s="19"/>
      <c r="S47" s="2"/>
      <c r="T47" s="2"/>
      <c r="U47" s="2"/>
      <c r="V47" s="19"/>
      <c r="W47" s="2"/>
      <c r="X47" s="2">
        <f t="shared" si="2"/>
        <v>-18772.13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-17.41</f>
        <v>-17.41</v>
      </c>
      <c r="Q48" s="2"/>
      <c r="R48" s="19"/>
      <c r="S48" s="2"/>
      <c r="T48" s="2"/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-286.5</f>
        <v>-286.5</v>
      </c>
      <c r="E49" s="2"/>
      <c r="F49" s="19"/>
      <c r="G49" s="2"/>
      <c r="H49" s="2"/>
      <c r="I49" s="2"/>
      <c r="J49" s="19"/>
      <c r="K49" s="2"/>
      <c r="L49" s="2">
        <f t="shared" si="0"/>
        <v>-286.5</v>
      </c>
      <c r="M49" s="2"/>
      <c r="N49" s="19">
        <f t="shared" si="1"/>
        <v>0</v>
      </c>
      <c r="O49" s="11"/>
      <c r="P49" s="2">
        <f>-3737.76</f>
        <v>-3737.76</v>
      </c>
      <c r="Q49" s="2"/>
      <c r="R49" s="19"/>
      <c r="S49" s="2"/>
      <c r="T49" s="2"/>
      <c r="U49" s="2"/>
      <c r="V49" s="19"/>
      <c r="W49" s="2"/>
      <c r="X49" s="2">
        <f t="shared" si="2"/>
        <v>-3737.76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>-20.85</f>
        <v>-20.85</v>
      </c>
      <c r="E50" s="2"/>
      <c r="F50" s="19"/>
      <c r="G50" s="2"/>
      <c r="H50" s="2"/>
      <c r="I50" s="2"/>
      <c r="J50" s="19"/>
      <c r="K50" s="2"/>
      <c r="L50" s="2">
        <f t="shared" si="0"/>
        <v>-20.85</v>
      </c>
      <c r="M50" s="2"/>
      <c r="N50" s="19">
        <f t="shared" si="1"/>
        <v>0</v>
      </c>
      <c r="O50" s="11"/>
      <c r="P50" s="2">
        <f>-412.09</f>
        <v>-412.09</v>
      </c>
      <c r="Q50" s="2"/>
      <c r="R50" s="19"/>
      <c r="S50" s="2"/>
      <c r="T50" s="2"/>
      <c r="U50" s="2"/>
      <c r="V50" s="19"/>
      <c r="W50" s="2"/>
      <c r="X50" s="2">
        <f t="shared" si="2"/>
        <v>-412.09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-118.7</f>
        <v>-118.7</v>
      </c>
      <c r="Q51" s="2"/>
      <c r="R51" s="19"/>
      <c r="S51" s="2"/>
      <c r="T51" s="2"/>
      <c r="U51" s="2"/>
      <c r="V51" s="19"/>
      <c r="W51" s="2"/>
      <c r="X51" s="2">
        <f t="shared" si="2"/>
        <v>-118.7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257</v>
      </c>
      <c r="C53" s="10"/>
      <c r="D53" s="4">
        <f>SUM(OSRRefD16x_0)</f>
        <v>126668.86999999997</v>
      </c>
      <c r="E53" s="4"/>
      <c r="F53" s="12">
        <f t="shared" ref="F53:F78" si="5">IF(D$12=0,0,D53/D$12)</f>
        <v>0.57057000934397217</v>
      </c>
      <c r="G53" s="4"/>
      <c r="H53" s="4">
        <f>SUM(OSRRefH16x_0)</f>
        <v>126441</v>
      </c>
      <c r="I53" s="4"/>
      <c r="J53" s="12">
        <f t="shared" ref="J53:J78" si="6">IF(H$12=0,0,H53/H$12)</f>
        <v>0.46250160030725901</v>
      </c>
      <c r="K53" s="4"/>
      <c r="L53" s="4">
        <f t="shared" ref="L53:L78" si="7">+D53-H53</f>
        <v>227.86999999996624</v>
      </c>
      <c r="M53" s="4"/>
      <c r="N53" s="12">
        <f t="shared" ref="N53:N78" si="8">IF(H53=0,0,L53/H53)</f>
        <v>1.8021844180286951E-3</v>
      </c>
      <c r="O53" s="10"/>
      <c r="P53" s="4">
        <f>SUM(OSRRefP16x_0)</f>
        <v>1217191.4100000004</v>
      </c>
      <c r="Q53" s="4"/>
      <c r="R53" s="12">
        <f t="shared" ref="R53:R78" si="9">IF(P$12=0,0,P53/P$12)</f>
        <v>0.54022703250082837</v>
      </c>
      <c r="S53" s="4"/>
      <c r="T53" s="4">
        <f>SUM(OSRRefT16x_0)</f>
        <v>1625572</v>
      </c>
      <c r="U53" s="4"/>
      <c r="V53" s="12">
        <f t="shared" ref="V53:V78" si="10">IF(T$12=0,0,T53/T$12)</f>
        <v>0.46250003556440716</v>
      </c>
      <c r="W53" s="4"/>
      <c r="X53" s="4">
        <f t="shared" ref="X53:X78" si="11">+P53-T53</f>
        <v>-408380.58999999962</v>
      </c>
      <c r="Y53" s="4"/>
      <c r="Z53" s="12">
        <f t="shared" ref="Z53:Z78" si="12">IF(T53=0,0,X53/T53)</f>
        <v>-0.25122270191661744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/>
      <c r="E54" s="2"/>
      <c r="F54" s="19">
        <f t="shared" si="5"/>
        <v>0</v>
      </c>
      <c r="G54" s="2"/>
      <c r="H54" s="2">
        <v>126441</v>
      </c>
      <c r="I54" s="2"/>
      <c r="J54" s="19">
        <f t="shared" si="6"/>
        <v>0.46250160030725901</v>
      </c>
      <c r="K54" s="2"/>
      <c r="L54" s="2">
        <f t="shared" si="7"/>
        <v>-126441</v>
      </c>
      <c r="M54" s="2"/>
      <c r="N54" s="19">
        <f t="shared" si="8"/>
        <v>-1</v>
      </c>
      <c r="O54" s="11"/>
      <c r="P54" s="2"/>
      <c r="Q54" s="2"/>
      <c r="R54" s="19">
        <f t="shared" si="9"/>
        <v>0</v>
      </c>
      <c r="S54" s="2"/>
      <c r="T54" s="2">
        <v>1625572</v>
      </c>
      <c r="U54" s="2"/>
      <c r="V54" s="19">
        <f t="shared" si="10"/>
        <v>0.46250003556440716</v>
      </c>
      <c r="W54" s="2"/>
      <c r="X54" s="2">
        <f t="shared" si="11"/>
        <v>-1625572</v>
      </c>
      <c r="Y54" s="2"/>
      <c r="Z54" s="19">
        <f t="shared" si="12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599.29</v>
      </c>
      <c r="Q55" s="2"/>
      <c r="R55" s="19">
        <f t="shared" si="9"/>
        <v>2.6598335779203479E-4</v>
      </c>
      <c r="S55" s="2"/>
      <c r="T55" s="2"/>
      <c r="U55" s="2"/>
      <c r="V55" s="19">
        <f t="shared" si="10"/>
        <v>0</v>
      </c>
      <c r="W55" s="2"/>
      <c r="X55" s="2">
        <f t="shared" si="11"/>
        <v>599.29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219.64</v>
      </c>
      <c r="Q56" s="2"/>
      <c r="R56" s="19">
        <f t="shared" si="9"/>
        <v>9.7482996054401908E-5</v>
      </c>
      <c r="S56" s="2"/>
      <c r="T56" s="2"/>
      <c r="U56" s="2"/>
      <c r="V56" s="19">
        <f t="shared" si="10"/>
        <v>0</v>
      </c>
      <c r="W56" s="2"/>
      <c r="X56" s="2">
        <f t="shared" si="11"/>
        <v>219.64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-25055.15</v>
      </c>
      <c r="E57" s="2"/>
      <c r="F57" s="19">
        <f t="shared" si="5"/>
        <v>-0.11285896187133138</v>
      </c>
      <c r="G57" s="2"/>
      <c r="H57" s="2"/>
      <c r="I57" s="2"/>
      <c r="J57" s="19">
        <f t="shared" si="6"/>
        <v>0</v>
      </c>
      <c r="K57" s="2"/>
      <c r="L57" s="2">
        <f t="shared" si="7"/>
        <v>-25055.15</v>
      </c>
      <c r="M57" s="2"/>
      <c r="N57" s="19">
        <f t="shared" si="8"/>
        <v>0</v>
      </c>
      <c r="O57" s="11"/>
      <c r="P57" s="2">
        <v>-2215.63</v>
      </c>
      <c r="Q57" s="2"/>
      <c r="R57" s="19">
        <f t="shared" si="9"/>
        <v>-9.8336482675293437E-4</v>
      </c>
      <c r="S57" s="2"/>
      <c r="T57" s="2"/>
      <c r="U57" s="2"/>
      <c r="V57" s="19">
        <f t="shared" si="10"/>
        <v>0</v>
      </c>
      <c r="W57" s="2"/>
      <c r="X57" s="2">
        <f t="shared" si="11"/>
        <v>-2215.63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-87182.83</v>
      </c>
      <c r="E58" s="2"/>
      <c r="F58" s="19">
        <f t="shared" si="5"/>
        <v>-0.39270823310995001</v>
      </c>
      <c r="G58" s="2"/>
      <c r="H58" s="2"/>
      <c r="I58" s="2"/>
      <c r="J58" s="19">
        <f t="shared" si="6"/>
        <v>0</v>
      </c>
      <c r="K58" s="2"/>
      <c r="L58" s="2">
        <f t="shared" si="7"/>
        <v>-87182.83</v>
      </c>
      <c r="M58" s="2"/>
      <c r="N58" s="19">
        <f t="shared" si="8"/>
        <v>0</v>
      </c>
      <c r="O58" s="11"/>
      <c r="P58" s="2">
        <v>-80943.94</v>
      </c>
      <c r="Q58" s="2"/>
      <c r="R58" s="19">
        <f t="shared" si="9"/>
        <v>-3.5925413329301339E-2</v>
      </c>
      <c r="S58" s="2"/>
      <c r="T58" s="2"/>
      <c r="U58" s="2"/>
      <c r="V58" s="19">
        <f t="shared" si="10"/>
        <v>0</v>
      </c>
      <c r="W58" s="2"/>
      <c r="X58" s="2">
        <f t="shared" si="11"/>
        <v>-80943.94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673.97</v>
      </c>
      <c r="E59" s="2"/>
      <c r="F59" s="19">
        <f t="shared" si="5"/>
        <v>3.0358451069908265E-3</v>
      </c>
      <c r="G59" s="2"/>
      <c r="H59" s="2"/>
      <c r="I59" s="2"/>
      <c r="J59" s="19">
        <f t="shared" si="6"/>
        <v>0</v>
      </c>
      <c r="K59" s="2"/>
      <c r="L59" s="2">
        <f t="shared" si="7"/>
        <v>673.97</v>
      </c>
      <c r="M59" s="2"/>
      <c r="N59" s="19">
        <f t="shared" si="8"/>
        <v>0</v>
      </c>
      <c r="O59" s="11"/>
      <c r="P59" s="2">
        <v>6298.49</v>
      </c>
      <c r="Q59" s="2"/>
      <c r="R59" s="19">
        <f t="shared" si="9"/>
        <v>2.7954638308991526E-3</v>
      </c>
      <c r="S59" s="2"/>
      <c r="T59" s="2"/>
      <c r="U59" s="2"/>
      <c r="V59" s="19">
        <f t="shared" si="10"/>
        <v>0</v>
      </c>
      <c r="W59" s="2"/>
      <c r="X59" s="2">
        <f t="shared" si="11"/>
        <v>6298.49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"5040", " - ", "PURCHASES @ COST-LOGO CLOTHING")</f>
        <v xml:space="preserve">          5040 - PURCHASES @ COST-LOGO CLOTHING</v>
      </c>
      <c r="C60" s="11"/>
      <c r="D60" s="2">
        <v>185952.11</v>
      </c>
      <c r="E60" s="2"/>
      <c r="F60" s="19">
        <f t="shared" si="5"/>
        <v>0.83760672326382457</v>
      </c>
      <c r="G60" s="2"/>
      <c r="H60" s="2"/>
      <c r="I60" s="2"/>
      <c r="J60" s="19">
        <f t="shared" si="6"/>
        <v>0</v>
      </c>
      <c r="K60" s="2"/>
      <c r="L60" s="2">
        <f t="shared" si="7"/>
        <v>185952.11</v>
      </c>
      <c r="M60" s="2"/>
      <c r="N60" s="19">
        <f t="shared" si="8"/>
        <v>0</v>
      </c>
      <c r="O60" s="11"/>
      <c r="P60" s="2">
        <v>513331.09</v>
      </c>
      <c r="Q60" s="2"/>
      <c r="R60" s="19">
        <f t="shared" si="9"/>
        <v>0.22783214633523874</v>
      </c>
      <c r="S60" s="2"/>
      <c r="T60" s="2"/>
      <c r="U60" s="2"/>
      <c r="V60" s="19">
        <f t="shared" si="10"/>
        <v>0</v>
      </c>
      <c r="W60" s="2"/>
      <c r="X60" s="2">
        <f t="shared" si="11"/>
        <v>513331.09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"5041", " - ", "PURCHASES @ COST-LOGO GIFTS")</f>
        <v xml:space="preserve">          5041 - PURCHASES @ COST-LOGO GIFTS</v>
      </c>
      <c r="C61" s="11"/>
      <c r="D61" s="2">
        <v>124906.57</v>
      </c>
      <c r="E61" s="2"/>
      <c r="F61" s="19">
        <f t="shared" si="5"/>
        <v>0.56263186694586875</v>
      </c>
      <c r="G61" s="2"/>
      <c r="H61" s="2"/>
      <c r="I61" s="2"/>
      <c r="J61" s="19">
        <f t="shared" si="6"/>
        <v>0</v>
      </c>
      <c r="K61" s="2"/>
      <c r="L61" s="2">
        <f t="shared" si="7"/>
        <v>124906.57</v>
      </c>
      <c r="M61" s="2"/>
      <c r="N61" s="19">
        <f t="shared" si="8"/>
        <v>0</v>
      </c>
      <c r="O61" s="11"/>
      <c r="P61" s="2">
        <v>231097.82</v>
      </c>
      <c r="Q61" s="2"/>
      <c r="R61" s="19">
        <f t="shared" si="9"/>
        <v>0.10256832942652014</v>
      </c>
      <c r="S61" s="2"/>
      <c r="T61" s="2"/>
      <c r="U61" s="2"/>
      <c r="V61" s="19">
        <f t="shared" si="10"/>
        <v>0</v>
      </c>
      <c r="W61" s="2"/>
      <c r="X61" s="2">
        <f t="shared" si="11"/>
        <v>231097.82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"5042", " - ", "PURCHASES @ COST-EVERYDAY GIFT")</f>
        <v xml:space="preserve">          5042 - PURCHASES @ COST-EVERYDAY GIFT</v>
      </c>
      <c r="C62" s="11"/>
      <c r="D62" s="2">
        <v>-8047.6</v>
      </c>
      <c r="E62" s="2"/>
      <c r="F62" s="19">
        <f t="shared" si="5"/>
        <v>-3.6249784238199585E-2</v>
      </c>
      <c r="G62" s="2"/>
      <c r="H62" s="2"/>
      <c r="I62" s="2"/>
      <c r="J62" s="19">
        <f t="shared" si="6"/>
        <v>0</v>
      </c>
      <c r="K62" s="2"/>
      <c r="L62" s="2">
        <f t="shared" si="7"/>
        <v>-8047.6</v>
      </c>
      <c r="M62" s="2"/>
      <c r="N62" s="19">
        <f t="shared" si="8"/>
        <v>0</v>
      </c>
      <c r="O62" s="11"/>
      <c r="P62" s="2">
        <v>2754.43</v>
      </c>
      <c r="Q62" s="2"/>
      <c r="R62" s="19">
        <f t="shared" si="9"/>
        <v>1.2225008596891561E-3</v>
      </c>
      <c r="S62" s="2"/>
      <c r="T62" s="2"/>
      <c r="U62" s="2"/>
      <c r="V62" s="19">
        <f t="shared" si="10"/>
        <v>0</v>
      </c>
      <c r="W62" s="2"/>
      <c r="X62" s="2">
        <f t="shared" si="11"/>
        <v>2754.43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"5043", " - ", "PURCHASES @ COST-CARDS")</f>
        <v xml:space="preserve">          5043 - PURCHASES @ COST-CARDS</v>
      </c>
      <c r="C63" s="11"/>
      <c r="D63" s="2">
        <v>630.47</v>
      </c>
      <c r="E63" s="2"/>
      <c r="F63" s="19">
        <f t="shared" si="5"/>
        <v>2.8399027621474342E-3</v>
      </c>
      <c r="G63" s="2"/>
      <c r="H63" s="2"/>
      <c r="I63" s="2"/>
      <c r="J63" s="19">
        <f t="shared" si="6"/>
        <v>0</v>
      </c>
      <c r="K63" s="2"/>
      <c r="L63" s="2">
        <f t="shared" si="7"/>
        <v>630.47</v>
      </c>
      <c r="M63" s="2"/>
      <c r="N63" s="19">
        <f t="shared" si="8"/>
        <v>0</v>
      </c>
      <c r="O63" s="11"/>
      <c r="P63" s="2">
        <v>56213.8</v>
      </c>
      <c r="Q63" s="2"/>
      <c r="R63" s="19">
        <f t="shared" si="9"/>
        <v>2.494941560554971E-2</v>
      </c>
      <c r="S63" s="2"/>
      <c r="T63" s="2"/>
      <c r="U63" s="2"/>
      <c r="V63" s="19">
        <f t="shared" si="10"/>
        <v>0</v>
      </c>
      <c r="W63" s="2"/>
      <c r="X63" s="2">
        <f t="shared" si="11"/>
        <v>56213.8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"5044", " - ", "PURCHASES @ COST-ACCESSORIES")</f>
        <v xml:space="preserve">          5044 - PURCHASES @ COST-ACCESSORIES</v>
      </c>
      <c r="C64" s="11"/>
      <c r="D64" s="2">
        <v>6102.79</v>
      </c>
      <c r="E64" s="2"/>
      <c r="F64" s="19">
        <f t="shared" si="5"/>
        <v>2.7489539831880565E-2</v>
      </c>
      <c r="G64" s="2"/>
      <c r="H64" s="2"/>
      <c r="I64" s="2"/>
      <c r="J64" s="19">
        <f t="shared" si="6"/>
        <v>0</v>
      </c>
      <c r="K64" s="2"/>
      <c r="L64" s="2">
        <f t="shared" si="7"/>
        <v>6102.79</v>
      </c>
      <c r="M64" s="2"/>
      <c r="N64" s="19">
        <f t="shared" si="8"/>
        <v>0</v>
      </c>
      <c r="O64" s="11"/>
      <c r="P64" s="2">
        <v>8658.5</v>
      </c>
      <c r="Q64" s="2"/>
      <c r="R64" s="19">
        <f t="shared" si="9"/>
        <v>3.8429089479923464E-3</v>
      </c>
      <c r="S64" s="2"/>
      <c r="T64" s="2"/>
      <c r="U64" s="2"/>
      <c r="V64" s="19">
        <f t="shared" si="10"/>
        <v>0</v>
      </c>
      <c r="W64" s="2"/>
      <c r="X64" s="2">
        <f t="shared" si="11"/>
        <v>8658.5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"5045", " - ", "PURCHASES @ COST-SPECIAL ORDER")</f>
        <v xml:space="preserve">          5045 - PURCHASES @ COST-SPECIAL ORDER</v>
      </c>
      <c r="C65" s="11"/>
      <c r="D65" s="2">
        <v>33995.81</v>
      </c>
      <c r="E65" s="2"/>
      <c r="F65" s="19">
        <f t="shared" si="5"/>
        <v>0.15313146497127439</v>
      </c>
      <c r="G65" s="2"/>
      <c r="H65" s="2"/>
      <c r="I65" s="2"/>
      <c r="J65" s="19">
        <f t="shared" si="6"/>
        <v>0</v>
      </c>
      <c r="K65" s="2"/>
      <c r="L65" s="2">
        <f t="shared" si="7"/>
        <v>33995.81</v>
      </c>
      <c r="M65" s="2"/>
      <c r="N65" s="19">
        <f t="shared" si="8"/>
        <v>0</v>
      </c>
      <c r="O65" s="11"/>
      <c r="P65" s="2">
        <v>173135.05</v>
      </c>
      <c r="Q65" s="2"/>
      <c r="R65" s="19">
        <f t="shared" si="9"/>
        <v>7.6842667073523385E-2</v>
      </c>
      <c r="S65" s="2"/>
      <c r="T65" s="2"/>
      <c r="U65" s="2"/>
      <c r="V65" s="19">
        <f t="shared" si="10"/>
        <v>0</v>
      </c>
      <c r="W65" s="2"/>
      <c r="X65" s="2">
        <f t="shared" si="11"/>
        <v>173135.05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>
        <v>-236426.85</v>
      </c>
      <c r="E66" s="2"/>
      <c r="F66" s="19">
        <f t="shared" si="5"/>
        <v>-1.0649662384583203</v>
      </c>
      <c r="G66" s="2"/>
      <c r="H66" s="2"/>
      <c r="I66" s="2"/>
      <c r="J66" s="19">
        <f t="shared" si="6"/>
        <v>0</v>
      </c>
      <c r="K66" s="2"/>
      <c r="L66" s="2">
        <f t="shared" si="7"/>
        <v>-236426.85</v>
      </c>
      <c r="M66" s="2"/>
      <c r="N66" s="19">
        <f t="shared" si="8"/>
        <v>0</v>
      </c>
      <c r="O66" s="11"/>
      <c r="P66" s="2">
        <v>-941864.19</v>
      </c>
      <c r="Q66" s="2"/>
      <c r="R66" s="19">
        <f t="shared" si="9"/>
        <v>-0.41802833326148447</v>
      </c>
      <c r="S66" s="2"/>
      <c r="T66" s="2"/>
      <c r="U66" s="2"/>
      <c r="V66" s="19">
        <f t="shared" si="10"/>
        <v>0</v>
      </c>
      <c r="W66" s="2"/>
      <c r="X66" s="2">
        <f t="shared" si="11"/>
        <v>-941864.19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>
        <v>127822</v>
      </c>
      <c r="E67" s="2"/>
      <c r="F67" s="19">
        <f t="shared" si="5"/>
        <v>0.5757641931625761</v>
      </c>
      <c r="G67" s="2"/>
      <c r="H67" s="2"/>
      <c r="I67" s="2"/>
      <c r="J67" s="19">
        <f t="shared" si="6"/>
        <v>0</v>
      </c>
      <c r="K67" s="2"/>
      <c r="L67" s="2">
        <f t="shared" si="7"/>
        <v>127822</v>
      </c>
      <c r="M67" s="2"/>
      <c r="N67" s="19">
        <f t="shared" si="8"/>
        <v>0</v>
      </c>
      <c r="O67" s="11"/>
      <c r="P67" s="2">
        <v>1217428</v>
      </c>
      <c r="Q67" s="2"/>
      <c r="R67" s="19">
        <f t="shared" si="9"/>
        <v>0.54033203842887645</v>
      </c>
      <c r="S67" s="2"/>
      <c r="T67" s="2"/>
      <c r="U67" s="2"/>
      <c r="V67" s="19">
        <f t="shared" si="10"/>
        <v>0</v>
      </c>
      <c r="W67" s="2"/>
      <c r="X67" s="2">
        <f t="shared" si="11"/>
        <v>1217428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"5500", " - ", "FREIGHT-IN")</f>
        <v xml:space="preserve">          5500 - FREIGHT-IN</v>
      </c>
      <c r="C68" s="11"/>
      <c r="D68" s="2">
        <v>65</v>
      </c>
      <c r="E68" s="2"/>
      <c r="F68" s="19">
        <f t="shared" si="5"/>
        <v>2.9278741183495365E-4</v>
      </c>
      <c r="G68" s="2"/>
      <c r="H68" s="2"/>
      <c r="I68" s="2"/>
      <c r="J68" s="19">
        <f t="shared" si="6"/>
        <v>0</v>
      </c>
      <c r="K68" s="2"/>
      <c r="L68" s="2">
        <f t="shared" si="7"/>
        <v>65</v>
      </c>
      <c r="M68" s="2"/>
      <c r="N68" s="19">
        <f t="shared" si="8"/>
        <v>0</v>
      </c>
      <c r="O68" s="11"/>
      <c r="P68" s="2">
        <v>65</v>
      </c>
      <c r="Q68" s="2"/>
      <c r="R68" s="19">
        <f t="shared" si="9"/>
        <v>2.8849001746203443E-5</v>
      </c>
      <c r="S68" s="2"/>
      <c r="T68" s="2"/>
      <c r="U68" s="2"/>
      <c r="V68" s="19">
        <f t="shared" si="10"/>
        <v>0</v>
      </c>
      <c r="W68" s="2"/>
      <c r="X68" s="2">
        <f t="shared" si="11"/>
        <v>65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"5525", " - ", "FREIGHT-IN-TEST FORMS")</f>
        <v xml:space="preserve">          5525 - FREIGHT-IN-TEST FORMS</v>
      </c>
      <c r="C69" s="11"/>
      <c r="D69" s="2"/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0</v>
      </c>
      <c r="M69" s="2"/>
      <c r="N69" s="19">
        <f t="shared" si="8"/>
        <v>0</v>
      </c>
      <c r="O69" s="11"/>
      <c r="P69" s="2">
        <v>48.14</v>
      </c>
      <c r="Q69" s="2"/>
      <c r="R69" s="19">
        <f t="shared" si="9"/>
        <v>2.1366014524034365E-5</v>
      </c>
      <c r="S69" s="2"/>
      <c r="T69" s="2"/>
      <c r="U69" s="2"/>
      <c r="V69" s="19">
        <f t="shared" si="10"/>
        <v>0</v>
      </c>
      <c r="W69" s="2"/>
      <c r="X69" s="2">
        <f t="shared" si="11"/>
        <v>48.14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"5526", " - ", "FREIGHT-IN-WRITING INSTRUMENTS")</f>
        <v xml:space="preserve">          5526 - FREIGHT-IN-WRITING INSTRUMENTS</v>
      </c>
      <c r="C70" s="11"/>
      <c r="D70" s="2"/>
      <c r="E70" s="2"/>
      <c r="F70" s="19">
        <f t="shared" si="5"/>
        <v>0</v>
      </c>
      <c r="G70" s="2"/>
      <c r="H70" s="2"/>
      <c r="I70" s="2"/>
      <c r="J70" s="19">
        <f t="shared" si="6"/>
        <v>0</v>
      </c>
      <c r="K70" s="2"/>
      <c r="L70" s="2">
        <f t="shared" si="7"/>
        <v>0</v>
      </c>
      <c r="M70" s="2"/>
      <c r="N70" s="19">
        <f t="shared" si="8"/>
        <v>0</v>
      </c>
      <c r="O70" s="11"/>
      <c r="P70" s="2">
        <v>0</v>
      </c>
      <c r="Q70" s="2"/>
      <c r="R70" s="19">
        <f t="shared" si="9"/>
        <v>0</v>
      </c>
      <c r="S70" s="2"/>
      <c r="T70" s="2"/>
      <c r="U70" s="2"/>
      <c r="V70" s="19">
        <f t="shared" si="10"/>
        <v>0</v>
      </c>
      <c r="W70" s="2"/>
      <c r="X70" s="2">
        <f t="shared" si="11"/>
        <v>0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0</v>
      </c>
      <c r="M71" s="2"/>
      <c r="N71" s="19">
        <f t="shared" si="8"/>
        <v>0</v>
      </c>
      <c r="O71" s="11"/>
      <c r="P71" s="2">
        <v>218.62</v>
      </c>
      <c r="Q71" s="2"/>
      <c r="R71" s="19">
        <f t="shared" si="9"/>
        <v>9.7030288642384568E-5</v>
      </c>
      <c r="S71" s="2"/>
      <c r="T71" s="2"/>
      <c r="U71" s="2"/>
      <c r="V71" s="19">
        <f t="shared" si="10"/>
        <v>0</v>
      </c>
      <c r="W71" s="2"/>
      <c r="X71" s="2">
        <f t="shared" si="11"/>
        <v>218.62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>
        <v>102.68</v>
      </c>
      <c r="E72" s="2"/>
      <c r="F72" s="19">
        <f t="shared" si="5"/>
        <v>4.6251402226481605E-4</v>
      </c>
      <c r="G72" s="2"/>
      <c r="H72" s="2"/>
      <c r="I72" s="2"/>
      <c r="J72" s="19">
        <f t="shared" si="6"/>
        <v>0</v>
      </c>
      <c r="K72" s="2"/>
      <c r="L72" s="2">
        <f t="shared" si="7"/>
        <v>102.68</v>
      </c>
      <c r="M72" s="2"/>
      <c r="N72" s="19">
        <f t="shared" si="8"/>
        <v>0</v>
      </c>
      <c r="O72" s="11"/>
      <c r="P72" s="2">
        <v>279.58999999999997</v>
      </c>
      <c r="Q72" s="2"/>
      <c r="R72" s="19">
        <f t="shared" si="9"/>
        <v>1.2409065228032338E-4</v>
      </c>
      <c r="S72" s="2"/>
      <c r="T72" s="2"/>
      <c r="U72" s="2"/>
      <c r="V72" s="19">
        <f t="shared" si="10"/>
        <v>0</v>
      </c>
      <c r="W72" s="2"/>
      <c r="X72" s="2">
        <f t="shared" si="11"/>
        <v>279.58999999999997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"5540", " - ", "FREIGHT-IN-LOGO CLOTHING")</f>
        <v xml:space="preserve">          5540 - FREIGHT-IN-LOGO CLOTHING</v>
      </c>
      <c r="C73" s="11"/>
      <c r="D73" s="2">
        <v>1384.09</v>
      </c>
      <c r="E73" s="2"/>
      <c r="F73" s="19">
        <f t="shared" si="5"/>
        <v>6.2345250591790916E-3</v>
      </c>
      <c r="G73" s="2"/>
      <c r="H73" s="2"/>
      <c r="I73" s="2"/>
      <c r="J73" s="19">
        <f t="shared" si="6"/>
        <v>0</v>
      </c>
      <c r="K73" s="2"/>
      <c r="L73" s="2">
        <f t="shared" si="7"/>
        <v>1384.09</v>
      </c>
      <c r="M73" s="2"/>
      <c r="N73" s="19">
        <f t="shared" si="8"/>
        <v>0</v>
      </c>
      <c r="O73" s="11"/>
      <c r="P73" s="2">
        <v>11883.79</v>
      </c>
      <c r="Q73" s="2"/>
      <c r="R73" s="19">
        <f t="shared" si="9"/>
        <v>5.2743919763310011E-3</v>
      </c>
      <c r="S73" s="2"/>
      <c r="T73" s="2"/>
      <c r="U73" s="2"/>
      <c r="V73" s="19">
        <f t="shared" si="10"/>
        <v>0</v>
      </c>
      <c r="W73" s="2"/>
      <c r="X73" s="2">
        <f t="shared" si="11"/>
        <v>11883.79</v>
      </c>
      <c r="Y73" s="2"/>
      <c r="Z73" s="19">
        <f t="shared" si="12"/>
        <v>0</v>
      </c>
    </row>
    <row r="74" spans="1:26" s="24" customFormat="1" hidden="1" outlineLevel="1" x14ac:dyDescent="0.25">
      <c r="A74" s="44"/>
      <c r="B74" s="11" t="str">
        <f>CONCATENATE("          ", "5541", " - ", "FREIGHT-IN-LOGO GIFTS")</f>
        <v xml:space="preserve">          5541 - FREIGHT-IN-LOGO GIFTS</v>
      </c>
      <c r="C74" s="11"/>
      <c r="D74" s="2">
        <v>1606.81</v>
      </c>
      <c r="E74" s="2"/>
      <c r="F74" s="19">
        <f t="shared" si="5"/>
        <v>7.2377498647772593E-3</v>
      </c>
      <c r="G74" s="2"/>
      <c r="H74" s="2"/>
      <c r="I74" s="2"/>
      <c r="J74" s="19">
        <f t="shared" si="6"/>
        <v>0</v>
      </c>
      <c r="K74" s="2"/>
      <c r="L74" s="2">
        <f t="shared" si="7"/>
        <v>1606.81</v>
      </c>
      <c r="M74" s="2"/>
      <c r="N74" s="19">
        <f t="shared" si="8"/>
        <v>0</v>
      </c>
      <c r="O74" s="11"/>
      <c r="P74" s="2">
        <v>7584.01</v>
      </c>
      <c r="Q74" s="2"/>
      <c r="R74" s="19">
        <f t="shared" si="9"/>
        <v>3.3660171958957599E-3</v>
      </c>
      <c r="S74" s="2"/>
      <c r="T74" s="2"/>
      <c r="U74" s="2"/>
      <c r="V74" s="19">
        <f t="shared" si="10"/>
        <v>0</v>
      </c>
      <c r="W74" s="2"/>
      <c r="X74" s="2">
        <f t="shared" si="11"/>
        <v>7584.01</v>
      </c>
      <c r="Y74" s="2"/>
      <c r="Z74" s="19">
        <f t="shared" si="12"/>
        <v>0</v>
      </c>
    </row>
    <row r="75" spans="1:26" s="24" customFormat="1" hidden="1" outlineLevel="1" x14ac:dyDescent="0.25">
      <c r="A75" s="44"/>
      <c r="B75" s="11" t="str">
        <f>CONCATENATE("          ", "5542", " - ", "FREIGHT-IN-EVERYDAY GIFTS")</f>
        <v xml:space="preserve">          5542 - FREIGHT-IN-EVERYDAY GIFTS</v>
      </c>
      <c r="C75" s="11"/>
      <c r="D75" s="2"/>
      <c r="E75" s="2"/>
      <c r="F75" s="19">
        <f t="shared" si="5"/>
        <v>0</v>
      </c>
      <c r="G75" s="2"/>
      <c r="H75" s="2"/>
      <c r="I75" s="2"/>
      <c r="J75" s="19">
        <f t="shared" si="6"/>
        <v>0</v>
      </c>
      <c r="K75" s="2"/>
      <c r="L75" s="2">
        <f t="shared" si="7"/>
        <v>0</v>
      </c>
      <c r="M75" s="2"/>
      <c r="N75" s="19">
        <f t="shared" si="8"/>
        <v>0</v>
      </c>
      <c r="O75" s="11"/>
      <c r="P75" s="2">
        <v>681.72</v>
      </c>
      <c r="Q75" s="2"/>
      <c r="R75" s="19">
        <f t="shared" si="9"/>
        <v>3.0256833031418174E-4</v>
      </c>
      <c r="S75" s="2"/>
      <c r="T75" s="2"/>
      <c r="U75" s="2"/>
      <c r="V75" s="19">
        <f t="shared" si="10"/>
        <v>0</v>
      </c>
      <c r="W75" s="2"/>
      <c r="X75" s="2">
        <f t="shared" si="11"/>
        <v>681.72</v>
      </c>
      <c r="Y75" s="2"/>
      <c r="Z75" s="19">
        <f t="shared" si="12"/>
        <v>0</v>
      </c>
    </row>
    <row r="76" spans="1:26" s="24" customFormat="1" hidden="1" outlineLevel="1" x14ac:dyDescent="0.25">
      <c r="A76" s="44"/>
      <c r="B76" s="11" t="str">
        <f>CONCATENATE("          ", "5543", " - ", "FREIGHT-IN-CARDS")</f>
        <v xml:space="preserve">          5543 - FREIGHT-IN-CARDS</v>
      </c>
      <c r="C76" s="11"/>
      <c r="D76" s="2"/>
      <c r="E76" s="2"/>
      <c r="F76" s="19">
        <f t="shared" si="5"/>
        <v>0</v>
      </c>
      <c r="G76" s="2"/>
      <c r="H76" s="2"/>
      <c r="I76" s="2"/>
      <c r="J76" s="19">
        <f t="shared" si="6"/>
        <v>0</v>
      </c>
      <c r="K76" s="2"/>
      <c r="L76" s="2">
        <f t="shared" si="7"/>
        <v>0</v>
      </c>
      <c r="M76" s="2"/>
      <c r="N76" s="19">
        <f t="shared" si="8"/>
        <v>0</v>
      </c>
      <c r="O76" s="11"/>
      <c r="P76" s="2">
        <v>9110.5300000000007</v>
      </c>
      <c r="Q76" s="2"/>
      <c r="R76" s="19">
        <f t="shared" si="9"/>
        <v>4.0435337827513674E-3</v>
      </c>
      <c r="S76" s="2"/>
      <c r="T76" s="2"/>
      <c r="U76" s="2"/>
      <c r="V76" s="19">
        <f t="shared" si="10"/>
        <v>0</v>
      </c>
      <c r="W76" s="2"/>
      <c r="X76" s="2">
        <f t="shared" si="11"/>
        <v>9110.5300000000007</v>
      </c>
      <c r="Y76" s="2"/>
      <c r="Z76" s="19">
        <f t="shared" si="12"/>
        <v>0</v>
      </c>
    </row>
    <row r="77" spans="1:26" s="24" customFormat="1" hidden="1" outlineLevel="1" x14ac:dyDescent="0.25">
      <c r="A77" s="44"/>
      <c r="B77" s="11" t="str">
        <f>CONCATENATE("          ", "5544", " - ", "FREIGHT-IN-ACCESSORIES")</f>
        <v xml:space="preserve">          5544 - FREIGHT-IN-ACCESSORIES</v>
      </c>
      <c r="C77" s="11"/>
      <c r="D77" s="2">
        <v>48.59</v>
      </c>
      <c r="E77" s="2"/>
      <c r="F77" s="19">
        <f t="shared" si="5"/>
        <v>2.188698514009292E-4</v>
      </c>
      <c r="G77" s="2"/>
      <c r="H77" s="2"/>
      <c r="I77" s="2"/>
      <c r="J77" s="19">
        <f t="shared" si="6"/>
        <v>0</v>
      </c>
      <c r="K77" s="2"/>
      <c r="L77" s="2">
        <f t="shared" si="7"/>
        <v>48.59</v>
      </c>
      <c r="M77" s="2"/>
      <c r="N77" s="19">
        <f t="shared" si="8"/>
        <v>0</v>
      </c>
      <c r="O77" s="11"/>
      <c r="P77" s="2">
        <v>48.59</v>
      </c>
      <c r="Q77" s="2"/>
      <c r="R77" s="19">
        <f t="shared" si="9"/>
        <v>2.1565738382277316E-5</v>
      </c>
      <c r="S77" s="2"/>
      <c r="T77" s="2"/>
      <c r="U77" s="2"/>
      <c r="V77" s="19">
        <f t="shared" si="10"/>
        <v>0</v>
      </c>
      <c r="W77" s="2"/>
      <c r="X77" s="2">
        <f t="shared" si="11"/>
        <v>48.59</v>
      </c>
      <c r="Y77" s="2"/>
      <c r="Z77" s="19">
        <f t="shared" si="12"/>
        <v>0</v>
      </c>
    </row>
    <row r="78" spans="1:26" s="24" customFormat="1" hidden="1" outlineLevel="1" x14ac:dyDescent="0.25">
      <c r="A78" s="44"/>
      <c r="B78" s="11" t="str">
        <f>CONCATENATE("          ", "5545", " - ", "FREIGHT-IN-SPECIAL ORDERS")</f>
        <v xml:space="preserve">          5545 - FREIGHT-IN-SPECIAL ORDERS</v>
      </c>
      <c r="C78" s="11"/>
      <c r="D78" s="2">
        <v>90.41</v>
      </c>
      <c r="E78" s="2"/>
      <c r="F78" s="19">
        <f t="shared" si="5"/>
        <v>4.0724476775381779E-4</v>
      </c>
      <c r="G78" s="2"/>
      <c r="H78" s="2"/>
      <c r="I78" s="2"/>
      <c r="J78" s="19">
        <f t="shared" si="6"/>
        <v>0</v>
      </c>
      <c r="K78" s="2"/>
      <c r="L78" s="2">
        <f t="shared" si="7"/>
        <v>90.41</v>
      </c>
      <c r="M78" s="2"/>
      <c r="N78" s="19">
        <f t="shared" si="8"/>
        <v>0</v>
      </c>
      <c r="O78" s="11"/>
      <c r="P78" s="2">
        <v>2559.0700000000002</v>
      </c>
      <c r="Q78" s="2"/>
      <c r="R78" s="19">
        <f t="shared" si="9"/>
        <v>1.1357940753639515E-3</v>
      </c>
      <c r="S78" s="2"/>
      <c r="T78" s="2"/>
      <c r="U78" s="2"/>
      <c r="V78" s="19">
        <f t="shared" si="10"/>
        <v>0</v>
      </c>
      <c r="W78" s="2"/>
      <c r="X78" s="2">
        <f t="shared" si="11"/>
        <v>2559.0700000000002</v>
      </c>
      <c r="Y78" s="2"/>
      <c r="Z78" s="19">
        <f t="shared" si="12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108</v>
      </c>
      <c r="C80" s="28"/>
      <c r="D80" s="20">
        <f>D12-D53</f>
        <v>95335.21000000005</v>
      </c>
      <c r="E80" s="14"/>
      <c r="F80" s="22">
        <f>IF(D$12=0,0,D80/D$12)</f>
        <v>0.42942999065602777</v>
      </c>
      <c r="G80" s="14"/>
      <c r="H80" s="20">
        <f>H12-H53</f>
        <v>146944</v>
      </c>
      <c r="I80" s="14"/>
      <c r="J80" s="22">
        <f>IF(H$12=0,0,H80/H$12)</f>
        <v>0.53749839969274105</v>
      </c>
      <c r="K80" s="16"/>
      <c r="L80" s="20">
        <f>+D80-H80</f>
        <v>-51608.78999999995</v>
      </c>
      <c r="M80" s="16"/>
      <c r="N80" s="22">
        <f>IF(H80=0,0,L80/H80)</f>
        <v>-0.35121399989111463</v>
      </c>
      <c r="O80" s="29"/>
      <c r="P80" s="20">
        <f>P12-P53</f>
        <v>1035919.4799999997</v>
      </c>
      <c r="Q80" s="14"/>
      <c r="R80" s="22">
        <f>IF(P$12=0,0,P80/P$12)</f>
        <v>0.45977296749917163</v>
      </c>
      <c r="S80" s="14"/>
      <c r="T80" s="20">
        <f>T12-T53</f>
        <v>1889178</v>
      </c>
      <c r="U80" s="14"/>
      <c r="V80" s="22">
        <f>IF(T$12=0,0,T80/T$12)</f>
        <v>0.53749996443559289</v>
      </c>
      <c r="W80" s="16"/>
      <c r="X80" s="20">
        <f>+P80-T80</f>
        <v>-853258.52000000025</v>
      </c>
      <c r="Y80" s="16"/>
      <c r="Z80" s="22">
        <f>IF(T80=0,0,X80/T80)</f>
        <v>-0.45165596889229087</v>
      </c>
    </row>
    <row r="81" spans="1:26" x14ac:dyDescent="0.25">
      <c r="A81" s="9"/>
      <c r="B81" s="10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295</v>
      </c>
      <c r="C82" s="10"/>
      <c r="D82" s="21">
        <f>SUM(OSRRefD22x_0)</f>
        <v>44839.590000000004</v>
      </c>
      <c r="E82" s="21"/>
      <c r="F82" s="30">
        <f t="shared" ref="F82:F92" si="13">IF(D$12=0,0,D82/D$12)</f>
        <v>0.20197642313600722</v>
      </c>
      <c r="G82" s="21"/>
      <c r="H82" s="21">
        <f>SUM(OSRRefH22x_0)</f>
        <v>94094.069634976899</v>
      </c>
      <c r="I82" s="21"/>
      <c r="J82" s="30">
        <f t="shared" ref="J82:J92" si="14">IF(H$12=0,0,H82/H$12)</f>
        <v>0.34418153752026226</v>
      </c>
      <c r="K82" s="4"/>
      <c r="L82" s="21">
        <f t="shared" ref="L82:L92" si="15">+D82-H82</f>
        <v>-49254.479634976895</v>
      </c>
      <c r="M82" s="4"/>
      <c r="N82" s="30">
        <f t="shared" ref="N82:N92" si="16">IF(H82=0,0,L82/H82)</f>
        <v>-0.5234599781479522</v>
      </c>
      <c r="O82" s="10"/>
      <c r="P82" s="21">
        <f>SUM(OSRRefP22x_0)</f>
        <v>563016.94999999995</v>
      </c>
      <c r="Q82" s="21"/>
      <c r="R82" s="30">
        <f t="shared" ref="R82:R92" si="17">IF(P$12=0,0,P82/P$12)</f>
        <v>0.24988426113372517</v>
      </c>
      <c r="S82" s="21"/>
      <c r="T82" s="21">
        <f>SUM(OSRRefT22x_0)</f>
        <v>1224815.0525928999</v>
      </c>
      <c r="U82" s="21"/>
      <c r="V82" s="30">
        <f t="shared" ref="V82:V92" si="18">IF(T$12=0,0,T82/T$12)</f>
        <v>0.34847856962597623</v>
      </c>
      <c r="W82" s="4"/>
      <c r="X82" s="21">
        <f t="shared" ref="X82:X92" si="19">+P82-T82</f>
        <v>-661798.10259289993</v>
      </c>
      <c r="Y82" s="4"/>
      <c r="Z82" s="30">
        <f t="shared" ref="Z82:Z92" si="20">IF(T82=0,0,X82/T82)</f>
        <v>-0.5403249259485271</v>
      </c>
    </row>
    <row r="83" spans="1:26" s="27" customFormat="1" outlineLevel="1" collapsed="1" x14ac:dyDescent="0.25">
      <c r="A83" s="25"/>
      <c r="B83" s="13" t="str">
        <f>CONCATENATE("     ","*Benefits                                         ")</f>
        <v xml:space="preserve">     *Benefits                                         </v>
      </c>
      <c r="C83" s="13"/>
      <c r="D83" s="1">
        <f>SUM(OSRRefD22_0x_0)</f>
        <v>10622.52</v>
      </c>
      <c r="E83" s="1"/>
      <c r="F83" s="5">
        <f t="shared" si="13"/>
        <v>4.7848309814846647E-2</v>
      </c>
      <c r="G83" s="1"/>
      <c r="H83" s="1">
        <f>SUM(OSRRefH22_0x_0)</f>
        <v>14016.325019592305</v>
      </c>
      <c r="I83" s="1"/>
      <c r="J83" s="5">
        <f t="shared" si="14"/>
        <v>5.1269546681757615E-2</v>
      </c>
      <c r="K83" s="1"/>
      <c r="L83" s="1">
        <f t="shared" si="15"/>
        <v>-3393.8050195923042</v>
      </c>
      <c r="M83" s="1"/>
      <c r="N83" s="5">
        <f t="shared" si="16"/>
        <v>-0.24213230036035654</v>
      </c>
      <c r="O83" s="13"/>
      <c r="P83" s="1">
        <f>SUM(OSRRefP22_0x_0)</f>
        <v>123030.05</v>
      </c>
      <c r="Q83" s="1"/>
      <c r="R83" s="5">
        <f t="shared" si="17"/>
        <v>5.4604525035161493E-2</v>
      </c>
      <c r="S83" s="1"/>
      <c r="T83" s="1">
        <f>SUM(OSRRefT22_0x_0)</f>
        <v>153873.27759290001</v>
      </c>
      <c r="U83" s="1"/>
      <c r="V83" s="5">
        <f t="shared" si="18"/>
        <v>4.3779295139881928E-2</v>
      </c>
      <c r="W83" s="1"/>
      <c r="X83" s="1">
        <f t="shared" si="19"/>
        <v>-30843.227592900002</v>
      </c>
      <c r="Y83" s="1"/>
      <c r="Z83" s="5">
        <f t="shared" si="20"/>
        <v>-0.20044563991482278</v>
      </c>
    </row>
    <row r="84" spans="1:26" s="24" customFormat="1" hidden="1" outlineLevel="2" x14ac:dyDescent="0.25">
      <c r="A84" s="26"/>
      <c r="B84" s="11" t="str">
        <f>CONCATENATE("          ", "6111", " - ", "F.I.C.A.")</f>
        <v xml:space="preserve">          6111 - F.I.C.A.</v>
      </c>
      <c r="C84" s="11"/>
      <c r="D84" s="6">
        <v>2709.3</v>
      </c>
      <c r="E84" s="2"/>
      <c r="F84" s="7">
        <f t="shared" si="13"/>
        <v>1.2203829767452922E-2</v>
      </c>
      <c r="G84" s="2"/>
      <c r="H84" s="6">
        <v>3921.8310073615398</v>
      </c>
      <c r="I84" s="2"/>
      <c r="J84" s="7">
        <f t="shared" si="14"/>
        <v>1.4345450582005377E-2</v>
      </c>
      <c r="K84" s="2"/>
      <c r="L84" s="6">
        <f t="shared" si="15"/>
        <v>-1212.5310073615397</v>
      </c>
      <c r="M84" s="2"/>
      <c r="N84" s="7">
        <f t="shared" si="16"/>
        <v>-0.30917472096210613</v>
      </c>
      <c r="O84" s="11"/>
      <c r="P84" s="6">
        <v>27900.400000000001</v>
      </c>
      <c r="Q84" s="2"/>
      <c r="R84" s="7">
        <f t="shared" si="17"/>
        <v>1.2383056743381148E-2</v>
      </c>
      <c r="S84" s="2"/>
      <c r="T84" s="6">
        <v>26931.7740849</v>
      </c>
      <c r="U84" s="2"/>
      <c r="V84" s="7">
        <f t="shared" si="18"/>
        <v>7.6625006287502672E-3</v>
      </c>
      <c r="W84" s="2"/>
      <c r="X84" s="6">
        <f t="shared" si="19"/>
        <v>968.62591510000129</v>
      </c>
      <c r="Y84" s="2"/>
      <c r="Z84" s="7">
        <f t="shared" si="20"/>
        <v>3.5965915652139926E-2</v>
      </c>
    </row>
    <row r="85" spans="1:26" s="24" customFormat="1" hidden="1" outlineLevel="2" x14ac:dyDescent="0.25">
      <c r="A85" s="26"/>
      <c r="B85" s="11" t="str">
        <f>CONCATENATE("          ", "6112", " - ", "COMPENSATION INSURANCE")</f>
        <v xml:space="preserve">          6112 - COMPENSATION INSURANCE</v>
      </c>
      <c r="C85" s="11"/>
      <c r="D85" s="6">
        <v>819.71</v>
      </c>
      <c r="E85" s="2"/>
      <c r="F85" s="7">
        <f t="shared" si="13"/>
        <v>3.6923195285419978E-3</v>
      </c>
      <c r="G85" s="2"/>
      <c r="H85" s="6">
        <v>948.04486653846197</v>
      </c>
      <c r="I85" s="2"/>
      <c r="J85" s="7">
        <f t="shared" si="14"/>
        <v>3.4678013297674047E-3</v>
      </c>
      <c r="K85" s="2"/>
      <c r="L85" s="6">
        <f t="shared" si="15"/>
        <v>-128.33486653846194</v>
      </c>
      <c r="M85" s="2"/>
      <c r="N85" s="7">
        <f t="shared" si="16"/>
        <v>-0.13536792515637278</v>
      </c>
      <c r="O85" s="11"/>
      <c r="P85" s="6">
        <v>9503.2900000000009</v>
      </c>
      <c r="Q85" s="2"/>
      <c r="R85" s="7">
        <f t="shared" si="17"/>
        <v>4.2178527662258113E-3</v>
      </c>
      <c r="S85" s="2"/>
      <c r="T85" s="6">
        <v>13057.231180000001</v>
      </c>
      <c r="U85" s="2"/>
      <c r="V85" s="7">
        <f t="shared" si="18"/>
        <v>3.7149814865922188E-3</v>
      </c>
      <c r="W85" s="2"/>
      <c r="X85" s="6">
        <f t="shared" si="19"/>
        <v>-3553.9411799999998</v>
      </c>
      <c r="Y85" s="2"/>
      <c r="Z85" s="7">
        <f t="shared" si="20"/>
        <v>-0.27218183786495537</v>
      </c>
    </row>
    <row r="86" spans="1:26" s="24" customFormat="1" hidden="1" outlineLevel="2" x14ac:dyDescent="0.25">
      <c r="A86" s="26"/>
      <c r="B86" s="11" t="str">
        <f>CONCATENATE("          ", "6113", " - ", "GROUP INSURANCE")</f>
        <v xml:space="preserve">          6113 - GROUP INSURANCE</v>
      </c>
      <c r="C86" s="11"/>
      <c r="D86" s="6">
        <v>2823.95</v>
      </c>
      <c r="E86" s="2"/>
      <c r="F86" s="7">
        <f t="shared" si="13"/>
        <v>1.2720261717712573E-2</v>
      </c>
      <c r="G86" s="2"/>
      <c r="H86" s="6">
        <v>4968.8461538461497</v>
      </c>
      <c r="I86" s="2"/>
      <c r="J86" s="7">
        <f t="shared" si="14"/>
        <v>1.817526987159555E-2</v>
      </c>
      <c r="K86" s="2"/>
      <c r="L86" s="6">
        <f t="shared" si="15"/>
        <v>-2144.8961538461499</v>
      </c>
      <c r="M86" s="2"/>
      <c r="N86" s="7">
        <f t="shared" si="16"/>
        <v>-0.43166885981887099</v>
      </c>
      <c r="O86" s="11"/>
      <c r="P86" s="6">
        <v>34772.75</v>
      </c>
      <c r="Q86" s="2"/>
      <c r="R86" s="7">
        <f t="shared" si="17"/>
        <v>1.5433217314927628E-2</v>
      </c>
      <c r="S86" s="2"/>
      <c r="T86" s="6">
        <v>60240</v>
      </c>
      <c r="U86" s="2"/>
      <c r="V86" s="7">
        <f t="shared" si="18"/>
        <v>1.7139199089551176E-2</v>
      </c>
      <c r="W86" s="2"/>
      <c r="X86" s="6">
        <f t="shared" si="19"/>
        <v>-25467.25</v>
      </c>
      <c r="Y86" s="2"/>
      <c r="Z86" s="7">
        <f t="shared" si="20"/>
        <v>-0.42276311420982737</v>
      </c>
    </row>
    <row r="87" spans="1:26" s="24" customFormat="1" hidden="1" outlineLevel="2" x14ac:dyDescent="0.25">
      <c r="A87" s="26"/>
      <c r="B87" s="11" t="str">
        <f>CONCATENATE("          ", "6114", " - ", "STATE UNEMPLOYMENT INSURANCE")</f>
        <v xml:space="preserve">          6114 - STATE UNEMPLOYMENT INSURANCE</v>
      </c>
      <c r="C87" s="11"/>
      <c r="D87" s="6">
        <v>115.2</v>
      </c>
      <c r="E87" s="2"/>
      <c r="F87" s="7">
        <f t="shared" si="13"/>
        <v>5.1890938220594865E-4</v>
      </c>
      <c r="G87" s="2"/>
      <c r="H87" s="6">
        <v>133.23873800000001</v>
      </c>
      <c r="I87" s="2"/>
      <c r="J87" s="7">
        <f t="shared" si="14"/>
        <v>4.8736667337271618E-4</v>
      </c>
      <c r="K87" s="2"/>
      <c r="L87" s="6">
        <f t="shared" si="15"/>
        <v>-18.038738000000009</v>
      </c>
      <c r="M87" s="2"/>
      <c r="N87" s="7">
        <f t="shared" si="16"/>
        <v>-0.13538658704497791</v>
      </c>
      <c r="O87" s="11"/>
      <c r="P87" s="6">
        <v>1161.82</v>
      </c>
      <c r="Q87" s="2"/>
      <c r="R87" s="7">
        <f t="shared" si="17"/>
        <v>5.1565149551960126E-4</v>
      </c>
      <c r="S87" s="2"/>
      <c r="T87" s="6">
        <v>1835.070328</v>
      </c>
      <c r="U87" s="2"/>
      <c r="V87" s="7">
        <f t="shared" si="18"/>
        <v>5.2210550622377126E-4</v>
      </c>
      <c r="W87" s="2"/>
      <c r="X87" s="6">
        <f t="shared" si="19"/>
        <v>-673.25032800000008</v>
      </c>
      <c r="Y87" s="2"/>
      <c r="Z87" s="7">
        <f t="shared" si="20"/>
        <v>-0.3668798507214488</v>
      </c>
    </row>
    <row r="88" spans="1:26" s="24" customFormat="1" hidden="1" outlineLevel="2" x14ac:dyDescent="0.25">
      <c r="A88" s="26"/>
      <c r="B88" s="11" t="str">
        <f>CONCATENATE("          ", "6115", " - ", "P.E.R.S.")</f>
        <v xml:space="preserve">          6115 - P.E.R.S.</v>
      </c>
      <c r="C88" s="11"/>
      <c r="D88" s="6">
        <v>1982.96</v>
      </c>
      <c r="E88" s="2"/>
      <c r="F88" s="7">
        <f t="shared" si="13"/>
        <v>8.9320880949575344E-3</v>
      </c>
      <c r="G88" s="2"/>
      <c r="H88" s="6">
        <v>1169.9731076923099</v>
      </c>
      <c r="I88" s="2"/>
      <c r="J88" s="7">
        <f t="shared" si="14"/>
        <v>4.2795804732970351E-3</v>
      </c>
      <c r="K88" s="2"/>
      <c r="L88" s="6">
        <f t="shared" si="15"/>
        <v>812.98689230769014</v>
      </c>
      <c r="M88" s="2"/>
      <c r="N88" s="7">
        <f t="shared" si="16"/>
        <v>0.69487656336926407</v>
      </c>
      <c r="O88" s="11"/>
      <c r="P88" s="6">
        <v>19687.45</v>
      </c>
      <c r="Q88" s="2"/>
      <c r="R88" s="7">
        <f t="shared" si="17"/>
        <v>8.7378966065891229E-3</v>
      </c>
      <c r="S88" s="2"/>
      <c r="T88" s="6">
        <v>15023.6152</v>
      </c>
      <c r="U88" s="2"/>
      <c r="V88" s="7">
        <f t="shared" si="18"/>
        <v>4.2744477416601463E-3</v>
      </c>
      <c r="W88" s="2"/>
      <c r="X88" s="6">
        <f t="shared" si="19"/>
        <v>4663.8348000000005</v>
      </c>
      <c r="Y88" s="2"/>
      <c r="Z88" s="7">
        <f t="shared" si="20"/>
        <v>0.31043358991249992</v>
      </c>
    </row>
    <row r="89" spans="1:26" s="24" customFormat="1" hidden="1" outlineLevel="2" x14ac:dyDescent="0.25">
      <c r="A89" s="26"/>
      <c r="B89" s="11" t="str">
        <f>CONCATENATE("          ", "6116", " - ", "EDUCATIONAL BENEFITS")</f>
        <v xml:space="preserve">          6116 - EDUCATIONAL BENEFITS</v>
      </c>
      <c r="C89" s="11"/>
      <c r="D89" s="6"/>
      <c r="E89" s="2"/>
      <c r="F89" s="7">
        <f t="shared" si="13"/>
        <v>0</v>
      </c>
      <c r="G89" s="2"/>
      <c r="H89" s="6">
        <v>0</v>
      </c>
      <c r="I89" s="2"/>
      <c r="J89" s="7">
        <f t="shared" si="14"/>
        <v>0</v>
      </c>
      <c r="K89" s="2"/>
      <c r="L89" s="6">
        <f t="shared" si="15"/>
        <v>0</v>
      </c>
      <c r="M89" s="2"/>
      <c r="N89" s="7">
        <f t="shared" si="16"/>
        <v>0</v>
      </c>
      <c r="O89" s="11"/>
      <c r="P89" s="6"/>
      <c r="Q89" s="2"/>
      <c r="R89" s="7">
        <f t="shared" si="17"/>
        <v>0</v>
      </c>
      <c r="S89" s="2"/>
      <c r="T89" s="6">
        <v>0</v>
      </c>
      <c r="U89" s="2"/>
      <c r="V89" s="7">
        <f t="shared" si="18"/>
        <v>0</v>
      </c>
      <c r="W89" s="2"/>
      <c r="X89" s="6">
        <f t="shared" si="19"/>
        <v>0</v>
      </c>
      <c r="Y89" s="2"/>
      <c r="Z89" s="7">
        <f t="shared" si="20"/>
        <v>0</v>
      </c>
    </row>
    <row r="90" spans="1:26" s="24" customFormat="1" hidden="1" outlineLevel="2" x14ac:dyDescent="0.25">
      <c r="A90" s="26"/>
      <c r="B90" s="11" t="str">
        <f>CONCATENATE("          ", "6118", " - ", "VACATION")</f>
        <v xml:space="preserve">          6118 - VACATION</v>
      </c>
      <c r="C90" s="11"/>
      <c r="D90" s="6">
        <v>969.54</v>
      </c>
      <c r="E90" s="2"/>
      <c r="F90" s="7">
        <f t="shared" si="13"/>
        <v>4.3672170349301686E-3</v>
      </c>
      <c r="G90" s="2"/>
      <c r="H90" s="6">
        <v>877.97692307692296</v>
      </c>
      <c r="I90" s="2"/>
      <c r="J90" s="7">
        <f t="shared" si="14"/>
        <v>3.2115036416662324E-3</v>
      </c>
      <c r="K90" s="2"/>
      <c r="L90" s="6">
        <f t="shared" si="15"/>
        <v>91.563076923077006</v>
      </c>
      <c r="M90" s="2"/>
      <c r="N90" s="7">
        <f t="shared" si="16"/>
        <v>0.10428870567826395</v>
      </c>
      <c r="O90" s="11"/>
      <c r="P90" s="6">
        <v>15189.06</v>
      </c>
      <c r="Q90" s="2"/>
      <c r="R90" s="7">
        <f t="shared" si="17"/>
        <v>6.7413725917413675E-3</v>
      </c>
      <c r="S90" s="2"/>
      <c r="T90" s="6">
        <v>11268.1</v>
      </c>
      <c r="U90" s="2"/>
      <c r="V90" s="7">
        <f t="shared" si="18"/>
        <v>3.205946368874031E-3</v>
      </c>
      <c r="W90" s="2"/>
      <c r="X90" s="6">
        <f t="shared" si="19"/>
        <v>3920.9599999999991</v>
      </c>
      <c r="Y90" s="2"/>
      <c r="Z90" s="7">
        <f t="shared" si="20"/>
        <v>0.34796993281919747</v>
      </c>
    </row>
    <row r="91" spans="1:26" s="24" customFormat="1" hidden="1" outlineLevel="2" x14ac:dyDescent="0.25">
      <c r="A91" s="26"/>
      <c r="B91" s="11" t="str">
        <f>CONCATENATE("          ", "6119", " - ", "SICK LEAVE")</f>
        <v xml:space="preserve">          6119 - SICK LEAVE</v>
      </c>
      <c r="C91" s="11"/>
      <c r="D91" s="6">
        <v>889.58</v>
      </c>
      <c r="E91" s="2"/>
      <c r="F91" s="7">
        <f t="shared" si="13"/>
        <v>4.0070434741559706E-3</v>
      </c>
      <c r="G91" s="2"/>
      <c r="H91" s="6">
        <v>1296.4142230769201</v>
      </c>
      <c r="I91" s="2"/>
      <c r="J91" s="7">
        <f t="shared" si="14"/>
        <v>4.7420824956633323E-3</v>
      </c>
      <c r="K91" s="2"/>
      <c r="L91" s="6">
        <f t="shared" si="15"/>
        <v>-406.83422307692001</v>
      </c>
      <c r="M91" s="2"/>
      <c r="N91" s="7">
        <f t="shared" si="16"/>
        <v>-0.31381499511115851</v>
      </c>
      <c r="O91" s="11"/>
      <c r="P91" s="6">
        <v>10906.32</v>
      </c>
      <c r="Q91" s="2"/>
      <c r="R91" s="7">
        <f t="shared" si="17"/>
        <v>4.8405606880715926E-3</v>
      </c>
      <c r="S91" s="2"/>
      <c r="T91" s="6">
        <v>17117.486799999999</v>
      </c>
      <c r="U91" s="2"/>
      <c r="V91" s="7">
        <f t="shared" si="18"/>
        <v>4.8701861583327405E-3</v>
      </c>
      <c r="W91" s="2"/>
      <c r="X91" s="6">
        <f t="shared" si="19"/>
        <v>-6211.1667999999991</v>
      </c>
      <c r="Y91" s="2"/>
      <c r="Z91" s="7">
        <f t="shared" si="20"/>
        <v>-0.3628550658499704</v>
      </c>
    </row>
    <row r="92" spans="1:26" s="24" customFormat="1" hidden="1" outlineLevel="2" x14ac:dyDescent="0.25">
      <c r="A92" s="26"/>
      <c r="B92" s="11" t="str">
        <f>CONCATENATE("          ", "6156", " - ", "EMPLOYEE MEALS")</f>
        <v xml:space="preserve">          6156 - EMPLOYEE MEALS</v>
      </c>
      <c r="C92" s="11"/>
      <c r="D92" s="6">
        <v>312.27999999999997</v>
      </c>
      <c r="E92" s="2"/>
      <c r="F92" s="7">
        <f t="shared" si="13"/>
        <v>1.4066408148895278E-3</v>
      </c>
      <c r="G92" s="2"/>
      <c r="H92" s="6">
        <v>700</v>
      </c>
      <c r="I92" s="2"/>
      <c r="J92" s="7">
        <f t="shared" si="14"/>
        <v>2.5604916143899628E-3</v>
      </c>
      <c r="K92" s="2"/>
      <c r="L92" s="6">
        <f t="shared" si="15"/>
        <v>-387.72</v>
      </c>
      <c r="M92" s="2"/>
      <c r="N92" s="7">
        <f t="shared" si="16"/>
        <v>-0.55388571428571431</v>
      </c>
      <c r="O92" s="11"/>
      <c r="P92" s="6">
        <v>3908.96</v>
      </c>
      <c r="Q92" s="2"/>
      <c r="R92" s="7">
        <f t="shared" si="17"/>
        <v>1.7349168287052218E-3</v>
      </c>
      <c r="S92" s="2"/>
      <c r="T92" s="6">
        <v>8400</v>
      </c>
      <c r="U92" s="2"/>
      <c r="V92" s="7">
        <f t="shared" si="18"/>
        <v>2.3899281598975747E-3</v>
      </c>
      <c r="W92" s="2"/>
      <c r="X92" s="6">
        <f t="shared" si="19"/>
        <v>-4491.04</v>
      </c>
      <c r="Y92" s="2"/>
      <c r="Z92" s="7">
        <f t="shared" si="20"/>
        <v>-0.53464761904761904</v>
      </c>
    </row>
    <row r="93" spans="1:26" s="27" customFormat="1" outlineLevel="1" collapsed="1" x14ac:dyDescent="0.25">
      <c r="A93" s="25"/>
      <c r="B93" s="13" t="str">
        <f>CONCATENATE("     ","*Payroll                                          ")</f>
        <v xml:space="preserve">     *Payroll                                          </v>
      </c>
      <c r="C93" s="13"/>
      <c r="D93" s="1">
        <f>SUM(OSRRefD22_1x_0)</f>
        <v>40971.75</v>
      </c>
      <c r="E93" s="1"/>
      <c r="F93" s="5">
        <f t="shared" ref="F93:F103" si="21">IF(D$12=0,0,D93/D$12)</f>
        <v>0.1845540406284425</v>
      </c>
      <c r="G93" s="1"/>
      <c r="H93" s="1">
        <f>SUM(OSRRefH22_1x_0)</f>
        <v>49387.744615384596</v>
      </c>
      <c r="I93" s="1"/>
      <c r="J93" s="5">
        <f t="shared" ref="J93:J103" si="22">IF(H$12=0,0,H93/H$12)</f>
        <v>0.18065272277332187</v>
      </c>
      <c r="K93" s="1"/>
      <c r="L93" s="1">
        <f t="shared" ref="L93:L103" si="23">+D93-H93</f>
        <v>-8415.9946153845958</v>
      </c>
      <c r="M93" s="1"/>
      <c r="N93" s="5">
        <f t="shared" ref="N93:N103" si="24">IF(H93=0,0,L93/H93)</f>
        <v>-0.17040653872586359</v>
      </c>
      <c r="O93" s="13"/>
      <c r="P93" s="1">
        <f>SUM(OSRRefP22_1x_0)</f>
        <v>380754.49</v>
      </c>
      <c r="Q93" s="1"/>
      <c r="R93" s="5">
        <f t="shared" ref="R93:R103" si="25">IF(P$12=0,0,P93/P$12)</f>
        <v>0.16899056841361232</v>
      </c>
      <c r="S93" s="1"/>
      <c r="T93" s="1">
        <f>SUM(OSRRefT22_1x_0)</f>
        <v>681953.77500000002</v>
      </c>
      <c r="U93" s="1"/>
      <c r="V93" s="5">
        <f t="shared" ref="V93:V103" si="26">IF(T$12=0,0,T93/T$12)</f>
        <v>0.19402625364535173</v>
      </c>
      <c r="W93" s="1"/>
      <c r="X93" s="1">
        <f t="shared" ref="X93:X103" si="27">+P93-T93</f>
        <v>-301199.28500000003</v>
      </c>
      <c r="Y93" s="1"/>
      <c r="Z93" s="5">
        <f t="shared" ref="Z93:Z103" si="28">IF(T93=0,0,X93/T93)</f>
        <v>-0.441671116198455</v>
      </c>
    </row>
    <row r="94" spans="1:26" s="24" customFormat="1" hidden="1" outlineLevel="2" x14ac:dyDescent="0.25">
      <c r="A94" s="26"/>
      <c r="B94" s="11" t="str">
        <f>CONCATENATE("          ", "6001", " - ", "ADMINISTRATIVE SALARIES")</f>
        <v xml:space="preserve">          6001 - ADMINISTRATIVE SALARIES</v>
      </c>
      <c r="C94" s="11"/>
      <c r="D94" s="6"/>
      <c r="E94" s="2"/>
      <c r="F94" s="7">
        <f t="shared" si="21"/>
        <v>0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0</v>
      </c>
      <c r="M94" s="2"/>
      <c r="N94" s="7">
        <f t="shared" si="24"/>
        <v>0</v>
      </c>
      <c r="O94" s="11"/>
      <c r="P94" s="6"/>
      <c r="Q94" s="2"/>
      <c r="R94" s="7">
        <f t="shared" si="25"/>
        <v>0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0</v>
      </c>
      <c r="Y94" s="2"/>
      <c r="Z94" s="7">
        <f t="shared" si="28"/>
        <v>0</v>
      </c>
    </row>
    <row r="95" spans="1:26" s="24" customFormat="1" hidden="1" outlineLevel="2" x14ac:dyDescent="0.25">
      <c r="A95" s="26"/>
      <c r="B95" s="11" t="str">
        <f>CONCATENATE("          ", "6002", " - ", "STAFF SALARIES")</f>
        <v xml:space="preserve">          6002 - STAFF SALARIES</v>
      </c>
      <c r="C95" s="11"/>
      <c r="D95" s="6">
        <v>11054.49</v>
      </c>
      <c r="E95" s="2"/>
      <c r="F95" s="7">
        <f t="shared" si="21"/>
        <v>4.9794084865467332E-2</v>
      </c>
      <c r="G95" s="2"/>
      <c r="H95" s="6">
        <v>12243.904615384599</v>
      </c>
      <c r="I95" s="2"/>
      <c r="J95" s="7">
        <f t="shared" si="22"/>
        <v>4.4786307278689756E-2</v>
      </c>
      <c r="K95" s="2"/>
      <c r="L95" s="6">
        <f t="shared" si="23"/>
        <v>-1189.4146153845995</v>
      </c>
      <c r="M95" s="2"/>
      <c r="N95" s="7">
        <f t="shared" si="24"/>
        <v>-9.7143407495194553E-2</v>
      </c>
      <c r="O95" s="11"/>
      <c r="P95" s="6">
        <v>166401.07</v>
      </c>
      <c r="Q95" s="2"/>
      <c r="R95" s="7">
        <f t="shared" si="25"/>
        <v>7.3853919369232648E-2</v>
      </c>
      <c r="S95" s="2"/>
      <c r="T95" s="6">
        <v>157223.88</v>
      </c>
      <c r="U95" s="2"/>
      <c r="V95" s="7">
        <f t="shared" si="26"/>
        <v>4.4732592645280601E-2</v>
      </c>
      <c r="W95" s="2"/>
      <c r="X95" s="6">
        <f t="shared" si="27"/>
        <v>9177.1900000000023</v>
      </c>
      <c r="Y95" s="2"/>
      <c r="Z95" s="7">
        <f t="shared" si="28"/>
        <v>5.8370204322651255E-2</v>
      </c>
    </row>
    <row r="96" spans="1:26" s="24" customFormat="1" hidden="1" outlineLevel="2" x14ac:dyDescent="0.25">
      <c r="A96" s="26"/>
      <c r="B96" s="11" t="str">
        <f>CONCATENATE("          ", "6003", " - ", "STAFF HOURLY-9 MONTH")</f>
        <v xml:space="preserve">          6003 - STAFF HOURLY-9 MONTH</v>
      </c>
      <c r="C96" s="11"/>
      <c r="D96" s="6"/>
      <c r="E96" s="2"/>
      <c r="F96" s="7">
        <f t="shared" si="21"/>
        <v>0</v>
      </c>
      <c r="G96" s="2"/>
      <c r="H96" s="6">
        <v>0</v>
      </c>
      <c r="I96" s="2"/>
      <c r="J96" s="7">
        <f t="shared" si="22"/>
        <v>0</v>
      </c>
      <c r="K96" s="2"/>
      <c r="L96" s="6">
        <f t="shared" si="23"/>
        <v>0</v>
      </c>
      <c r="M96" s="2"/>
      <c r="N96" s="7">
        <f t="shared" si="24"/>
        <v>0</v>
      </c>
      <c r="O96" s="11"/>
      <c r="P96" s="6"/>
      <c r="Q96" s="2"/>
      <c r="R96" s="7">
        <f t="shared" si="25"/>
        <v>0</v>
      </c>
      <c r="S96" s="2"/>
      <c r="T96" s="6">
        <v>0</v>
      </c>
      <c r="U96" s="2"/>
      <c r="V96" s="7">
        <f t="shared" si="26"/>
        <v>0</v>
      </c>
      <c r="W96" s="2"/>
      <c r="X96" s="6">
        <f t="shared" si="27"/>
        <v>0</v>
      </c>
      <c r="Y96" s="2"/>
      <c r="Z96" s="7">
        <f t="shared" si="28"/>
        <v>0</v>
      </c>
    </row>
    <row r="97" spans="1:26" s="24" customFormat="1" hidden="1" outlineLevel="2" x14ac:dyDescent="0.25">
      <c r="A97" s="26"/>
      <c r="B97" s="11" t="str">
        <f>CONCATENATE("          ", "6004", " - ", "STAFF HOURLY")</f>
        <v xml:space="preserve">          6004 - STAFF HOURLY</v>
      </c>
      <c r="C97" s="11"/>
      <c r="D97" s="6">
        <v>6874.82</v>
      </c>
      <c r="E97" s="2"/>
      <c r="F97" s="7">
        <f t="shared" si="21"/>
        <v>3.0967088532787321E-2</v>
      </c>
      <c r="G97" s="2"/>
      <c r="H97" s="6">
        <v>5497.11</v>
      </c>
      <c r="I97" s="2"/>
      <c r="J97" s="7">
        <f t="shared" si="22"/>
        <v>2.0107577226256012E-2</v>
      </c>
      <c r="K97" s="2"/>
      <c r="L97" s="6">
        <f t="shared" si="23"/>
        <v>1377.71</v>
      </c>
      <c r="M97" s="2"/>
      <c r="N97" s="7">
        <f t="shared" si="24"/>
        <v>0.2506244190128995</v>
      </c>
      <c r="O97" s="11"/>
      <c r="P97" s="6">
        <v>65430.879999999997</v>
      </c>
      <c r="Q97" s="2"/>
      <c r="R97" s="7">
        <f t="shared" si="25"/>
        <v>2.9040239559625047E-2</v>
      </c>
      <c r="S97" s="2"/>
      <c r="T97" s="6">
        <v>70421.714999999997</v>
      </c>
      <c r="U97" s="2"/>
      <c r="V97" s="7">
        <f t="shared" si="26"/>
        <v>2.0036052350807312E-2</v>
      </c>
      <c r="W97" s="2"/>
      <c r="X97" s="6">
        <f t="shared" si="27"/>
        <v>-4990.8349999999991</v>
      </c>
      <c r="Y97" s="2"/>
      <c r="Z97" s="7">
        <f t="shared" si="28"/>
        <v>-7.0870682430838258E-2</v>
      </c>
    </row>
    <row r="98" spans="1:26" s="24" customFormat="1" hidden="1" outlineLevel="2" x14ac:dyDescent="0.25">
      <c r="A98" s="26"/>
      <c r="B98" s="11" t="str">
        <f>CONCATENATE("          ", "6005", " - ", "TEMPORARY WAGES-HOURLY")</f>
        <v xml:space="preserve">          6005 - TEMPORARY WAGES-HOURLY</v>
      </c>
      <c r="C98" s="11"/>
      <c r="D98" s="6">
        <v>1611.71</v>
      </c>
      <c r="E98" s="2"/>
      <c r="F98" s="7">
        <f t="shared" si="21"/>
        <v>7.2598215312078941E-3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1611.71</v>
      </c>
      <c r="M98" s="2"/>
      <c r="N98" s="7">
        <f t="shared" si="24"/>
        <v>0</v>
      </c>
      <c r="O98" s="11"/>
      <c r="P98" s="6">
        <v>45510.86</v>
      </c>
      <c r="Q98" s="2"/>
      <c r="R98" s="7">
        <f t="shared" si="25"/>
        <v>2.0199121224788008E-2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45510.86</v>
      </c>
      <c r="Y98" s="2"/>
      <c r="Z98" s="7">
        <f t="shared" si="28"/>
        <v>0</v>
      </c>
    </row>
    <row r="99" spans="1:26" s="24" customFormat="1" hidden="1" outlineLevel="2" x14ac:dyDescent="0.25">
      <c r="A99" s="26"/>
      <c r="B99" s="11" t="str">
        <f>CONCATENATE("          ", "6006", " - ", "TEMPORARY PART TIME")</f>
        <v xml:space="preserve">          6006 - TEMPORARY PART TIME</v>
      </c>
      <c r="C99" s="11"/>
      <c r="D99" s="6">
        <v>306.3</v>
      </c>
      <c r="E99" s="2"/>
      <c r="F99" s="7">
        <f t="shared" si="21"/>
        <v>1.3797043730007124E-3</v>
      </c>
      <c r="G99" s="2"/>
      <c r="H99" s="6">
        <v>0</v>
      </c>
      <c r="I99" s="2"/>
      <c r="J99" s="7">
        <f t="shared" si="22"/>
        <v>0</v>
      </c>
      <c r="K99" s="2"/>
      <c r="L99" s="6">
        <f t="shared" si="23"/>
        <v>306.3</v>
      </c>
      <c r="M99" s="2"/>
      <c r="N99" s="7">
        <f t="shared" si="24"/>
        <v>0</v>
      </c>
      <c r="O99" s="11"/>
      <c r="P99" s="6">
        <v>5887.94</v>
      </c>
      <c r="Q99" s="2"/>
      <c r="R99" s="7">
        <f t="shared" si="25"/>
        <v>2.6132490975621708E-3</v>
      </c>
      <c r="S99" s="2"/>
      <c r="T99" s="6">
        <v>0</v>
      </c>
      <c r="U99" s="2"/>
      <c r="V99" s="7">
        <f t="shared" si="26"/>
        <v>0</v>
      </c>
      <c r="W99" s="2"/>
      <c r="X99" s="6">
        <f t="shared" si="27"/>
        <v>5887.94</v>
      </c>
      <c r="Y99" s="2"/>
      <c r="Z99" s="7">
        <f t="shared" si="28"/>
        <v>0</v>
      </c>
    </row>
    <row r="100" spans="1:26" s="24" customFormat="1" hidden="1" outlineLevel="2" x14ac:dyDescent="0.25">
      <c r="A100" s="26"/>
      <c r="B100" s="11" t="str">
        <f>CONCATENATE("          ", "6007", " - ", "STUDENT HOURLY")</f>
        <v xml:space="preserve">          6007 - STUDENT HOURLY</v>
      </c>
      <c r="C100" s="11"/>
      <c r="D100" s="6">
        <v>15226.82</v>
      </c>
      <c r="E100" s="2"/>
      <c r="F100" s="7">
        <f t="shared" si="21"/>
        <v>6.8588018742718596E-2</v>
      </c>
      <c r="G100" s="2"/>
      <c r="H100" s="6">
        <v>31646.73</v>
      </c>
      <c r="I100" s="2"/>
      <c r="J100" s="7">
        <f t="shared" si="22"/>
        <v>0.1157588382683761</v>
      </c>
      <c r="K100" s="2"/>
      <c r="L100" s="6">
        <f t="shared" si="23"/>
        <v>-16419.91</v>
      </c>
      <c r="M100" s="2"/>
      <c r="N100" s="7">
        <f t="shared" si="24"/>
        <v>-0.5188501308034037</v>
      </c>
      <c r="O100" s="11"/>
      <c r="P100" s="6">
        <v>82249.47</v>
      </c>
      <c r="Q100" s="2"/>
      <c r="R100" s="7">
        <f t="shared" si="25"/>
        <v>3.6504847748527816E-2</v>
      </c>
      <c r="S100" s="2"/>
      <c r="T100" s="6">
        <v>100423.23</v>
      </c>
      <c r="U100" s="2"/>
      <c r="V100" s="7">
        <f t="shared" si="26"/>
        <v>2.8571941105341774E-2</v>
      </c>
      <c r="W100" s="2"/>
      <c r="X100" s="6">
        <f t="shared" si="27"/>
        <v>-18173.759999999995</v>
      </c>
      <c r="Y100" s="2"/>
      <c r="Z100" s="7">
        <f t="shared" si="28"/>
        <v>-0.18097167358588243</v>
      </c>
    </row>
    <row r="101" spans="1:26" s="24" customFormat="1" hidden="1" outlineLevel="2" x14ac:dyDescent="0.25">
      <c r="A101" s="26"/>
      <c r="B101" s="11" t="str">
        <f>CONCATENATE("          ", "6008", " - ", "STUDENT HOURLY-FICA EXEMPT")</f>
        <v xml:space="preserve">          6008 - STUDENT HOURLY-FICA EXEMPT</v>
      </c>
      <c r="C101" s="11"/>
      <c r="D101" s="6">
        <v>5897.61</v>
      </c>
      <c r="E101" s="2"/>
      <c r="F101" s="7">
        <f t="shared" si="21"/>
        <v>2.656532258326063E-2</v>
      </c>
      <c r="G101" s="2"/>
      <c r="H101" s="6">
        <v>0</v>
      </c>
      <c r="I101" s="2"/>
      <c r="J101" s="7">
        <f t="shared" si="22"/>
        <v>0</v>
      </c>
      <c r="K101" s="2"/>
      <c r="L101" s="6">
        <f t="shared" si="23"/>
        <v>5897.61</v>
      </c>
      <c r="M101" s="2"/>
      <c r="N101" s="7">
        <f t="shared" si="24"/>
        <v>0</v>
      </c>
      <c r="O101" s="11"/>
      <c r="P101" s="6">
        <v>15274.27</v>
      </c>
      <c r="Q101" s="2"/>
      <c r="R101" s="7">
        <f t="shared" si="25"/>
        <v>6.7791914138766599E-3</v>
      </c>
      <c r="S101" s="2"/>
      <c r="T101" s="6">
        <v>353884.95</v>
      </c>
      <c r="U101" s="2"/>
      <c r="V101" s="7">
        <f t="shared" si="26"/>
        <v>0.10068566754392205</v>
      </c>
      <c r="W101" s="2"/>
      <c r="X101" s="6">
        <f t="shared" si="27"/>
        <v>-338610.68</v>
      </c>
      <c r="Y101" s="2"/>
      <c r="Z101" s="7">
        <f t="shared" si="28"/>
        <v>-0.95683831708582123</v>
      </c>
    </row>
    <row r="102" spans="1:26" s="24" customFormat="1" hidden="1" outlineLevel="2" x14ac:dyDescent="0.25">
      <c r="A102" s="26"/>
      <c r="B102" s="11" t="str">
        <f>CONCATENATE("          ", "6009", " - ", "TEMPORARY-SEASONAL")</f>
        <v xml:space="preserve">          6009 - TEMPORARY-SEASONAL</v>
      </c>
      <c r="C102" s="11"/>
      <c r="D102" s="6"/>
      <c r="E102" s="2"/>
      <c r="F102" s="7">
        <f t="shared" si="21"/>
        <v>0</v>
      </c>
      <c r="G102" s="2"/>
      <c r="H102" s="6">
        <v>0</v>
      </c>
      <c r="I102" s="2"/>
      <c r="J102" s="7">
        <f t="shared" si="22"/>
        <v>0</v>
      </c>
      <c r="K102" s="2"/>
      <c r="L102" s="6">
        <f t="shared" si="23"/>
        <v>0</v>
      </c>
      <c r="M102" s="2"/>
      <c r="N102" s="7">
        <f t="shared" si="24"/>
        <v>0</v>
      </c>
      <c r="O102" s="11"/>
      <c r="P102" s="6"/>
      <c r="Q102" s="2"/>
      <c r="R102" s="7">
        <f t="shared" si="25"/>
        <v>0</v>
      </c>
      <c r="S102" s="2"/>
      <c r="T102" s="6">
        <v>0</v>
      </c>
      <c r="U102" s="2"/>
      <c r="V102" s="7">
        <f t="shared" si="26"/>
        <v>0</v>
      </c>
      <c r="W102" s="2"/>
      <c r="X102" s="6">
        <f t="shared" si="27"/>
        <v>0</v>
      </c>
      <c r="Y102" s="2"/>
      <c r="Z102" s="7">
        <f t="shared" si="28"/>
        <v>0</v>
      </c>
    </row>
    <row r="103" spans="1:26" s="24" customFormat="1" hidden="1" outlineLevel="2" x14ac:dyDescent="0.25">
      <c r="A103" s="26"/>
      <c r="B103" s="11" t="str">
        <f>CONCATENATE("          ", "6010", " - ", "GRATUITY")</f>
        <v xml:space="preserve">          6010 - GRATUITY</v>
      </c>
      <c r="C103" s="11"/>
      <c r="D103" s="6"/>
      <c r="E103" s="2"/>
      <c r="F103" s="7">
        <f t="shared" si="21"/>
        <v>0</v>
      </c>
      <c r="G103" s="2"/>
      <c r="H103" s="6">
        <v>0</v>
      </c>
      <c r="I103" s="2"/>
      <c r="J103" s="7">
        <f t="shared" si="22"/>
        <v>0</v>
      </c>
      <c r="K103" s="2"/>
      <c r="L103" s="6">
        <f t="shared" si="23"/>
        <v>0</v>
      </c>
      <c r="M103" s="2"/>
      <c r="N103" s="7">
        <f t="shared" si="24"/>
        <v>0</v>
      </c>
      <c r="O103" s="11"/>
      <c r="P103" s="6"/>
      <c r="Q103" s="2"/>
      <c r="R103" s="7">
        <f t="shared" si="25"/>
        <v>0</v>
      </c>
      <c r="S103" s="2"/>
      <c r="T103" s="6">
        <v>0</v>
      </c>
      <c r="U103" s="2"/>
      <c r="V103" s="7">
        <f t="shared" si="26"/>
        <v>0</v>
      </c>
      <c r="W103" s="2"/>
      <c r="X103" s="6">
        <f t="shared" si="27"/>
        <v>0</v>
      </c>
      <c r="Y103" s="2"/>
      <c r="Z103" s="7">
        <f t="shared" si="28"/>
        <v>0</v>
      </c>
    </row>
    <row r="104" spans="1:26" s="27" customFormat="1" outlineLevel="1" collapsed="1" x14ac:dyDescent="0.25">
      <c r="A104" s="25"/>
      <c r="B104" s="13" t="str">
        <f>CONCATENATE("     ","Advertising/Promo                                 ")</f>
        <v xml:space="preserve">     Advertising/Promo                                 </v>
      </c>
      <c r="C104" s="13"/>
      <c r="D104" s="1">
        <f>SUM(OSRRefD22_2x_0)</f>
        <v>1103.3399999999999</v>
      </c>
      <c r="E104" s="1"/>
      <c r="F104" s="5">
        <f t="shared" ref="F104:F112" si="29">IF(D$12=0,0,D104/D$12)</f>
        <v>4.9699086611381185E-3</v>
      </c>
      <c r="G104" s="1"/>
      <c r="H104" s="1">
        <f>SUM(OSRRefH22_2x_0)</f>
        <v>580</v>
      </c>
      <c r="I104" s="1"/>
      <c r="J104" s="5">
        <f t="shared" ref="J104:J112" si="30">IF(H$12=0,0,H104/H$12)</f>
        <v>2.1215501947802551E-3</v>
      </c>
      <c r="K104" s="1"/>
      <c r="L104" s="1">
        <f t="shared" ref="L104:L112" si="31">+D104-H104</f>
        <v>523.33999999999992</v>
      </c>
      <c r="M104" s="1"/>
      <c r="N104" s="5">
        <f t="shared" ref="N104:N112" si="32">IF(H104=0,0,L104/H104)</f>
        <v>0.9023103448275861</v>
      </c>
      <c r="O104" s="13"/>
      <c r="P104" s="1">
        <f>SUM(OSRRefP22_2x_0)</f>
        <v>14201.95</v>
      </c>
      <c r="Q104" s="1"/>
      <c r="R104" s="5">
        <f t="shared" ref="R104:R112" si="33">IF(P$12=0,0,P104/P$12)</f>
        <v>6.3032627746076007E-3</v>
      </c>
      <c r="S104" s="1"/>
      <c r="T104" s="1">
        <f>SUM(OSRRefT22_2x_0)</f>
        <v>9960</v>
      </c>
      <c r="U104" s="1"/>
      <c r="V104" s="5">
        <f t="shared" ref="V104:V112" si="34">IF(T$12=0,0,T104/T$12)</f>
        <v>2.8337719610214097E-3</v>
      </c>
      <c r="W104" s="1"/>
      <c r="X104" s="1">
        <f t="shared" ref="X104:X112" si="35">+P104-T104</f>
        <v>4241.9500000000007</v>
      </c>
      <c r="Y104" s="1"/>
      <c r="Z104" s="5">
        <f t="shared" ref="Z104:Z112" si="36">IF(T104=0,0,X104/T104)</f>
        <v>0.4258985943775101</v>
      </c>
    </row>
    <row r="105" spans="1:26" s="24" customFormat="1" hidden="1" outlineLevel="2" x14ac:dyDescent="0.25">
      <c r="A105" s="26"/>
      <c r="B105" s="11" t="str">
        <f>CONCATENATE("          ", "6362", " - ", "ADVERTISING EXPENSE")</f>
        <v xml:space="preserve">          6362 - ADVERTISING EXPENSE</v>
      </c>
      <c r="C105" s="11"/>
      <c r="D105" s="6">
        <v>1103.3399999999999</v>
      </c>
      <c r="E105" s="2"/>
      <c r="F105" s="7">
        <f t="shared" si="29"/>
        <v>4.9699086611381185E-3</v>
      </c>
      <c r="G105" s="2"/>
      <c r="H105" s="6">
        <v>580</v>
      </c>
      <c r="I105" s="2"/>
      <c r="J105" s="7">
        <f t="shared" si="30"/>
        <v>2.1215501947802551E-3</v>
      </c>
      <c r="K105" s="2"/>
      <c r="L105" s="6">
        <f t="shared" si="31"/>
        <v>523.33999999999992</v>
      </c>
      <c r="M105" s="2"/>
      <c r="N105" s="7">
        <f t="shared" si="32"/>
        <v>0.9023103448275861</v>
      </c>
      <c r="O105" s="11"/>
      <c r="P105" s="6">
        <v>14201.95</v>
      </c>
      <c r="Q105" s="2"/>
      <c r="R105" s="7">
        <f t="shared" si="33"/>
        <v>6.3032627746076007E-3</v>
      </c>
      <c r="S105" s="2"/>
      <c r="T105" s="6">
        <v>9960</v>
      </c>
      <c r="U105" s="2"/>
      <c r="V105" s="7">
        <f t="shared" si="34"/>
        <v>2.8337719610214097E-3</v>
      </c>
      <c r="W105" s="2"/>
      <c r="X105" s="6">
        <f t="shared" si="35"/>
        <v>4241.9500000000007</v>
      </c>
      <c r="Y105" s="2"/>
      <c r="Z105" s="7">
        <f t="shared" si="36"/>
        <v>0.4258985943775101</v>
      </c>
    </row>
    <row r="106" spans="1:26" s="27" customFormat="1" outlineLevel="1" collapsed="1" x14ac:dyDescent="0.25">
      <c r="A106" s="25"/>
      <c r="B106" s="13" t="str">
        <f>CONCATENATE("     ","Bad Debts/Over/Short                              ")</f>
        <v xml:space="preserve">     Bad Debts/Over/Short                              </v>
      </c>
      <c r="C106" s="13"/>
      <c r="D106" s="1">
        <f>SUM(OSRRefD22_3x_0)</f>
        <v>0</v>
      </c>
      <c r="E106" s="1"/>
      <c r="F106" s="5">
        <f t="shared" si="29"/>
        <v>0</v>
      </c>
      <c r="G106" s="1"/>
      <c r="H106" s="1">
        <f>SUM(OSRRefH22_3x_0)</f>
        <v>0</v>
      </c>
      <c r="I106" s="1"/>
      <c r="J106" s="5">
        <f t="shared" si="30"/>
        <v>0</v>
      </c>
      <c r="K106" s="1"/>
      <c r="L106" s="1">
        <f t="shared" si="31"/>
        <v>0</v>
      </c>
      <c r="M106" s="1"/>
      <c r="N106" s="5">
        <f t="shared" si="32"/>
        <v>0</v>
      </c>
      <c r="O106" s="13"/>
      <c r="P106" s="1">
        <f>SUM(OSRRefP22_3x_0)</f>
        <v>0</v>
      </c>
      <c r="Q106" s="1"/>
      <c r="R106" s="5">
        <f t="shared" si="33"/>
        <v>0</v>
      </c>
      <c r="S106" s="1"/>
      <c r="T106" s="1">
        <f>SUM(OSRRefT22_3x_0)</f>
        <v>0</v>
      </c>
      <c r="U106" s="1"/>
      <c r="V106" s="5">
        <f t="shared" si="34"/>
        <v>0</v>
      </c>
      <c r="W106" s="1"/>
      <c r="X106" s="1">
        <f t="shared" si="35"/>
        <v>0</v>
      </c>
      <c r="Y106" s="1"/>
      <c r="Z106" s="5">
        <f t="shared" si="36"/>
        <v>0</v>
      </c>
    </row>
    <row r="107" spans="1:26" s="24" customFormat="1" hidden="1" outlineLevel="2" x14ac:dyDescent="0.25">
      <c r="A107" s="26"/>
      <c r="B107" s="11" t="str">
        <f>CONCATENATE("          ", "6272", " - ", "CASH (OVER/SHORT)")</f>
        <v xml:space="preserve">          6272 - CASH (OVER/SHORT)</v>
      </c>
      <c r="C107" s="11"/>
      <c r="D107" s="6"/>
      <c r="E107" s="2"/>
      <c r="F107" s="7">
        <f t="shared" si="29"/>
        <v>0</v>
      </c>
      <c r="G107" s="2"/>
      <c r="H107" s="6">
        <v>0</v>
      </c>
      <c r="I107" s="2"/>
      <c r="J107" s="7">
        <f t="shared" si="30"/>
        <v>0</v>
      </c>
      <c r="K107" s="2"/>
      <c r="L107" s="6">
        <f t="shared" si="31"/>
        <v>0</v>
      </c>
      <c r="M107" s="2"/>
      <c r="N107" s="7">
        <f t="shared" si="32"/>
        <v>0</v>
      </c>
      <c r="O107" s="11"/>
      <c r="P107" s="6"/>
      <c r="Q107" s="2"/>
      <c r="R107" s="7">
        <f t="shared" si="33"/>
        <v>0</v>
      </c>
      <c r="S107" s="2"/>
      <c r="T107" s="6">
        <v>0</v>
      </c>
      <c r="U107" s="2"/>
      <c r="V107" s="7">
        <f t="shared" si="34"/>
        <v>0</v>
      </c>
      <c r="W107" s="2"/>
      <c r="X107" s="6">
        <f t="shared" si="35"/>
        <v>0</v>
      </c>
      <c r="Y107" s="2"/>
      <c r="Z107" s="7">
        <f t="shared" si="36"/>
        <v>0</v>
      </c>
    </row>
    <row r="108" spans="1:26" s="27" customFormat="1" outlineLevel="1" collapsed="1" x14ac:dyDescent="0.25">
      <c r="A108" s="25"/>
      <c r="B108" s="13" t="str">
        <f>CONCATENATE("     ","Bank/card Fees                                    ")</f>
        <v xml:space="preserve">     Bank/card Fees                                    </v>
      </c>
      <c r="C108" s="13"/>
      <c r="D108" s="1">
        <f>SUM(OSRRefD22_4x_0)</f>
        <v>0</v>
      </c>
      <c r="E108" s="1"/>
      <c r="F108" s="5">
        <f t="shared" si="29"/>
        <v>0</v>
      </c>
      <c r="G108" s="1"/>
      <c r="H108" s="1">
        <f>SUM(OSRRefH22_4x_0)</f>
        <v>0</v>
      </c>
      <c r="I108" s="1"/>
      <c r="J108" s="5">
        <f t="shared" si="30"/>
        <v>0</v>
      </c>
      <c r="K108" s="1"/>
      <c r="L108" s="1">
        <f t="shared" si="31"/>
        <v>0</v>
      </c>
      <c r="M108" s="1"/>
      <c r="N108" s="5">
        <f t="shared" si="32"/>
        <v>0</v>
      </c>
      <c r="O108" s="13"/>
      <c r="P108" s="1">
        <f>SUM(OSRRefP22_4x_0)</f>
        <v>0</v>
      </c>
      <c r="Q108" s="1"/>
      <c r="R108" s="5">
        <f t="shared" si="33"/>
        <v>0</v>
      </c>
      <c r="S108" s="1"/>
      <c r="T108" s="1">
        <f>SUM(OSRRefT22_4x_0)</f>
        <v>0</v>
      </c>
      <c r="U108" s="1"/>
      <c r="V108" s="5">
        <f t="shared" si="34"/>
        <v>0</v>
      </c>
      <c r="W108" s="1"/>
      <c r="X108" s="1">
        <f t="shared" si="35"/>
        <v>0</v>
      </c>
      <c r="Y108" s="1"/>
      <c r="Z108" s="5">
        <f t="shared" si="36"/>
        <v>0</v>
      </c>
    </row>
    <row r="109" spans="1:26" s="24" customFormat="1" hidden="1" outlineLevel="2" x14ac:dyDescent="0.25">
      <c r="A109" s="26"/>
      <c r="B109" s="11" t="str">
        <f>CONCATENATE("          ", "6381", " - ", "BANK/CREDIT CARD FEES")</f>
        <v xml:space="preserve">          6381 - BANK/CREDIT CARD FEES</v>
      </c>
      <c r="C109" s="11"/>
      <c r="D109" s="6"/>
      <c r="E109" s="2"/>
      <c r="F109" s="7">
        <f t="shared" si="29"/>
        <v>0</v>
      </c>
      <c r="G109" s="2"/>
      <c r="H109" s="6">
        <v>0</v>
      </c>
      <c r="I109" s="2"/>
      <c r="J109" s="7">
        <f t="shared" si="30"/>
        <v>0</v>
      </c>
      <c r="K109" s="2"/>
      <c r="L109" s="6">
        <f t="shared" si="31"/>
        <v>0</v>
      </c>
      <c r="M109" s="2"/>
      <c r="N109" s="7">
        <f t="shared" si="32"/>
        <v>0</v>
      </c>
      <c r="O109" s="11"/>
      <c r="P109" s="6"/>
      <c r="Q109" s="2"/>
      <c r="R109" s="7">
        <f t="shared" si="33"/>
        <v>0</v>
      </c>
      <c r="S109" s="2"/>
      <c r="T109" s="6">
        <v>0</v>
      </c>
      <c r="U109" s="2"/>
      <c r="V109" s="7">
        <f t="shared" si="34"/>
        <v>0</v>
      </c>
      <c r="W109" s="2"/>
      <c r="X109" s="6">
        <f t="shared" si="35"/>
        <v>0</v>
      </c>
      <c r="Y109" s="2"/>
      <c r="Z109" s="7">
        <f t="shared" si="36"/>
        <v>0</v>
      </c>
    </row>
    <row r="110" spans="1:26" s="27" customFormat="1" outlineLevel="1" collapsed="1" x14ac:dyDescent="0.25">
      <c r="A110" s="25"/>
      <c r="B110" s="13" t="str">
        <f>CONCATENATE("     ","Discounts and Markdowns                           ")</f>
        <v xml:space="preserve">     Discounts and Markdowns                           </v>
      </c>
      <c r="C110" s="13"/>
      <c r="D110" s="1">
        <f>SUM(OSRRefD22_5x_0)</f>
        <v>0</v>
      </c>
      <c r="E110" s="1"/>
      <c r="F110" s="5">
        <f t="shared" si="29"/>
        <v>0</v>
      </c>
      <c r="G110" s="1"/>
      <c r="H110" s="1">
        <f>SUM(OSRRefH22_5x_0)</f>
        <v>20504</v>
      </c>
      <c r="I110" s="1"/>
      <c r="J110" s="5">
        <f t="shared" si="30"/>
        <v>7.5000457230645426E-2</v>
      </c>
      <c r="K110" s="1"/>
      <c r="L110" s="1">
        <f t="shared" si="31"/>
        <v>-20504</v>
      </c>
      <c r="M110" s="1"/>
      <c r="N110" s="5">
        <f t="shared" si="32"/>
        <v>-1</v>
      </c>
      <c r="O110" s="13"/>
      <c r="P110" s="1">
        <f>SUM(OSRRefP22_5x_0)</f>
        <v>0</v>
      </c>
      <c r="Q110" s="1"/>
      <c r="R110" s="5">
        <f t="shared" si="33"/>
        <v>0</v>
      </c>
      <c r="S110" s="1"/>
      <c r="T110" s="1">
        <f>SUM(OSRRefT22_5x_0)</f>
        <v>263606</v>
      </c>
      <c r="U110" s="1"/>
      <c r="V110" s="5">
        <f t="shared" si="34"/>
        <v>7.4999928871185714E-2</v>
      </c>
      <c r="W110" s="1"/>
      <c r="X110" s="1">
        <f t="shared" si="35"/>
        <v>-263606</v>
      </c>
      <c r="Y110" s="1"/>
      <c r="Z110" s="5">
        <f t="shared" si="36"/>
        <v>-1</v>
      </c>
    </row>
    <row r="111" spans="1:26" s="24" customFormat="1" hidden="1" outlineLevel="2" x14ac:dyDescent="0.25">
      <c r="A111" s="26"/>
      <c r="B111" s="11" t="str">
        <f>CONCATENATE("          ", "6382", " - ", "DISCOUNTS/MARK DOWNS")</f>
        <v xml:space="preserve">          6382 - DISCOUNTS/MARK DOWNS</v>
      </c>
      <c r="C111" s="11"/>
      <c r="D111" s="6">
        <v>0</v>
      </c>
      <c r="E111" s="2"/>
      <c r="F111" s="7">
        <f t="shared" si="29"/>
        <v>0</v>
      </c>
      <c r="G111" s="2"/>
      <c r="H111" s="6">
        <v>20504</v>
      </c>
      <c r="I111" s="2"/>
      <c r="J111" s="7">
        <f t="shared" si="30"/>
        <v>7.5000457230645426E-2</v>
      </c>
      <c r="K111" s="2"/>
      <c r="L111" s="6">
        <f t="shared" si="31"/>
        <v>-20504</v>
      </c>
      <c r="M111" s="2"/>
      <c r="N111" s="7">
        <f t="shared" si="32"/>
        <v>-1</v>
      </c>
      <c r="O111" s="11"/>
      <c r="P111" s="6">
        <v>0</v>
      </c>
      <c r="Q111" s="2"/>
      <c r="R111" s="7">
        <f t="shared" si="33"/>
        <v>0</v>
      </c>
      <c r="S111" s="2"/>
      <c r="T111" s="6">
        <v>263606</v>
      </c>
      <c r="U111" s="2"/>
      <c r="V111" s="7">
        <f t="shared" si="34"/>
        <v>7.4999928871185714E-2</v>
      </c>
      <c r="W111" s="2"/>
      <c r="X111" s="6">
        <f t="shared" si="35"/>
        <v>-263606</v>
      </c>
      <c r="Y111" s="2"/>
      <c r="Z111" s="7">
        <f t="shared" si="36"/>
        <v>-1</v>
      </c>
    </row>
    <row r="112" spans="1:26" s="24" customFormat="1" hidden="1" outlineLevel="2" x14ac:dyDescent="0.25">
      <c r="A112" s="26"/>
      <c r="B112" s="11" t="str">
        <f>CONCATENATE("          ", "9175", " - ", "EARNED DISCOUNTS")</f>
        <v xml:space="preserve">          9175 - EARNED DISCOUNTS</v>
      </c>
      <c r="C112" s="11"/>
      <c r="D112" s="6">
        <v>0</v>
      </c>
      <c r="E112" s="2"/>
      <c r="F112" s="7">
        <f t="shared" si="29"/>
        <v>0</v>
      </c>
      <c r="G112" s="2"/>
      <c r="H112" s="6"/>
      <c r="I112" s="2"/>
      <c r="J112" s="7">
        <f t="shared" si="30"/>
        <v>0</v>
      </c>
      <c r="K112" s="2"/>
      <c r="L112" s="6">
        <f t="shared" si="31"/>
        <v>0</v>
      </c>
      <c r="M112" s="2"/>
      <c r="N112" s="7">
        <f t="shared" si="32"/>
        <v>0</v>
      </c>
      <c r="O112" s="11"/>
      <c r="P112" s="6">
        <v>0</v>
      </c>
      <c r="Q112" s="2"/>
      <c r="R112" s="7">
        <f t="shared" si="33"/>
        <v>0</v>
      </c>
      <c r="S112" s="2"/>
      <c r="T112" s="6"/>
      <c r="U112" s="2"/>
      <c r="V112" s="7">
        <f t="shared" si="34"/>
        <v>0</v>
      </c>
      <c r="W112" s="2"/>
      <c r="X112" s="6">
        <f t="shared" si="35"/>
        <v>0</v>
      </c>
      <c r="Y112" s="2"/>
      <c r="Z112" s="7">
        <f t="shared" si="36"/>
        <v>0</v>
      </c>
    </row>
    <row r="113" spans="1:26" s="27" customFormat="1" outlineLevel="1" collapsed="1" x14ac:dyDescent="0.25">
      <c r="A113" s="25"/>
      <c r="B113" s="13" t="str">
        <f>CONCATENATE("     ","Employees' Appreciation                           ")</f>
        <v xml:space="preserve">     Employees' Appreciation                           </v>
      </c>
      <c r="C113" s="13"/>
      <c r="D113" s="1">
        <f>SUM(OSRRefD22_6x_0)</f>
        <v>0</v>
      </c>
      <c r="E113" s="1"/>
      <c r="F113" s="5">
        <f t="shared" ref="F113:F117" si="37">IF(D$12=0,0,D113/D$12)</f>
        <v>0</v>
      </c>
      <c r="G113" s="1"/>
      <c r="H113" s="1">
        <f>SUM(OSRRefH22_6x_0)</f>
        <v>150</v>
      </c>
      <c r="I113" s="1"/>
      <c r="J113" s="5">
        <f t="shared" ref="J113:J117" si="38">IF(H$12=0,0,H113/H$12)</f>
        <v>5.4867677451213488E-4</v>
      </c>
      <c r="K113" s="1"/>
      <c r="L113" s="1">
        <f t="shared" ref="L113:L117" si="39">+D113-H113</f>
        <v>-150</v>
      </c>
      <c r="M113" s="1"/>
      <c r="N113" s="5">
        <f t="shared" ref="N113:N117" si="40">IF(H113=0,0,L113/H113)</f>
        <v>-1</v>
      </c>
      <c r="O113" s="13"/>
      <c r="P113" s="1">
        <f>SUM(OSRRefP22_6x_0)</f>
        <v>0</v>
      </c>
      <c r="Q113" s="1"/>
      <c r="R113" s="5">
        <f t="shared" ref="R113:R117" si="41">IF(P$12=0,0,P113/P$12)</f>
        <v>0</v>
      </c>
      <c r="S113" s="1"/>
      <c r="T113" s="1">
        <f>SUM(OSRRefT22_6x_0)</f>
        <v>1800</v>
      </c>
      <c r="U113" s="1"/>
      <c r="V113" s="5">
        <f t="shared" ref="V113:V117" si="42">IF(T$12=0,0,T113/T$12)</f>
        <v>5.1212746283519457E-4</v>
      </c>
      <c r="W113" s="1"/>
      <c r="X113" s="1">
        <f t="shared" ref="X113:X117" si="43">+P113-T113</f>
        <v>-1800</v>
      </c>
      <c r="Y113" s="1"/>
      <c r="Z113" s="5">
        <f t="shared" ref="Z113:Z117" si="44">IF(T113=0,0,X113/T113)</f>
        <v>-1</v>
      </c>
    </row>
    <row r="114" spans="1:26" s="24" customFormat="1" hidden="1" outlineLevel="2" x14ac:dyDescent="0.25">
      <c r="A114" s="26"/>
      <c r="B114" s="11" t="str">
        <f>CONCATENATE("          ", "6277", " - ", "EMPLOYEE APPRECIATION")</f>
        <v xml:space="preserve">          6277 - EMPLOYEE APPRECIATION</v>
      </c>
      <c r="C114" s="11"/>
      <c r="D114" s="6"/>
      <c r="E114" s="2"/>
      <c r="F114" s="7">
        <f t="shared" si="37"/>
        <v>0</v>
      </c>
      <c r="G114" s="2"/>
      <c r="H114" s="6">
        <v>150</v>
      </c>
      <c r="I114" s="2"/>
      <c r="J114" s="7">
        <f t="shared" si="38"/>
        <v>5.4867677451213488E-4</v>
      </c>
      <c r="K114" s="2"/>
      <c r="L114" s="6">
        <f t="shared" si="39"/>
        <v>-150</v>
      </c>
      <c r="M114" s="2"/>
      <c r="N114" s="7">
        <f t="shared" si="40"/>
        <v>-1</v>
      </c>
      <c r="O114" s="11"/>
      <c r="P114" s="6"/>
      <c r="Q114" s="2"/>
      <c r="R114" s="7">
        <f t="shared" si="41"/>
        <v>0</v>
      </c>
      <c r="S114" s="2"/>
      <c r="T114" s="6">
        <v>1800</v>
      </c>
      <c r="U114" s="2"/>
      <c r="V114" s="7">
        <f t="shared" si="42"/>
        <v>5.1212746283519457E-4</v>
      </c>
      <c r="W114" s="2"/>
      <c r="X114" s="6">
        <f t="shared" si="43"/>
        <v>-1800</v>
      </c>
      <c r="Y114" s="2"/>
      <c r="Z114" s="7">
        <f t="shared" si="44"/>
        <v>-1</v>
      </c>
    </row>
    <row r="115" spans="1:26" s="27" customFormat="1" outlineLevel="1" collapsed="1" x14ac:dyDescent="0.25">
      <c r="A115" s="25"/>
      <c r="B115" s="13" t="str">
        <f>CONCATENATE("     ","Freight out/Postage                               ")</f>
        <v xml:space="preserve">     Freight out/Postage                               </v>
      </c>
      <c r="C115" s="13"/>
      <c r="D115" s="1">
        <f>SUM(OSRRefD22_7x_0)</f>
        <v>9.25</v>
      </c>
      <c r="E115" s="1"/>
      <c r="F115" s="5">
        <f t="shared" si="37"/>
        <v>4.1665900914974175E-5</v>
      </c>
      <c r="G115" s="1"/>
      <c r="H115" s="1">
        <f>SUM(OSRRefH22_7x_0)</f>
        <v>10</v>
      </c>
      <c r="I115" s="1"/>
      <c r="J115" s="5">
        <f t="shared" si="38"/>
        <v>3.6578451634142324E-5</v>
      </c>
      <c r="K115" s="1"/>
      <c r="L115" s="1">
        <f t="shared" si="39"/>
        <v>-0.75</v>
      </c>
      <c r="M115" s="1"/>
      <c r="N115" s="5">
        <f t="shared" si="40"/>
        <v>-7.4999999999999997E-2</v>
      </c>
      <c r="O115" s="13"/>
      <c r="P115" s="1">
        <f>SUM(OSRRefP22_7x_0)</f>
        <v>-137.59999999999997</v>
      </c>
      <c r="Q115" s="1"/>
      <c r="R115" s="5">
        <f t="shared" si="41"/>
        <v>-6.1071117542732206E-5</v>
      </c>
      <c r="S115" s="1"/>
      <c r="T115" s="1">
        <f>SUM(OSRRefT22_7x_0)</f>
        <v>120</v>
      </c>
      <c r="U115" s="1"/>
      <c r="V115" s="5">
        <f t="shared" si="42"/>
        <v>3.4141830855679637E-5</v>
      </c>
      <c r="W115" s="1"/>
      <c r="X115" s="1">
        <f t="shared" si="43"/>
        <v>-257.59999999999997</v>
      </c>
      <c r="Y115" s="1"/>
      <c r="Z115" s="5">
        <f t="shared" si="44"/>
        <v>-2.1466666666666665</v>
      </c>
    </row>
    <row r="116" spans="1:26" s="24" customFormat="1" hidden="1" outlineLevel="2" x14ac:dyDescent="0.25">
      <c r="A116" s="26"/>
      <c r="B116" s="11" t="str">
        <f>CONCATENATE("          ", "6305", " - ", "FREIGHT OUT")</f>
        <v xml:space="preserve">          6305 - FREIGHT OUT</v>
      </c>
      <c r="C116" s="11"/>
      <c r="D116" s="6">
        <v>9.25</v>
      </c>
      <c r="E116" s="2"/>
      <c r="F116" s="7">
        <f t="shared" si="37"/>
        <v>4.1665900914974175E-5</v>
      </c>
      <c r="G116" s="2"/>
      <c r="H116" s="6"/>
      <c r="I116" s="2"/>
      <c r="J116" s="7">
        <f t="shared" si="38"/>
        <v>0</v>
      </c>
      <c r="K116" s="2"/>
      <c r="L116" s="6">
        <f t="shared" si="39"/>
        <v>9.25</v>
      </c>
      <c r="M116" s="2"/>
      <c r="N116" s="7">
        <f t="shared" si="40"/>
        <v>0</v>
      </c>
      <c r="O116" s="11"/>
      <c r="P116" s="6">
        <v>151.74</v>
      </c>
      <c r="Q116" s="2"/>
      <c r="R116" s="7">
        <f t="shared" si="41"/>
        <v>6.7346884999521707E-5</v>
      </c>
      <c r="S116" s="2"/>
      <c r="T116" s="6"/>
      <c r="U116" s="2"/>
      <c r="V116" s="7">
        <f t="shared" si="42"/>
        <v>0</v>
      </c>
      <c r="W116" s="2"/>
      <c r="X116" s="6">
        <f t="shared" si="43"/>
        <v>151.74</v>
      </c>
      <c r="Y116" s="2"/>
      <c r="Z116" s="7">
        <f t="shared" si="44"/>
        <v>0</v>
      </c>
    </row>
    <row r="117" spans="1:26" s="24" customFormat="1" hidden="1" outlineLevel="2" x14ac:dyDescent="0.25">
      <c r="A117" s="26"/>
      <c r="B117" s="11" t="str">
        <f>CONCATENATE("          ", "6307", " - ", "POSTAGE")</f>
        <v xml:space="preserve">          6307 - POSTAGE</v>
      </c>
      <c r="C117" s="11"/>
      <c r="D117" s="6"/>
      <c r="E117" s="2"/>
      <c r="F117" s="7">
        <f t="shared" si="37"/>
        <v>0</v>
      </c>
      <c r="G117" s="2"/>
      <c r="H117" s="6">
        <v>10</v>
      </c>
      <c r="I117" s="2"/>
      <c r="J117" s="7">
        <f t="shared" si="38"/>
        <v>3.6578451634142324E-5</v>
      </c>
      <c r="K117" s="2"/>
      <c r="L117" s="6">
        <f t="shared" si="39"/>
        <v>-10</v>
      </c>
      <c r="M117" s="2"/>
      <c r="N117" s="7">
        <f t="shared" si="40"/>
        <v>-1</v>
      </c>
      <c r="O117" s="11"/>
      <c r="P117" s="6">
        <v>-289.33999999999997</v>
      </c>
      <c r="Q117" s="2"/>
      <c r="R117" s="7">
        <f t="shared" si="41"/>
        <v>-1.2841800254225391E-4</v>
      </c>
      <c r="S117" s="2"/>
      <c r="T117" s="6">
        <v>120</v>
      </c>
      <c r="U117" s="2"/>
      <c r="V117" s="7">
        <f t="shared" si="42"/>
        <v>3.4141830855679637E-5</v>
      </c>
      <c r="W117" s="2"/>
      <c r="X117" s="6">
        <f t="shared" si="43"/>
        <v>-409.34</v>
      </c>
      <c r="Y117" s="2"/>
      <c r="Z117" s="7">
        <f t="shared" si="44"/>
        <v>-3.4111666666666665</v>
      </c>
    </row>
    <row r="118" spans="1:26" s="27" customFormat="1" outlineLevel="1" collapsed="1" x14ac:dyDescent="0.25">
      <c r="A118" s="25"/>
      <c r="B118" s="13" t="str">
        <f>CONCATENATE("     ","General                                           ")</f>
        <v xml:space="preserve">     General                                           </v>
      </c>
      <c r="C118" s="13"/>
      <c r="D118" s="1">
        <f>SUM(OSRRefD22_8x_0)</f>
        <v>0</v>
      </c>
      <c r="E118" s="1"/>
      <c r="F118" s="5">
        <f t="shared" ref="F118:F122" si="45">IF(D$12=0,0,D118/D$12)</f>
        <v>0</v>
      </c>
      <c r="G118" s="1"/>
      <c r="H118" s="1">
        <f>SUM(OSRRefH22_8x_0)</f>
        <v>1000</v>
      </c>
      <c r="I118" s="1"/>
      <c r="J118" s="5">
        <f t="shared" ref="J118:J122" si="46">IF(H$12=0,0,H118/H$12)</f>
        <v>3.6578451634142325E-3</v>
      </c>
      <c r="K118" s="1"/>
      <c r="L118" s="1">
        <f t="shared" ref="L118:L122" si="47">+D118-H118</f>
        <v>-1000</v>
      </c>
      <c r="M118" s="1"/>
      <c r="N118" s="5">
        <f t="shared" ref="N118:N122" si="48">IF(H118=0,0,L118/H118)</f>
        <v>-1</v>
      </c>
      <c r="O118" s="13"/>
      <c r="P118" s="1">
        <f>SUM(OSRRefP22_8x_0)</f>
        <v>0</v>
      </c>
      <c r="Q118" s="1"/>
      <c r="R118" s="5">
        <f t="shared" ref="R118:R122" si="49">IF(P$12=0,0,P118/P$12)</f>
        <v>0</v>
      </c>
      <c r="S118" s="1"/>
      <c r="T118" s="1">
        <f>SUM(OSRRefT22_8x_0)</f>
        <v>1500</v>
      </c>
      <c r="U118" s="1"/>
      <c r="V118" s="5">
        <f t="shared" ref="V118:V122" si="50">IF(T$12=0,0,T118/T$12)</f>
        <v>4.2677288569599545E-4</v>
      </c>
      <c r="W118" s="1"/>
      <c r="X118" s="1">
        <f t="shared" ref="X118:X122" si="51">+P118-T118</f>
        <v>-1500</v>
      </c>
      <c r="Y118" s="1"/>
      <c r="Z118" s="5">
        <f t="shared" ref="Z118:Z122" si="52">IF(T118=0,0,X118/T118)</f>
        <v>-1</v>
      </c>
    </row>
    <row r="119" spans="1:26" s="24" customFormat="1" hidden="1" outlineLevel="2" x14ac:dyDescent="0.25">
      <c r="A119" s="26"/>
      <c r="B119" s="11" t="str">
        <f>CONCATENATE("          ", "6279", " - ", "GENERAL EXPENSE")</f>
        <v xml:space="preserve">          6279 - GENERAL EXPENSE</v>
      </c>
      <c r="C119" s="11"/>
      <c r="D119" s="6"/>
      <c r="E119" s="2"/>
      <c r="F119" s="7">
        <f t="shared" si="45"/>
        <v>0</v>
      </c>
      <c r="G119" s="2"/>
      <c r="H119" s="6">
        <v>1000</v>
      </c>
      <c r="I119" s="2"/>
      <c r="J119" s="7">
        <f t="shared" si="46"/>
        <v>3.6578451634142325E-3</v>
      </c>
      <c r="K119" s="2"/>
      <c r="L119" s="6">
        <f t="shared" si="47"/>
        <v>-1000</v>
      </c>
      <c r="M119" s="2"/>
      <c r="N119" s="7">
        <f t="shared" si="48"/>
        <v>-1</v>
      </c>
      <c r="O119" s="11"/>
      <c r="P119" s="6"/>
      <c r="Q119" s="2"/>
      <c r="R119" s="7">
        <f t="shared" si="49"/>
        <v>0</v>
      </c>
      <c r="S119" s="2"/>
      <c r="T119" s="6">
        <v>1500</v>
      </c>
      <c r="U119" s="2"/>
      <c r="V119" s="7">
        <f t="shared" si="50"/>
        <v>4.2677288569599545E-4</v>
      </c>
      <c r="W119" s="2"/>
      <c r="X119" s="6">
        <f t="shared" si="51"/>
        <v>-1500</v>
      </c>
      <c r="Y119" s="2"/>
      <c r="Z119" s="7">
        <f t="shared" si="52"/>
        <v>-1</v>
      </c>
    </row>
    <row r="120" spans="1:26" s="27" customFormat="1" outlineLevel="1" collapsed="1" x14ac:dyDescent="0.25">
      <c r="A120" s="25"/>
      <c r="B120" s="13" t="str">
        <f>CONCATENATE("     ","Inventory Adjustment                              ")</f>
        <v xml:space="preserve">     Inventory Adjustment                              </v>
      </c>
      <c r="C120" s="13"/>
      <c r="D120" s="1">
        <f>SUM(OSRRefD22_9x_0)</f>
        <v>-11000</v>
      </c>
      <c r="E120" s="1"/>
      <c r="F120" s="5">
        <f t="shared" si="45"/>
        <v>-4.9548638925915232E-2</v>
      </c>
      <c r="G120" s="1"/>
      <c r="H120" s="1">
        <f>SUM(OSRRefH22_9x_0)</f>
        <v>1000</v>
      </c>
      <c r="I120" s="1"/>
      <c r="J120" s="5">
        <f t="shared" si="46"/>
        <v>3.6578451634142325E-3</v>
      </c>
      <c r="K120" s="1"/>
      <c r="L120" s="1">
        <f t="shared" si="47"/>
        <v>-12000</v>
      </c>
      <c r="M120" s="1"/>
      <c r="N120" s="5">
        <f t="shared" si="48"/>
        <v>-12</v>
      </c>
      <c r="O120" s="13"/>
      <c r="P120" s="1">
        <f>SUM(OSRRefP22_9x_0)</f>
        <v>0</v>
      </c>
      <c r="Q120" s="1"/>
      <c r="R120" s="5">
        <f t="shared" si="49"/>
        <v>0</v>
      </c>
      <c r="S120" s="1"/>
      <c r="T120" s="1">
        <f>SUM(OSRRefT22_9x_0)</f>
        <v>12000</v>
      </c>
      <c r="U120" s="1"/>
      <c r="V120" s="5">
        <f t="shared" si="50"/>
        <v>3.4141830855679636E-3</v>
      </c>
      <c r="W120" s="1"/>
      <c r="X120" s="1">
        <f t="shared" si="51"/>
        <v>-12000</v>
      </c>
      <c r="Y120" s="1"/>
      <c r="Z120" s="5">
        <f t="shared" si="52"/>
        <v>-1</v>
      </c>
    </row>
    <row r="121" spans="1:26" s="24" customFormat="1" hidden="1" outlineLevel="2" x14ac:dyDescent="0.25">
      <c r="A121" s="26"/>
      <c r="B121" s="11" t="str">
        <f>CONCATENATE("          ", "6408", " - ", "INVENTORY ADJUSTMENT")</f>
        <v xml:space="preserve">          6408 - INVENTORY ADJUSTMENT</v>
      </c>
      <c r="C121" s="11"/>
      <c r="D121" s="6">
        <v>-11000</v>
      </c>
      <c r="E121" s="2"/>
      <c r="F121" s="7">
        <f t="shared" si="45"/>
        <v>-4.9548638925915232E-2</v>
      </c>
      <c r="G121" s="2"/>
      <c r="H121" s="6">
        <v>1000</v>
      </c>
      <c r="I121" s="2"/>
      <c r="J121" s="7">
        <f t="shared" si="46"/>
        <v>3.6578451634142325E-3</v>
      </c>
      <c r="K121" s="2"/>
      <c r="L121" s="6">
        <f t="shared" si="47"/>
        <v>-12000</v>
      </c>
      <c r="M121" s="2"/>
      <c r="N121" s="7">
        <f t="shared" si="48"/>
        <v>-12</v>
      </c>
      <c r="O121" s="11"/>
      <c r="P121" s="6">
        <v>0</v>
      </c>
      <c r="Q121" s="2"/>
      <c r="R121" s="7">
        <f t="shared" si="49"/>
        <v>0</v>
      </c>
      <c r="S121" s="2"/>
      <c r="T121" s="6">
        <v>12000</v>
      </c>
      <c r="U121" s="2"/>
      <c r="V121" s="7">
        <f t="shared" si="50"/>
        <v>3.4141830855679636E-3</v>
      </c>
      <c r="W121" s="2"/>
      <c r="X121" s="6">
        <f t="shared" si="51"/>
        <v>-12000</v>
      </c>
      <c r="Y121" s="2"/>
      <c r="Z121" s="7">
        <f t="shared" si="52"/>
        <v>-1</v>
      </c>
    </row>
    <row r="122" spans="1:26" s="24" customFormat="1" hidden="1" outlineLevel="2" x14ac:dyDescent="0.25">
      <c r="A122" s="26"/>
      <c r="B122" s="11" t="str">
        <f>CONCATENATE("          ", "7741", " - ", "INV. SHRINKAGE-LOGO GIFTS")</f>
        <v xml:space="preserve">          7741 - INV. SHRINKAGE-LOGO GIFTS</v>
      </c>
      <c r="C122" s="11"/>
      <c r="D122" s="6"/>
      <c r="E122" s="2"/>
      <c r="F122" s="7">
        <f t="shared" si="45"/>
        <v>0</v>
      </c>
      <c r="G122" s="2"/>
      <c r="H122" s="6"/>
      <c r="I122" s="2"/>
      <c r="J122" s="7">
        <f t="shared" si="46"/>
        <v>0</v>
      </c>
      <c r="K122" s="2"/>
      <c r="L122" s="6">
        <f t="shared" si="47"/>
        <v>0</v>
      </c>
      <c r="M122" s="2"/>
      <c r="N122" s="7">
        <f t="shared" si="48"/>
        <v>0</v>
      </c>
      <c r="O122" s="11"/>
      <c r="P122" s="6">
        <v>0</v>
      </c>
      <c r="Q122" s="2"/>
      <c r="R122" s="7">
        <f t="shared" si="49"/>
        <v>0</v>
      </c>
      <c r="S122" s="2"/>
      <c r="T122" s="6"/>
      <c r="U122" s="2"/>
      <c r="V122" s="7">
        <f t="shared" si="50"/>
        <v>0</v>
      </c>
      <c r="W122" s="2"/>
      <c r="X122" s="6">
        <f t="shared" si="51"/>
        <v>0</v>
      </c>
      <c r="Y122" s="2"/>
      <c r="Z122" s="7">
        <f t="shared" si="52"/>
        <v>0</v>
      </c>
    </row>
    <row r="123" spans="1:26" s="27" customFormat="1" outlineLevel="1" collapsed="1" x14ac:dyDescent="0.25">
      <c r="A123" s="25"/>
      <c r="B123" s="13" t="str">
        <f>CONCATENATE("     ","Professional Services                             ")</f>
        <v xml:space="preserve">     Professional Services                             </v>
      </c>
      <c r="C123" s="13"/>
      <c r="D123" s="1">
        <f>SUM(OSRRefD22_10x_0)</f>
        <v>1966.87</v>
      </c>
      <c r="E123" s="1"/>
      <c r="F123" s="5">
        <f t="shared" ref="F123:F130" si="53">IF(D$12=0,0,D123/D$12)</f>
        <v>8.8596119494740808E-3</v>
      </c>
      <c r="G123" s="1"/>
      <c r="H123" s="1">
        <f>SUM(OSRRefH22_10x_0)</f>
        <v>0</v>
      </c>
      <c r="I123" s="1"/>
      <c r="J123" s="5">
        <f t="shared" ref="J123:J130" si="54">IF(H$12=0,0,H123/H$12)</f>
        <v>0</v>
      </c>
      <c r="K123" s="1"/>
      <c r="L123" s="1">
        <f t="shared" ref="L123:L130" si="55">+D123-H123</f>
        <v>1966.87</v>
      </c>
      <c r="M123" s="1"/>
      <c r="N123" s="5">
        <f t="shared" ref="N123:N130" si="56">IF(H123=0,0,L123/H123)</f>
        <v>0</v>
      </c>
      <c r="O123" s="13"/>
      <c r="P123" s="1">
        <f>SUM(OSRRefP22_10x_0)</f>
        <v>1966.87</v>
      </c>
      <c r="Q123" s="1"/>
      <c r="R123" s="5">
        <f t="shared" ref="R123:R130" si="57">IF(P$12=0,0,P123/P$12)</f>
        <v>8.7295747791623333E-4</v>
      </c>
      <c r="S123" s="1"/>
      <c r="T123" s="1">
        <f>SUM(OSRRefT22_10x_0)</f>
        <v>5750</v>
      </c>
      <c r="U123" s="1"/>
      <c r="V123" s="5">
        <f t="shared" ref="V123:V130" si="58">IF(T$12=0,0,T123/T$12)</f>
        <v>1.6359627285013158E-3</v>
      </c>
      <c r="W123" s="1"/>
      <c r="X123" s="1">
        <f t="shared" ref="X123:X130" si="59">+P123-T123</f>
        <v>-3783.13</v>
      </c>
      <c r="Y123" s="1"/>
      <c r="Z123" s="5">
        <f t="shared" ref="Z123:Z130" si="60">IF(T123=0,0,X123/T123)</f>
        <v>-0.65793565217391303</v>
      </c>
    </row>
    <row r="124" spans="1:26" s="24" customFormat="1" hidden="1" outlineLevel="2" x14ac:dyDescent="0.25">
      <c r="A124" s="26"/>
      <c r="B124" s="11" t="str">
        <f>CONCATENATE("          ", "6336", " - ", "PROFESSIONAL SERVICES")</f>
        <v xml:space="preserve">          6336 - PROFESSIONAL SERVICES</v>
      </c>
      <c r="C124" s="11"/>
      <c r="D124" s="6">
        <v>1966.87</v>
      </c>
      <c r="E124" s="2"/>
      <c r="F124" s="7">
        <f t="shared" si="53"/>
        <v>8.8596119494740808E-3</v>
      </c>
      <c r="G124" s="2"/>
      <c r="H124" s="6">
        <v>0</v>
      </c>
      <c r="I124" s="2"/>
      <c r="J124" s="7">
        <f t="shared" si="54"/>
        <v>0</v>
      </c>
      <c r="K124" s="2"/>
      <c r="L124" s="6">
        <f t="shared" si="55"/>
        <v>1966.87</v>
      </c>
      <c r="M124" s="2"/>
      <c r="N124" s="7">
        <f t="shared" si="56"/>
        <v>0</v>
      </c>
      <c r="O124" s="11"/>
      <c r="P124" s="6">
        <v>1966.87</v>
      </c>
      <c r="Q124" s="2"/>
      <c r="R124" s="7">
        <f t="shared" si="57"/>
        <v>8.7295747791623333E-4</v>
      </c>
      <c r="S124" s="2"/>
      <c r="T124" s="6">
        <v>5750</v>
      </c>
      <c r="U124" s="2"/>
      <c r="V124" s="7">
        <f t="shared" si="58"/>
        <v>1.6359627285013158E-3</v>
      </c>
      <c r="W124" s="2"/>
      <c r="X124" s="6">
        <f t="shared" si="59"/>
        <v>-3783.13</v>
      </c>
      <c r="Y124" s="2"/>
      <c r="Z124" s="7">
        <f t="shared" si="60"/>
        <v>-0.65793565217391303</v>
      </c>
    </row>
    <row r="125" spans="1:26" s="27" customFormat="1" outlineLevel="1" collapsed="1" x14ac:dyDescent="0.25">
      <c r="A125" s="25"/>
      <c r="B125" s="13" t="str">
        <f>CONCATENATE("     ","Repair and Maintenance                            ")</f>
        <v xml:space="preserve">     Repair and Maintenance                            </v>
      </c>
      <c r="C125" s="13"/>
      <c r="D125" s="1">
        <f>SUM(OSRRefD22_11x_0)</f>
        <v>0</v>
      </c>
      <c r="E125" s="1"/>
      <c r="F125" s="5">
        <f t="shared" si="53"/>
        <v>0</v>
      </c>
      <c r="G125" s="1"/>
      <c r="H125" s="1">
        <f>SUM(OSRRefH22_11x_0)</f>
        <v>100</v>
      </c>
      <c r="I125" s="1"/>
      <c r="J125" s="5">
        <f t="shared" si="54"/>
        <v>3.6578451634142325E-4</v>
      </c>
      <c r="K125" s="1"/>
      <c r="L125" s="1">
        <f t="shared" si="55"/>
        <v>-100</v>
      </c>
      <c r="M125" s="1"/>
      <c r="N125" s="5">
        <f t="shared" si="56"/>
        <v>-1</v>
      </c>
      <c r="O125" s="13"/>
      <c r="P125" s="1">
        <f>SUM(OSRRefP22_11x_0)</f>
        <v>0</v>
      </c>
      <c r="Q125" s="1"/>
      <c r="R125" s="5">
        <f t="shared" si="57"/>
        <v>0</v>
      </c>
      <c r="S125" s="1"/>
      <c r="T125" s="1">
        <f>SUM(OSRRefT22_11x_0)</f>
        <v>1500</v>
      </c>
      <c r="U125" s="1"/>
      <c r="V125" s="5">
        <f t="shared" si="58"/>
        <v>4.2677288569599545E-4</v>
      </c>
      <c r="W125" s="1"/>
      <c r="X125" s="1">
        <f t="shared" si="59"/>
        <v>-1500</v>
      </c>
      <c r="Y125" s="1"/>
      <c r="Z125" s="5">
        <f t="shared" si="60"/>
        <v>-1</v>
      </c>
    </row>
    <row r="126" spans="1:26" s="24" customFormat="1" hidden="1" outlineLevel="2" x14ac:dyDescent="0.25">
      <c r="A126" s="26"/>
      <c r="B126" s="11" t="str">
        <f>CONCATENATE("          ", "6375", " - ", "OUTSIDE REPAIRS &amp; MAINTENANCE")</f>
        <v xml:space="preserve">          6375 - OUTSIDE REPAIRS &amp; MAINTENANCE</v>
      </c>
      <c r="C126" s="11"/>
      <c r="D126" s="6"/>
      <c r="E126" s="2"/>
      <c r="F126" s="7">
        <f t="shared" si="53"/>
        <v>0</v>
      </c>
      <c r="G126" s="2"/>
      <c r="H126" s="6">
        <v>100</v>
      </c>
      <c r="I126" s="2"/>
      <c r="J126" s="7">
        <f t="shared" si="54"/>
        <v>3.6578451634142325E-4</v>
      </c>
      <c r="K126" s="2"/>
      <c r="L126" s="6">
        <f t="shared" si="55"/>
        <v>-100</v>
      </c>
      <c r="M126" s="2"/>
      <c r="N126" s="7">
        <f t="shared" si="56"/>
        <v>-1</v>
      </c>
      <c r="O126" s="11"/>
      <c r="P126" s="6"/>
      <c r="Q126" s="2"/>
      <c r="R126" s="7">
        <f t="shared" si="57"/>
        <v>0</v>
      </c>
      <c r="S126" s="2"/>
      <c r="T126" s="6">
        <v>1500</v>
      </c>
      <c r="U126" s="2"/>
      <c r="V126" s="7">
        <f t="shared" si="58"/>
        <v>4.2677288569599545E-4</v>
      </c>
      <c r="W126" s="2"/>
      <c r="X126" s="6">
        <f t="shared" si="59"/>
        <v>-1500</v>
      </c>
      <c r="Y126" s="2"/>
      <c r="Z126" s="7">
        <f t="shared" si="60"/>
        <v>-1</v>
      </c>
    </row>
    <row r="127" spans="1:26" s="27" customFormat="1" outlineLevel="1" collapsed="1" x14ac:dyDescent="0.25">
      <c r="A127" s="25"/>
      <c r="B127" s="13" t="str">
        <f>CONCATENATE("     ","Royalty &amp; Commissions                             ")</f>
        <v xml:space="preserve">     Royalty &amp; Commissions                             </v>
      </c>
      <c r="C127" s="13"/>
      <c r="D127" s="1">
        <f>SUM(OSRRefD22_12x_0)</f>
        <v>0</v>
      </c>
      <c r="E127" s="1"/>
      <c r="F127" s="5">
        <f t="shared" si="53"/>
        <v>0</v>
      </c>
      <c r="G127" s="1"/>
      <c r="H127" s="1">
        <f>SUM(OSRRefH22_12x_0)</f>
        <v>6271</v>
      </c>
      <c r="I127" s="1"/>
      <c r="J127" s="5">
        <f t="shared" si="54"/>
        <v>2.2938347019770652E-2</v>
      </c>
      <c r="K127" s="1"/>
      <c r="L127" s="1">
        <f t="shared" si="55"/>
        <v>-6271</v>
      </c>
      <c r="M127" s="1"/>
      <c r="N127" s="5">
        <f t="shared" si="56"/>
        <v>-1</v>
      </c>
      <c r="O127" s="13"/>
      <c r="P127" s="1">
        <f>SUM(OSRRefP22_12x_0)</f>
        <v>35159.06</v>
      </c>
      <c r="Q127" s="1"/>
      <c r="R127" s="5">
        <f t="shared" si="57"/>
        <v>1.5604673589767255E-2</v>
      </c>
      <c r="S127" s="1"/>
      <c r="T127" s="1">
        <f>SUM(OSRRefT22_12x_0)</f>
        <v>75252</v>
      </c>
      <c r="U127" s="1"/>
      <c r="V127" s="5">
        <f t="shared" si="58"/>
        <v>2.14103421295967E-2</v>
      </c>
      <c r="W127" s="1"/>
      <c r="X127" s="1">
        <f t="shared" si="59"/>
        <v>-40092.94</v>
      </c>
      <c r="Y127" s="1"/>
      <c r="Z127" s="5">
        <f t="shared" si="60"/>
        <v>-0.53278238452134163</v>
      </c>
    </row>
    <row r="128" spans="1:26" s="24" customFormat="1" hidden="1" outlineLevel="2" x14ac:dyDescent="0.25">
      <c r="A128" s="26"/>
      <c r="B128" s="11" t="str">
        <f>CONCATENATE("          ", "6252", " - ", "ROYALTY DUE CSTV")</f>
        <v xml:space="preserve">          6252 - ROYALTY DUE CSTV</v>
      </c>
      <c r="C128" s="11"/>
      <c r="D128" s="6"/>
      <c r="E128" s="2"/>
      <c r="F128" s="7">
        <f t="shared" si="53"/>
        <v>0</v>
      </c>
      <c r="G128" s="2"/>
      <c r="H128" s="6">
        <v>1085</v>
      </c>
      <c r="I128" s="2"/>
      <c r="J128" s="7">
        <f t="shared" si="54"/>
        <v>3.968762002304442E-3</v>
      </c>
      <c r="K128" s="2"/>
      <c r="L128" s="6">
        <f t="shared" si="55"/>
        <v>-1085</v>
      </c>
      <c r="M128" s="2"/>
      <c r="N128" s="7">
        <f t="shared" si="56"/>
        <v>-1</v>
      </c>
      <c r="O128" s="11"/>
      <c r="P128" s="6"/>
      <c r="Q128" s="2"/>
      <c r="R128" s="7">
        <f t="shared" si="57"/>
        <v>0</v>
      </c>
      <c r="S128" s="2"/>
      <c r="T128" s="6">
        <v>13020</v>
      </c>
      <c r="U128" s="2"/>
      <c r="V128" s="7">
        <f t="shared" si="58"/>
        <v>3.7043886478412406E-3</v>
      </c>
      <c r="W128" s="2"/>
      <c r="X128" s="6">
        <f t="shared" si="59"/>
        <v>-13020</v>
      </c>
      <c r="Y128" s="2"/>
      <c r="Z128" s="7">
        <f t="shared" si="60"/>
        <v>-1</v>
      </c>
    </row>
    <row r="129" spans="1:26" s="24" customFormat="1" hidden="1" outlineLevel="2" x14ac:dyDescent="0.25">
      <c r="A129" s="26"/>
      <c r="B129" s="11" t="str">
        <f>CONCATENATE("          ", "6253", " - ", "ROYALTY DUE ATHLETICS-LRG")</f>
        <v xml:space="preserve">          6253 - ROYALTY DUE ATHLETICS-LRG</v>
      </c>
      <c r="C129" s="11"/>
      <c r="D129" s="6"/>
      <c r="E129" s="2"/>
      <c r="F129" s="7">
        <f t="shared" si="53"/>
        <v>0</v>
      </c>
      <c r="G129" s="2"/>
      <c r="H129" s="6">
        <v>4037</v>
      </c>
      <c r="I129" s="2"/>
      <c r="J129" s="7">
        <f t="shared" si="54"/>
        <v>1.4766720924703257E-2</v>
      </c>
      <c r="K129" s="2"/>
      <c r="L129" s="6">
        <f t="shared" si="55"/>
        <v>-4037</v>
      </c>
      <c r="M129" s="2"/>
      <c r="N129" s="7">
        <f t="shared" si="56"/>
        <v>-1</v>
      </c>
      <c r="O129" s="11"/>
      <c r="P129" s="6">
        <v>35159.06</v>
      </c>
      <c r="Q129" s="2"/>
      <c r="R129" s="7">
        <f t="shared" si="57"/>
        <v>1.5604673589767255E-2</v>
      </c>
      <c r="S129" s="2"/>
      <c r="T129" s="6">
        <v>48444</v>
      </c>
      <c r="U129" s="2"/>
      <c r="V129" s="7">
        <f t="shared" si="58"/>
        <v>1.3783057116437869E-2</v>
      </c>
      <c r="W129" s="2"/>
      <c r="X129" s="6">
        <f t="shared" si="59"/>
        <v>-13284.940000000002</v>
      </c>
      <c r="Y129" s="2"/>
      <c r="Z129" s="7">
        <f t="shared" si="60"/>
        <v>-0.27423292874246558</v>
      </c>
    </row>
    <row r="130" spans="1:26" s="24" customFormat="1" hidden="1" outlineLevel="2" x14ac:dyDescent="0.25">
      <c r="A130" s="26"/>
      <c r="B130" s="11" t="str">
        <f>CONCATENATE("          ", "6254", " - ", "ROYALTY &amp; COMMISSIONS")</f>
        <v xml:space="preserve">          6254 - ROYALTY &amp; COMMISSIONS</v>
      </c>
      <c r="C130" s="11"/>
      <c r="D130" s="6"/>
      <c r="E130" s="2"/>
      <c r="F130" s="7">
        <f t="shared" si="53"/>
        <v>0</v>
      </c>
      <c r="G130" s="2"/>
      <c r="H130" s="6">
        <v>1149</v>
      </c>
      <c r="I130" s="2"/>
      <c r="J130" s="7">
        <f t="shared" si="54"/>
        <v>4.2028640927629533E-3</v>
      </c>
      <c r="K130" s="2"/>
      <c r="L130" s="6">
        <f t="shared" si="55"/>
        <v>-1149</v>
      </c>
      <c r="M130" s="2"/>
      <c r="N130" s="7">
        <f t="shared" si="56"/>
        <v>-1</v>
      </c>
      <c r="O130" s="11"/>
      <c r="P130" s="6"/>
      <c r="Q130" s="2"/>
      <c r="R130" s="7">
        <f t="shared" si="57"/>
        <v>0</v>
      </c>
      <c r="S130" s="2"/>
      <c r="T130" s="6">
        <v>13788</v>
      </c>
      <c r="U130" s="2"/>
      <c r="V130" s="7">
        <f t="shared" si="58"/>
        <v>3.9228963653175899E-3</v>
      </c>
      <c r="W130" s="2"/>
      <c r="X130" s="6">
        <f t="shared" si="59"/>
        <v>-13788</v>
      </c>
      <c r="Y130" s="2"/>
      <c r="Z130" s="7">
        <f t="shared" si="60"/>
        <v>-1</v>
      </c>
    </row>
    <row r="131" spans="1:26" s="27" customFormat="1" outlineLevel="1" collapsed="1" x14ac:dyDescent="0.25">
      <c r="A131" s="25"/>
      <c r="B131" s="13" t="str">
        <f>CONCATENATE("     ","Subscriptions &amp; Dues                              ")</f>
        <v xml:space="preserve">     Subscriptions &amp; Dues                              </v>
      </c>
      <c r="C131" s="13"/>
      <c r="D131" s="1">
        <f>SUM(OSRRefD22_13x_0)</f>
        <v>0</v>
      </c>
      <c r="E131" s="1"/>
      <c r="F131" s="5">
        <f t="shared" ref="F131:F133" si="61">IF(D$12=0,0,D131/D$12)</f>
        <v>0</v>
      </c>
      <c r="G131" s="1"/>
      <c r="H131" s="1">
        <f>SUM(OSRRefH22_13x_0)</f>
        <v>0</v>
      </c>
      <c r="I131" s="1"/>
      <c r="J131" s="5">
        <f t="shared" ref="J131:J133" si="62">IF(H$12=0,0,H131/H$12)</f>
        <v>0</v>
      </c>
      <c r="K131" s="1"/>
      <c r="L131" s="1">
        <f t="shared" ref="L131:L133" si="63">+D131-H131</f>
        <v>0</v>
      </c>
      <c r="M131" s="1"/>
      <c r="N131" s="5">
        <f t="shared" ref="N131:N133" si="64">IF(H131=0,0,L131/H131)</f>
        <v>0</v>
      </c>
      <c r="O131" s="13"/>
      <c r="P131" s="1">
        <f>SUM(OSRRefP22_13x_0)</f>
        <v>-206.41999999999996</v>
      </c>
      <c r="Q131" s="1"/>
      <c r="R131" s="5">
        <f t="shared" ref="R131:R133" si="65">IF(P$12=0,0,P131/P$12)</f>
        <v>-9.1615552930020207E-5</v>
      </c>
      <c r="S131" s="1"/>
      <c r="T131" s="1">
        <f>SUM(OSRRefT22_13x_0)</f>
        <v>1000</v>
      </c>
      <c r="U131" s="1"/>
      <c r="V131" s="5">
        <f t="shared" ref="V131:V133" si="66">IF(T$12=0,0,T131/T$12)</f>
        <v>2.8451525713066365E-4</v>
      </c>
      <c r="W131" s="1"/>
      <c r="X131" s="1">
        <f t="shared" ref="X131:X133" si="67">+P131-T131</f>
        <v>-1206.42</v>
      </c>
      <c r="Y131" s="1"/>
      <c r="Z131" s="5">
        <f t="shared" ref="Z131:Z133" si="68">IF(T131=0,0,X131/T131)</f>
        <v>-1.20642</v>
      </c>
    </row>
    <row r="132" spans="1:26" s="24" customFormat="1" hidden="1" outlineLevel="2" x14ac:dyDescent="0.25">
      <c r="A132" s="26"/>
      <c r="B132" s="11" t="str">
        <f>CONCATENATE("          ", "6258", " - ", "MEMBERSHIP DUES")</f>
        <v xml:space="preserve">          6258 - MEMBERSHIP DUES</v>
      </c>
      <c r="C132" s="11"/>
      <c r="D132" s="6"/>
      <c r="E132" s="2"/>
      <c r="F132" s="7">
        <f t="shared" si="61"/>
        <v>0</v>
      </c>
      <c r="G132" s="2"/>
      <c r="H132" s="6">
        <v>0</v>
      </c>
      <c r="I132" s="2"/>
      <c r="J132" s="7">
        <f t="shared" si="62"/>
        <v>0</v>
      </c>
      <c r="K132" s="2"/>
      <c r="L132" s="6">
        <f t="shared" si="63"/>
        <v>0</v>
      </c>
      <c r="M132" s="2"/>
      <c r="N132" s="7">
        <f t="shared" si="64"/>
        <v>0</v>
      </c>
      <c r="O132" s="11"/>
      <c r="P132" s="6">
        <v>-282.14999999999998</v>
      </c>
      <c r="Q132" s="2"/>
      <c r="R132" s="7">
        <f t="shared" si="65"/>
        <v>-1.252268591183277E-4</v>
      </c>
      <c r="S132" s="2"/>
      <c r="T132" s="6">
        <v>1000</v>
      </c>
      <c r="U132" s="2"/>
      <c r="V132" s="7">
        <f t="shared" si="66"/>
        <v>2.8451525713066365E-4</v>
      </c>
      <c r="W132" s="2"/>
      <c r="X132" s="6">
        <f t="shared" si="67"/>
        <v>-1282.1500000000001</v>
      </c>
      <c r="Y132" s="2"/>
      <c r="Z132" s="7">
        <f t="shared" si="68"/>
        <v>-1.2821500000000001</v>
      </c>
    </row>
    <row r="133" spans="1:26" s="24" customFormat="1" hidden="1" outlineLevel="2" x14ac:dyDescent="0.25">
      <c r="A133" s="26"/>
      <c r="B133" s="11" t="str">
        <f>CONCATENATE("          ", "6275", " - ", "SUBSCRIPTIONS")</f>
        <v xml:space="preserve">          6275 - SUBSCRIPTIONS</v>
      </c>
      <c r="C133" s="11"/>
      <c r="D133" s="6"/>
      <c r="E133" s="2"/>
      <c r="F133" s="7">
        <f t="shared" si="61"/>
        <v>0</v>
      </c>
      <c r="G133" s="2"/>
      <c r="H133" s="6"/>
      <c r="I133" s="2"/>
      <c r="J133" s="7">
        <f t="shared" si="62"/>
        <v>0</v>
      </c>
      <c r="K133" s="2"/>
      <c r="L133" s="6">
        <f t="shared" si="63"/>
        <v>0</v>
      </c>
      <c r="M133" s="2"/>
      <c r="N133" s="7">
        <f t="shared" si="64"/>
        <v>0</v>
      </c>
      <c r="O133" s="11"/>
      <c r="P133" s="6">
        <v>75.73</v>
      </c>
      <c r="Q133" s="2"/>
      <c r="R133" s="7">
        <f t="shared" si="65"/>
        <v>3.361130618830749E-5</v>
      </c>
      <c r="S133" s="2"/>
      <c r="T133" s="6">
        <v>0</v>
      </c>
      <c r="U133" s="2"/>
      <c r="V133" s="7">
        <f t="shared" si="66"/>
        <v>0</v>
      </c>
      <c r="W133" s="2"/>
      <c r="X133" s="6">
        <f t="shared" si="67"/>
        <v>75.73</v>
      </c>
      <c r="Y133" s="2"/>
      <c r="Z133" s="7">
        <f t="shared" si="68"/>
        <v>0</v>
      </c>
    </row>
    <row r="134" spans="1:26" s="27" customFormat="1" outlineLevel="1" collapsed="1" x14ac:dyDescent="0.25">
      <c r="A134" s="25"/>
      <c r="B134" s="13" t="str">
        <f>CONCATENATE("     ","Supplies                                          ")</f>
        <v xml:space="preserve">     Supplies                                          </v>
      </c>
      <c r="C134" s="13"/>
      <c r="D134" s="1">
        <f>SUM(OSRRefD22_14x_0)</f>
        <v>910.76</v>
      </c>
      <c r="E134" s="1"/>
      <c r="F134" s="5">
        <f t="shared" ref="F134:F141" si="69">IF(D$12=0,0,D134/D$12)</f>
        <v>4.1024471261969595E-3</v>
      </c>
      <c r="G134" s="1"/>
      <c r="H134" s="1">
        <f>SUM(OSRRefH22_14x_0)</f>
        <v>450</v>
      </c>
      <c r="I134" s="1"/>
      <c r="J134" s="5">
        <f t="shared" ref="J134:J141" si="70">IF(H$12=0,0,H134/H$12)</f>
        <v>1.6460303235364046E-3</v>
      </c>
      <c r="K134" s="1"/>
      <c r="L134" s="1">
        <f t="shared" ref="L134:L141" si="71">+D134-H134</f>
        <v>460.76</v>
      </c>
      <c r="M134" s="1"/>
      <c r="N134" s="5">
        <f t="shared" ref="N134:N141" si="72">IF(H134=0,0,L134/H134)</f>
        <v>1.023911111111111</v>
      </c>
      <c r="O134" s="13"/>
      <c r="P134" s="1">
        <f>SUM(OSRRefP22_14x_0)</f>
        <v>4722.29</v>
      </c>
      <c r="Q134" s="1"/>
      <c r="R134" s="5">
        <f t="shared" ref="R134:R141" si="73">IF(P$12=0,0,P134/P$12)</f>
        <v>2.095897730093524E-3</v>
      </c>
      <c r="S134" s="1"/>
      <c r="T134" s="1">
        <f>SUM(OSRRefT22_14x_0)</f>
        <v>5400</v>
      </c>
      <c r="U134" s="1"/>
      <c r="V134" s="5">
        <f t="shared" ref="V134:V141" si="74">IF(T$12=0,0,T134/T$12)</f>
        <v>1.5363823885055836E-3</v>
      </c>
      <c r="W134" s="1"/>
      <c r="X134" s="1">
        <f t="shared" ref="X134:X141" si="75">+P134-T134</f>
        <v>-677.71</v>
      </c>
      <c r="Y134" s="1"/>
      <c r="Z134" s="5">
        <f t="shared" ref="Z134:Z141" si="76">IF(T134=0,0,X134/T134)</f>
        <v>-0.12550185185185186</v>
      </c>
    </row>
    <row r="135" spans="1:26" s="24" customFormat="1" hidden="1" outlineLevel="2" x14ac:dyDescent="0.25">
      <c r="A135" s="26"/>
      <c r="B135" s="11" t="str">
        <f>CONCATENATE("          ", "6234", " - ", "EXPENDABLE SUPPLIES &amp; EQUIPMEN")</f>
        <v xml:space="preserve">          6234 - EXPENDABLE SUPPLIES &amp; EQUIPMEN</v>
      </c>
      <c r="C135" s="11"/>
      <c r="D135" s="6"/>
      <c r="E135" s="2"/>
      <c r="F135" s="7">
        <f t="shared" si="69"/>
        <v>0</v>
      </c>
      <c r="G135" s="2"/>
      <c r="H135" s="6">
        <v>50</v>
      </c>
      <c r="I135" s="2"/>
      <c r="J135" s="7">
        <f t="shared" si="70"/>
        <v>1.8289225817071163E-4</v>
      </c>
      <c r="K135" s="2"/>
      <c r="L135" s="6">
        <f t="shared" si="71"/>
        <v>-50</v>
      </c>
      <c r="M135" s="2"/>
      <c r="N135" s="7">
        <f t="shared" si="72"/>
        <v>-1</v>
      </c>
      <c r="O135" s="11"/>
      <c r="P135" s="6">
        <v>449.5</v>
      </c>
      <c r="Q135" s="2"/>
      <c r="R135" s="7">
        <f t="shared" si="73"/>
        <v>1.995019428448992E-4</v>
      </c>
      <c r="S135" s="2"/>
      <c r="T135" s="6">
        <v>600</v>
      </c>
      <c r="U135" s="2"/>
      <c r="V135" s="7">
        <f t="shared" si="74"/>
        <v>1.7070915427839817E-4</v>
      </c>
      <c r="W135" s="2"/>
      <c r="X135" s="6">
        <f t="shared" si="75"/>
        <v>-150.5</v>
      </c>
      <c r="Y135" s="2"/>
      <c r="Z135" s="7">
        <f t="shared" si="76"/>
        <v>-0.25083333333333335</v>
      </c>
    </row>
    <row r="136" spans="1:26" s="24" customFormat="1" hidden="1" outlineLevel="2" x14ac:dyDescent="0.25">
      <c r="A136" s="26"/>
      <c r="B136" s="11" t="str">
        <f>CONCATENATE("          ", "6235", " - ", "COVID-19 EXPENSES")</f>
        <v xml:space="preserve">          6235 - COVID-19 EXPENSES</v>
      </c>
      <c r="C136" s="11"/>
      <c r="D136" s="6"/>
      <c r="E136" s="2"/>
      <c r="F136" s="7">
        <f t="shared" si="69"/>
        <v>0</v>
      </c>
      <c r="G136" s="2"/>
      <c r="H136" s="6">
        <v>100</v>
      </c>
      <c r="I136" s="2"/>
      <c r="J136" s="7">
        <f t="shared" si="70"/>
        <v>3.6578451634142325E-4</v>
      </c>
      <c r="K136" s="2"/>
      <c r="L136" s="6">
        <f t="shared" si="71"/>
        <v>-100</v>
      </c>
      <c r="M136" s="2"/>
      <c r="N136" s="7">
        <f t="shared" si="72"/>
        <v>-1</v>
      </c>
      <c r="O136" s="11"/>
      <c r="P136" s="6">
        <v>1026.43</v>
      </c>
      <c r="Q136" s="2"/>
      <c r="R136" s="7">
        <f t="shared" si="73"/>
        <v>4.5556124403624005E-4</v>
      </c>
      <c r="S136" s="2"/>
      <c r="T136" s="6">
        <v>1200</v>
      </c>
      <c r="U136" s="2"/>
      <c r="V136" s="7">
        <f t="shared" si="74"/>
        <v>3.4141830855679634E-4</v>
      </c>
      <c r="W136" s="2"/>
      <c r="X136" s="6">
        <f t="shared" si="75"/>
        <v>-173.56999999999994</v>
      </c>
      <c r="Y136" s="2"/>
      <c r="Z136" s="7">
        <f t="shared" si="76"/>
        <v>-0.14464166666666661</v>
      </c>
    </row>
    <row r="137" spans="1:26" s="24" customFormat="1" hidden="1" outlineLevel="2" x14ac:dyDescent="0.25">
      <c r="A137" s="26"/>
      <c r="B137" s="11" t="str">
        <f>CONCATENATE("          ", "6237", " - ", "JANITORIAL SUPPLIES")</f>
        <v xml:space="preserve">          6237 - JANITORIAL SUPPLIES</v>
      </c>
      <c r="C137" s="11"/>
      <c r="D137" s="6"/>
      <c r="E137" s="2"/>
      <c r="F137" s="7">
        <f t="shared" si="69"/>
        <v>0</v>
      </c>
      <c r="G137" s="2"/>
      <c r="H137" s="6">
        <v>50</v>
      </c>
      <c r="I137" s="2"/>
      <c r="J137" s="7">
        <f t="shared" si="70"/>
        <v>1.8289225817071163E-4</v>
      </c>
      <c r="K137" s="2"/>
      <c r="L137" s="6">
        <f t="shared" si="71"/>
        <v>-50</v>
      </c>
      <c r="M137" s="2"/>
      <c r="N137" s="7">
        <f t="shared" si="72"/>
        <v>-1</v>
      </c>
      <c r="O137" s="11"/>
      <c r="P137" s="6"/>
      <c r="Q137" s="2"/>
      <c r="R137" s="7">
        <f t="shared" si="73"/>
        <v>0</v>
      </c>
      <c r="S137" s="2"/>
      <c r="T137" s="6">
        <v>600</v>
      </c>
      <c r="U137" s="2"/>
      <c r="V137" s="7">
        <f t="shared" si="74"/>
        <v>1.7070915427839817E-4</v>
      </c>
      <c r="W137" s="2"/>
      <c r="X137" s="6">
        <f t="shared" si="75"/>
        <v>-600</v>
      </c>
      <c r="Y137" s="2"/>
      <c r="Z137" s="7">
        <f t="shared" si="76"/>
        <v>-1</v>
      </c>
    </row>
    <row r="138" spans="1:26" s="24" customFormat="1" hidden="1" outlineLevel="2" x14ac:dyDescent="0.25">
      <c r="A138" s="26"/>
      <c r="B138" s="11" t="str">
        <f>CONCATENATE("          ", "6241", " - ", "OFFICE EXPENSE")</f>
        <v xml:space="preserve">          6241 - OFFICE EXPENSE</v>
      </c>
      <c r="C138" s="11"/>
      <c r="D138" s="6">
        <v>432.21</v>
      </c>
      <c r="E138" s="2"/>
      <c r="F138" s="7">
        <f t="shared" si="69"/>
        <v>1.9468561118336201E-3</v>
      </c>
      <c r="G138" s="2"/>
      <c r="H138" s="6">
        <v>100</v>
      </c>
      <c r="I138" s="2"/>
      <c r="J138" s="7">
        <f t="shared" si="70"/>
        <v>3.6578451634142325E-4</v>
      </c>
      <c r="K138" s="2"/>
      <c r="L138" s="6">
        <f t="shared" si="71"/>
        <v>332.21</v>
      </c>
      <c r="M138" s="2"/>
      <c r="N138" s="7">
        <f t="shared" si="72"/>
        <v>3.3220999999999998</v>
      </c>
      <c r="O138" s="11"/>
      <c r="P138" s="6">
        <v>1657.58</v>
      </c>
      <c r="Q138" s="2"/>
      <c r="R138" s="7">
        <f t="shared" si="73"/>
        <v>7.3568505099187546E-4</v>
      </c>
      <c r="S138" s="2"/>
      <c r="T138" s="6">
        <v>1200</v>
      </c>
      <c r="U138" s="2"/>
      <c r="V138" s="7">
        <f t="shared" si="74"/>
        <v>3.4141830855679634E-4</v>
      </c>
      <c r="W138" s="2"/>
      <c r="X138" s="6">
        <f t="shared" si="75"/>
        <v>457.57999999999993</v>
      </c>
      <c r="Y138" s="2"/>
      <c r="Z138" s="7">
        <f t="shared" si="76"/>
        <v>0.38131666666666658</v>
      </c>
    </row>
    <row r="139" spans="1:26" s="24" customFormat="1" hidden="1" outlineLevel="2" x14ac:dyDescent="0.25">
      <c r="A139" s="26"/>
      <c r="B139" s="11" t="str">
        <f>CONCATENATE("          ", "6243", " - ", "PAPER SUPPLIES")</f>
        <v xml:space="preserve">          6243 - PAPER SUPPLIES</v>
      </c>
      <c r="C139" s="11"/>
      <c r="D139" s="6"/>
      <c r="E139" s="2"/>
      <c r="F139" s="7">
        <f t="shared" si="69"/>
        <v>0</v>
      </c>
      <c r="G139" s="2"/>
      <c r="H139" s="6">
        <v>50</v>
      </c>
      <c r="I139" s="2"/>
      <c r="J139" s="7">
        <f t="shared" si="70"/>
        <v>1.8289225817071163E-4</v>
      </c>
      <c r="K139" s="2"/>
      <c r="L139" s="6">
        <f t="shared" si="71"/>
        <v>-50</v>
      </c>
      <c r="M139" s="2"/>
      <c r="N139" s="7">
        <f t="shared" si="72"/>
        <v>-1</v>
      </c>
      <c r="O139" s="11"/>
      <c r="P139" s="6"/>
      <c r="Q139" s="2"/>
      <c r="R139" s="7">
        <f t="shared" si="73"/>
        <v>0</v>
      </c>
      <c r="S139" s="2"/>
      <c r="T139" s="6">
        <v>600</v>
      </c>
      <c r="U139" s="2"/>
      <c r="V139" s="7">
        <f t="shared" si="74"/>
        <v>1.7070915427839817E-4</v>
      </c>
      <c r="W139" s="2"/>
      <c r="X139" s="6">
        <f t="shared" si="75"/>
        <v>-600</v>
      </c>
      <c r="Y139" s="2"/>
      <c r="Z139" s="7">
        <f t="shared" si="76"/>
        <v>-1</v>
      </c>
    </row>
    <row r="140" spans="1:26" s="24" customFormat="1" hidden="1" outlineLevel="2" x14ac:dyDescent="0.25">
      <c r="A140" s="26"/>
      <c r="B140" s="11" t="str">
        <f>CONCATENATE("          ", "6245", " - ", "PRINTING")</f>
        <v xml:space="preserve">          6245 - PRINTING</v>
      </c>
      <c r="C140" s="11"/>
      <c r="D140" s="6">
        <v>0</v>
      </c>
      <c r="E140" s="2"/>
      <c r="F140" s="7">
        <f t="shared" si="69"/>
        <v>0</v>
      </c>
      <c r="G140" s="2"/>
      <c r="H140" s="6">
        <v>50</v>
      </c>
      <c r="I140" s="2"/>
      <c r="J140" s="7">
        <f t="shared" si="70"/>
        <v>1.8289225817071163E-4</v>
      </c>
      <c r="K140" s="2"/>
      <c r="L140" s="6">
        <f t="shared" si="71"/>
        <v>-50</v>
      </c>
      <c r="M140" s="2"/>
      <c r="N140" s="7">
        <f t="shared" si="72"/>
        <v>-1</v>
      </c>
      <c r="O140" s="11"/>
      <c r="P140" s="6">
        <v>0</v>
      </c>
      <c r="Q140" s="2"/>
      <c r="R140" s="7">
        <f t="shared" si="73"/>
        <v>0</v>
      </c>
      <c r="S140" s="2"/>
      <c r="T140" s="6">
        <v>600</v>
      </c>
      <c r="U140" s="2"/>
      <c r="V140" s="7">
        <f t="shared" si="74"/>
        <v>1.7070915427839817E-4</v>
      </c>
      <c r="W140" s="2"/>
      <c r="X140" s="6">
        <f t="shared" si="75"/>
        <v>-600</v>
      </c>
      <c r="Y140" s="2"/>
      <c r="Z140" s="7">
        <f t="shared" si="76"/>
        <v>-1</v>
      </c>
    </row>
    <row r="141" spans="1:26" s="24" customFormat="1" hidden="1" outlineLevel="2" x14ac:dyDescent="0.25">
      <c r="A141" s="26"/>
      <c r="B141" s="11" t="str">
        <f>CONCATENATE("          ", "6247", " - ", "STORE SUPPLIES")</f>
        <v xml:space="preserve">          6247 - STORE SUPPLIES</v>
      </c>
      <c r="C141" s="11"/>
      <c r="D141" s="6">
        <v>478.55</v>
      </c>
      <c r="E141" s="2"/>
      <c r="F141" s="7">
        <f t="shared" si="69"/>
        <v>2.1555910143633396E-3</v>
      </c>
      <c r="G141" s="2"/>
      <c r="H141" s="6">
        <v>50</v>
      </c>
      <c r="I141" s="2"/>
      <c r="J141" s="7">
        <f t="shared" si="70"/>
        <v>1.8289225817071163E-4</v>
      </c>
      <c r="K141" s="2"/>
      <c r="L141" s="6">
        <f t="shared" si="71"/>
        <v>428.55</v>
      </c>
      <c r="M141" s="2"/>
      <c r="N141" s="7">
        <f t="shared" si="72"/>
        <v>8.5709999999999997</v>
      </c>
      <c r="O141" s="11"/>
      <c r="P141" s="6">
        <v>1588.78</v>
      </c>
      <c r="Q141" s="2"/>
      <c r="R141" s="7">
        <f t="shared" si="73"/>
        <v>7.0514949222050933E-4</v>
      </c>
      <c r="S141" s="2"/>
      <c r="T141" s="6">
        <v>600</v>
      </c>
      <c r="U141" s="2"/>
      <c r="V141" s="7">
        <f t="shared" si="74"/>
        <v>1.7070915427839817E-4</v>
      </c>
      <c r="W141" s="2"/>
      <c r="X141" s="6">
        <f t="shared" si="75"/>
        <v>988.78</v>
      </c>
      <c r="Y141" s="2"/>
      <c r="Z141" s="7">
        <f t="shared" si="76"/>
        <v>1.6479666666666666</v>
      </c>
    </row>
    <row r="142" spans="1:26" s="27" customFormat="1" outlineLevel="1" collapsed="1" x14ac:dyDescent="0.25">
      <c r="A142" s="25"/>
      <c r="B142" s="13" t="str">
        <f>CONCATENATE("     ","Telephone/Data Lines                              ")</f>
        <v xml:space="preserve">     Telephone/Data Lines                              </v>
      </c>
      <c r="C142" s="13"/>
      <c r="D142" s="1">
        <f>SUM(OSRRefD22_15x_0)</f>
        <v>255.1</v>
      </c>
      <c r="E142" s="1"/>
      <c r="F142" s="5">
        <f t="shared" ref="F142:F148" si="77">IF(D$12=0,0,D142/D$12)</f>
        <v>1.1490779809091795E-3</v>
      </c>
      <c r="G142" s="1"/>
      <c r="H142" s="1">
        <f>SUM(OSRRefH22_15x_0)</f>
        <v>600</v>
      </c>
      <c r="I142" s="1"/>
      <c r="J142" s="5">
        <f t="shared" ref="J142:J148" si="78">IF(H$12=0,0,H142/H$12)</f>
        <v>2.1947070980485395E-3</v>
      </c>
      <c r="K142" s="1"/>
      <c r="L142" s="1">
        <f t="shared" ref="L142:L148" si="79">+D142-H142</f>
        <v>-344.9</v>
      </c>
      <c r="M142" s="1"/>
      <c r="N142" s="5">
        <f t="shared" ref="N142:N148" si="80">IF(H142=0,0,L142/H142)</f>
        <v>-0.57483333333333331</v>
      </c>
      <c r="O142" s="13"/>
      <c r="P142" s="1">
        <f>SUM(OSRRefP22_15x_0)</f>
        <v>3412.44</v>
      </c>
      <c r="Q142" s="1"/>
      <c r="R142" s="5">
        <f t="shared" ref="R142:R148" si="81">IF(P$12=0,0,P142/P$12)</f>
        <v>1.514545961827915E-3</v>
      </c>
      <c r="S142" s="1"/>
      <c r="T142" s="1">
        <f>SUM(OSRRefT22_15x_0)</f>
        <v>7200</v>
      </c>
      <c r="U142" s="1"/>
      <c r="V142" s="5">
        <f t="shared" ref="V142:V148" si="82">IF(T$12=0,0,T142/T$12)</f>
        <v>2.0485098513407783E-3</v>
      </c>
      <c r="W142" s="1"/>
      <c r="X142" s="1">
        <f t="shared" ref="X142:X148" si="83">+P142-T142</f>
        <v>-3787.56</v>
      </c>
      <c r="Y142" s="1"/>
      <c r="Z142" s="5">
        <f t="shared" ref="Z142:Z148" si="84">IF(T142=0,0,X142/T142)</f>
        <v>-0.52605000000000002</v>
      </c>
    </row>
    <row r="143" spans="1:26" s="24" customFormat="1" hidden="1" outlineLevel="2" x14ac:dyDescent="0.25">
      <c r="A143" s="26"/>
      <c r="B143" s="11" t="str">
        <f>CONCATENATE("          ", "6309", " - ", "TELEPHONE")</f>
        <v xml:space="preserve">          6309 - TELEPHONE</v>
      </c>
      <c r="C143" s="11"/>
      <c r="D143" s="6">
        <v>255.1</v>
      </c>
      <c r="E143" s="2"/>
      <c r="F143" s="7">
        <f t="shared" si="77"/>
        <v>1.1490779809091795E-3</v>
      </c>
      <c r="G143" s="2"/>
      <c r="H143" s="6">
        <v>600</v>
      </c>
      <c r="I143" s="2"/>
      <c r="J143" s="7">
        <f t="shared" si="78"/>
        <v>2.1947070980485395E-3</v>
      </c>
      <c r="K143" s="2"/>
      <c r="L143" s="6">
        <f t="shared" si="79"/>
        <v>-344.9</v>
      </c>
      <c r="M143" s="2"/>
      <c r="N143" s="7">
        <f t="shared" si="80"/>
        <v>-0.57483333333333331</v>
      </c>
      <c r="O143" s="11"/>
      <c r="P143" s="6">
        <v>3412.44</v>
      </c>
      <c r="Q143" s="2"/>
      <c r="R143" s="7">
        <f t="shared" si="81"/>
        <v>1.514545961827915E-3</v>
      </c>
      <c r="S143" s="2"/>
      <c r="T143" s="6">
        <v>7200</v>
      </c>
      <c r="U143" s="2"/>
      <c r="V143" s="7">
        <f t="shared" si="82"/>
        <v>2.0485098513407783E-3</v>
      </c>
      <c r="W143" s="2"/>
      <c r="X143" s="6">
        <f t="shared" si="83"/>
        <v>-3787.56</v>
      </c>
      <c r="Y143" s="2"/>
      <c r="Z143" s="7">
        <f t="shared" si="84"/>
        <v>-0.52605000000000002</v>
      </c>
    </row>
    <row r="144" spans="1:26" s="27" customFormat="1" outlineLevel="1" collapsed="1" x14ac:dyDescent="0.25">
      <c r="A144" s="25"/>
      <c r="B144" s="13" t="str">
        <f>CONCATENATE("     ","Training                                          ")</f>
        <v xml:space="preserve">     Training                                          </v>
      </c>
      <c r="C144" s="13"/>
      <c r="D144" s="1">
        <f>SUM(OSRRefD22_16x_0)</f>
        <v>0</v>
      </c>
      <c r="E144" s="1"/>
      <c r="F144" s="5">
        <f t="shared" si="77"/>
        <v>0</v>
      </c>
      <c r="G144" s="1"/>
      <c r="H144" s="1">
        <f>SUM(OSRRefH22_16x_0)</f>
        <v>0</v>
      </c>
      <c r="I144" s="1"/>
      <c r="J144" s="5">
        <f t="shared" si="78"/>
        <v>0</v>
      </c>
      <c r="K144" s="1"/>
      <c r="L144" s="1">
        <f t="shared" si="79"/>
        <v>0</v>
      </c>
      <c r="M144" s="1"/>
      <c r="N144" s="5">
        <f t="shared" si="80"/>
        <v>0</v>
      </c>
      <c r="O144" s="13"/>
      <c r="P144" s="1">
        <f>SUM(OSRRefP22_16x_0)</f>
        <v>0</v>
      </c>
      <c r="Q144" s="1"/>
      <c r="R144" s="5">
        <f t="shared" si="81"/>
        <v>0</v>
      </c>
      <c r="S144" s="1"/>
      <c r="T144" s="1">
        <f>SUM(OSRRefT22_16x_0)</f>
        <v>3600</v>
      </c>
      <c r="U144" s="1"/>
      <c r="V144" s="5">
        <f t="shared" si="82"/>
        <v>1.0242549256703891E-3</v>
      </c>
      <c r="W144" s="1"/>
      <c r="X144" s="1">
        <f t="shared" si="83"/>
        <v>-3600</v>
      </c>
      <c r="Y144" s="1"/>
      <c r="Z144" s="5">
        <f t="shared" si="84"/>
        <v>-1</v>
      </c>
    </row>
    <row r="145" spans="1:26" s="24" customFormat="1" hidden="1" outlineLevel="2" x14ac:dyDescent="0.25">
      <c r="A145" s="26"/>
      <c r="B145" s="11" t="str">
        <f>CONCATENATE("          ", "6376", " - ", "TRAINING")</f>
        <v xml:space="preserve">          6376 - TRAINING</v>
      </c>
      <c r="C145" s="11"/>
      <c r="D145" s="6"/>
      <c r="E145" s="2"/>
      <c r="F145" s="7">
        <f t="shared" si="77"/>
        <v>0</v>
      </c>
      <c r="G145" s="2"/>
      <c r="H145" s="6"/>
      <c r="I145" s="2"/>
      <c r="J145" s="7">
        <f t="shared" si="78"/>
        <v>0</v>
      </c>
      <c r="K145" s="2"/>
      <c r="L145" s="6">
        <f t="shared" si="79"/>
        <v>0</v>
      </c>
      <c r="M145" s="2"/>
      <c r="N145" s="7">
        <f t="shared" si="80"/>
        <v>0</v>
      </c>
      <c r="O145" s="11"/>
      <c r="P145" s="6"/>
      <c r="Q145" s="2"/>
      <c r="R145" s="7">
        <f t="shared" si="81"/>
        <v>0</v>
      </c>
      <c r="S145" s="2"/>
      <c r="T145" s="6">
        <v>3600</v>
      </c>
      <c r="U145" s="2"/>
      <c r="V145" s="7">
        <f t="shared" si="82"/>
        <v>1.0242549256703891E-3</v>
      </c>
      <c r="W145" s="2"/>
      <c r="X145" s="6">
        <f t="shared" si="83"/>
        <v>-3600</v>
      </c>
      <c r="Y145" s="2"/>
      <c r="Z145" s="7">
        <f t="shared" si="84"/>
        <v>-1</v>
      </c>
    </row>
    <row r="146" spans="1:26" s="27" customFormat="1" outlineLevel="1" collapsed="1" x14ac:dyDescent="0.25">
      <c r="A146" s="25"/>
      <c r="B146" s="13" t="str">
        <f>CONCATENATE("     ","Travel                                            ")</f>
        <v xml:space="preserve">     Travel                                            </v>
      </c>
      <c r="C146" s="13"/>
      <c r="D146" s="1">
        <f>SUM(OSRRefD22_17x_0)</f>
        <v>0</v>
      </c>
      <c r="E146" s="1"/>
      <c r="F146" s="5">
        <f t="shared" si="77"/>
        <v>0</v>
      </c>
      <c r="G146" s="1"/>
      <c r="H146" s="1">
        <f>SUM(OSRRefH22_17x_0)</f>
        <v>25</v>
      </c>
      <c r="I146" s="1"/>
      <c r="J146" s="5">
        <f t="shared" si="78"/>
        <v>9.1446129085355813E-5</v>
      </c>
      <c r="K146" s="1"/>
      <c r="L146" s="1">
        <f t="shared" si="79"/>
        <v>-25</v>
      </c>
      <c r="M146" s="1"/>
      <c r="N146" s="5">
        <f t="shared" si="80"/>
        <v>-1</v>
      </c>
      <c r="O146" s="13"/>
      <c r="P146" s="1">
        <f>SUM(OSRRefP22_17x_0)</f>
        <v>113.82</v>
      </c>
      <c r="Q146" s="1"/>
      <c r="R146" s="5">
        <f t="shared" si="81"/>
        <v>5.0516821211582706E-5</v>
      </c>
      <c r="S146" s="1"/>
      <c r="T146" s="1">
        <f>SUM(OSRRefT22_17x_0)</f>
        <v>300</v>
      </c>
      <c r="U146" s="1"/>
      <c r="V146" s="5">
        <f t="shared" si="82"/>
        <v>8.5354577139199085E-5</v>
      </c>
      <c r="W146" s="1"/>
      <c r="X146" s="1">
        <f t="shared" si="83"/>
        <v>-186.18</v>
      </c>
      <c r="Y146" s="1"/>
      <c r="Z146" s="5">
        <f t="shared" si="84"/>
        <v>-0.62060000000000004</v>
      </c>
    </row>
    <row r="147" spans="1:26" s="24" customFormat="1" hidden="1" outlineLevel="2" x14ac:dyDescent="0.25">
      <c r="A147" s="26"/>
      <c r="B147" s="11" t="str">
        <f>CONCATENATE("          ", "6294", " - ", "TRAVEL OPERATIONAL")</f>
        <v xml:space="preserve">          6294 - TRAVEL OPERATIONAL</v>
      </c>
      <c r="C147" s="11"/>
      <c r="D147" s="6"/>
      <c r="E147" s="2"/>
      <c r="F147" s="7">
        <f t="shared" si="77"/>
        <v>0</v>
      </c>
      <c r="G147" s="2"/>
      <c r="H147" s="6">
        <v>25</v>
      </c>
      <c r="I147" s="2"/>
      <c r="J147" s="7">
        <f t="shared" si="78"/>
        <v>9.1446129085355813E-5</v>
      </c>
      <c r="K147" s="2"/>
      <c r="L147" s="6">
        <f t="shared" si="79"/>
        <v>-25</v>
      </c>
      <c r="M147" s="2"/>
      <c r="N147" s="7">
        <f t="shared" si="80"/>
        <v>-1</v>
      </c>
      <c r="O147" s="11"/>
      <c r="P147" s="6">
        <v>113.82</v>
      </c>
      <c r="Q147" s="2"/>
      <c r="R147" s="7">
        <f t="shared" si="81"/>
        <v>5.0516821211582706E-5</v>
      </c>
      <c r="S147" s="2"/>
      <c r="T147" s="6">
        <v>300</v>
      </c>
      <c r="U147" s="2"/>
      <c r="V147" s="7">
        <f t="shared" si="82"/>
        <v>8.5354577139199085E-5</v>
      </c>
      <c r="W147" s="2"/>
      <c r="X147" s="6">
        <f t="shared" si="83"/>
        <v>-186.18</v>
      </c>
      <c r="Y147" s="2"/>
      <c r="Z147" s="7">
        <f t="shared" si="84"/>
        <v>-0.62060000000000004</v>
      </c>
    </row>
    <row r="148" spans="1:26" s="24" customFormat="1" hidden="1" outlineLevel="2" x14ac:dyDescent="0.25">
      <c r="A148" s="26"/>
      <c r="B148" s="11" t="str">
        <f>CONCATENATE("          ", "6298", " - ", "VEHICLE MILEAGE")</f>
        <v xml:space="preserve">          6298 - VEHICLE MILEAGE</v>
      </c>
      <c r="C148" s="11"/>
      <c r="D148" s="6"/>
      <c r="E148" s="2"/>
      <c r="F148" s="7">
        <f t="shared" si="77"/>
        <v>0</v>
      </c>
      <c r="G148" s="2"/>
      <c r="H148" s="6">
        <v>0</v>
      </c>
      <c r="I148" s="2"/>
      <c r="J148" s="7">
        <f t="shared" si="78"/>
        <v>0</v>
      </c>
      <c r="K148" s="2"/>
      <c r="L148" s="6">
        <f t="shared" si="79"/>
        <v>0</v>
      </c>
      <c r="M148" s="2"/>
      <c r="N148" s="7">
        <f t="shared" si="80"/>
        <v>0</v>
      </c>
      <c r="O148" s="11"/>
      <c r="P148" s="6"/>
      <c r="Q148" s="2"/>
      <c r="R148" s="7">
        <f t="shared" si="81"/>
        <v>0</v>
      </c>
      <c r="S148" s="2"/>
      <c r="T148" s="6">
        <v>0</v>
      </c>
      <c r="U148" s="2"/>
      <c r="V148" s="7">
        <f t="shared" si="82"/>
        <v>0</v>
      </c>
      <c r="W148" s="2"/>
      <c r="X148" s="6">
        <f t="shared" si="83"/>
        <v>0</v>
      </c>
      <c r="Y148" s="2"/>
      <c r="Z148" s="7">
        <f t="shared" si="84"/>
        <v>0</v>
      </c>
    </row>
    <row r="149" spans="1:26" s="61" customFormat="1" x14ac:dyDescent="0.25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25">
      <c r="A150" s="10"/>
      <c r="B150" s="29" t="s">
        <v>293</v>
      </c>
      <c r="C150" s="10"/>
      <c r="D150" s="4">
        <f>SUM(OSRRefD25x_0)</f>
        <v>381445.06</v>
      </c>
      <c r="E150" s="4"/>
      <c r="F150" s="12">
        <f t="shared" ref="F150:F154" si="85">IF(D$12=0,0,D150/D$12)</f>
        <v>1.7181894134558247</v>
      </c>
      <c r="G150" s="4"/>
      <c r="H150" s="4">
        <f>SUM(OSRRefH25x_0)</f>
        <v>221695</v>
      </c>
      <c r="I150" s="4"/>
      <c r="J150" s="12">
        <f t="shared" ref="J150:J154" si="86">IF(H$12=0,0,H150/H$12)</f>
        <v>0.81092598350311829</v>
      </c>
      <c r="K150" s="4"/>
      <c r="L150" s="4">
        <f t="shared" ref="L150:L154" si="87">+D150-H150</f>
        <v>159750.06</v>
      </c>
      <c r="M150" s="4"/>
      <c r="N150" s="12">
        <f t="shared" ref="N150:N154" si="88">IF(H150=0,0,L150/H150)</f>
        <v>0.72058485757459567</v>
      </c>
      <c r="O150" s="10"/>
      <c r="P150" s="4">
        <f>SUM(OSRRefP25x_0)</f>
        <v>794131.84000000008</v>
      </c>
      <c r="Q150" s="4"/>
      <c r="R150" s="12">
        <f t="shared" ref="R150:R154" si="89">IF(P$12=0,0,P150/P$12)</f>
        <v>0.3524601667519347</v>
      </c>
      <c r="S150" s="4"/>
      <c r="T150" s="4">
        <f>SUM(OSRRefT25x_0)</f>
        <v>657760</v>
      </c>
      <c r="U150" s="4"/>
      <c r="V150" s="12">
        <f t="shared" ref="V150:V154" si="90">IF(T$12=0,0,T150/T$12)</f>
        <v>0.1871427555302653</v>
      </c>
      <c r="W150" s="4"/>
      <c r="X150" s="4">
        <f t="shared" ref="X150:X154" si="91">+P150-T150</f>
        <v>136371.84000000008</v>
      </c>
      <c r="Y150" s="4"/>
      <c r="Z150" s="12">
        <f t="shared" ref="Z150:Z154" si="92">IF(T150=0,0,X150/T150)</f>
        <v>0.207327657504257</v>
      </c>
    </row>
    <row r="151" spans="1:26" s="24" customFormat="1" hidden="1" outlineLevel="1" x14ac:dyDescent="0.25">
      <c r="A151" s="44"/>
      <c r="B151" s="11" t="str">
        <f>CONCATENATE("          ", "4098", " - ", "TAXABLE SALES-GRAD RENTALS")</f>
        <v xml:space="preserve">          4098 - TAXABLE SALES-GRAD RENTALS</v>
      </c>
      <c r="C151" s="11"/>
      <c r="D151" s="2">
        <f>--1017.7</f>
        <v>1017.7</v>
      </c>
      <c r="E151" s="2"/>
      <c r="F151" s="19">
        <f t="shared" si="85"/>
        <v>4.5841499849912665E-3</v>
      </c>
      <c r="G151" s="2"/>
      <c r="H151" s="2"/>
      <c r="I151" s="2"/>
      <c r="J151" s="19">
        <f t="shared" si="86"/>
        <v>0</v>
      </c>
      <c r="K151" s="2"/>
      <c r="L151" s="2">
        <f t="shared" si="87"/>
        <v>1017.7</v>
      </c>
      <c r="M151" s="2"/>
      <c r="N151" s="19">
        <f t="shared" si="88"/>
        <v>0</v>
      </c>
      <c r="O151" s="11"/>
      <c r="P151" s="2">
        <f>--1067.65</f>
        <v>1067.6500000000001</v>
      </c>
      <c r="Q151" s="2"/>
      <c r="R151" s="19">
        <f t="shared" si="89"/>
        <v>4.7385594945129398E-4</v>
      </c>
      <c r="S151" s="2"/>
      <c r="T151" s="2"/>
      <c r="U151" s="2"/>
      <c r="V151" s="19">
        <f t="shared" si="90"/>
        <v>0</v>
      </c>
      <c r="W151" s="2"/>
      <c r="X151" s="2">
        <f t="shared" si="91"/>
        <v>1067.6500000000001</v>
      </c>
      <c r="Y151" s="2"/>
      <c r="Z151" s="19">
        <f t="shared" si="92"/>
        <v>0</v>
      </c>
    </row>
    <row r="152" spans="1:26" s="24" customFormat="1" hidden="1" outlineLevel="1" x14ac:dyDescent="0.25">
      <c r="A152" s="44"/>
      <c r="B152" s="11" t="str">
        <f>CONCATENATE("          ", "9150", " - ", "MISC. INCOME")</f>
        <v xml:space="preserve">          9150 - MISC. INCOME</v>
      </c>
      <c r="C152" s="11"/>
      <c r="D152" s="2">
        <f>--1666.87</f>
        <v>1666.87</v>
      </c>
      <c r="E152" s="2"/>
      <c r="F152" s="19">
        <f t="shared" si="85"/>
        <v>7.5082854333127563E-3</v>
      </c>
      <c r="G152" s="2"/>
      <c r="H152" s="2">
        <v>8075</v>
      </c>
      <c r="I152" s="2"/>
      <c r="J152" s="19">
        <f t="shared" si="86"/>
        <v>2.953709969456993E-2</v>
      </c>
      <c r="K152" s="2"/>
      <c r="L152" s="2">
        <f t="shared" si="87"/>
        <v>-6408.13</v>
      </c>
      <c r="M152" s="2"/>
      <c r="N152" s="19">
        <f t="shared" si="88"/>
        <v>-0.79357647058823533</v>
      </c>
      <c r="O152" s="11"/>
      <c r="P152" s="2">
        <f>--65963.14</f>
        <v>65963.14</v>
      </c>
      <c r="Q152" s="2"/>
      <c r="R152" s="19">
        <f t="shared" si="89"/>
        <v>2.9276472939154804E-2</v>
      </c>
      <c r="S152" s="2"/>
      <c r="T152" s="2">
        <v>96900</v>
      </c>
      <c r="U152" s="2"/>
      <c r="V152" s="19">
        <f t="shared" si="90"/>
        <v>2.7569528415961306E-2</v>
      </c>
      <c r="W152" s="2"/>
      <c r="X152" s="2">
        <f t="shared" si="91"/>
        <v>-30936.86</v>
      </c>
      <c r="Y152" s="2"/>
      <c r="Z152" s="19">
        <f t="shared" si="92"/>
        <v>-0.31926584107327144</v>
      </c>
    </row>
    <row r="153" spans="1:26" s="24" customFormat="1" hidden="1" outlineLevel="1" x14ac:dyDescent="0.25">
      <c r="A153" s="44"/>
      <c r="B153" s="11" t="str">
        <f>CONCATENATE("          ", "9151", " - ", "MISC. INCOME")</f>
        <v xml:space="preserve">          9151 - MISC. INCOME</v>
      </c>
      <c r="C153" s="11"/>
      <c r="D153" s="2">
        <f>0</f>
        <v>0</v>
      </c>
      <c r="E153" s="2"/>
      <c r="F153" s="19">
        <f t="shared" si="85"/>
        <v>0</v>
      </c>
      <c r="G153" s="2"/>
      <c r="H153" s="2">
        <v>213620</v>
      </c>
      <c r="I153" s="2"/>
      <c r="J153" s="19">
        <f t="shared" si="86"/>
        <v>0.78138888380854843</v>
      </c>
      <c r="K153" s="2"/>
      <c r="L153" s="2">
        <f t="shared" si="87"/>
        <v>-213620</v>
      </c>
      <c r="M153" s="2"/>
      <c r="N153" s="19">
        <f t="shared" si="88"/>
        <v>-1</v>
      </c>
      <c r="O153" s="11"/>
      <c r="P153" s="2">
        <f>0</f>
        <v>0</v>
      </c>
      <c r="Q153" s="2"/>
      <c r="R153" s="19">
        <f t="shared" si="89"/>
        <v>0</v>
      </c>
      <c r="S153" s="2"/>
      <c r="T153" s="2">
        <v>560860</v>
      </c>
      <c r="U153" s="2"/>
      <c r="V153" s="19">
        <f t="shared" si="90"/>
        <v>0.15957322711430399</v>
      </c>
      <c r="W153" s="2"/>
      <c r="X153" s="2">
        <f t="shared" si="91"/>
        <v>-560860</v>
      </c>
      <c r="Y153" s="2"/>
      <c r="Z153" s="19">
        <f t="shared" si="92"/>
        <v>-1</v>
      </c>
    </row>
    <row r="154" spans="1:26" s="24" customFormat="1" hidden="1" outlineLevel="1" x14ac:dyDescent="0.25">
      <c r="A154" s="44"/>
      <c r="B154" s="11" t="str">
        <f>CONCATENATE("          ", "9163", " - ", "MISC. INCOME")</f>
        <v xml:space="preserve">          9163 - MISC. INCOME</v>
      </c>
      <c r="C154" s="11"/>
      <c r="D154" s="2">
        <f>--378760.49</f>
        <v>378760.49</v>
      </c>
      <c r="E154" s="2"/>
      <c r="F154" s="19">
        <f t="shared" si="85"/>
        <v>1.7060969780375206</v>
      </c>
      <c r="G154" s="2"/>
      <c r="H154" s="2"/>
      <c r="I154" s="2"/>
      <c r="J154" s="19">
        <f t="shared" si="86"/>
        <v>0</v>
      </c>
      <c r="K154" s="2"/>
      <c r="L154" s="2">
        <f t="shared" si="87"/>
        <v>378760.49</v>
      </c>
      <c r="M154" s="2"/>
      <c r="N154" s="19">
        <f t="shared" si="88"/>
        <v>0</v>
      </c>
      <c r="O154" s="11"/>
      <c r="P154" s="2">
        <f>--727101.05</f>
        <v>727101.05</v>
      </c>
      <c r="Q154" s="2"/>
      <c r="R154" s="19">
        <f t="shared" si="89"/>
        <v>0.32270983786332857</v>
      </c>
      <c r="S154" s="2"/>
      <c r="T154" s="2"/>
      <c r="U154" s="2"/>
      <c r="V154" s="19">
        <f t="shared" si="90"/>
        <v>0</v>
      </c>
      <c r="W154" s="2"/>
      <c r="X154" s="2">
        <f t="shared" si="91"/>
        <v>727101.05</v>
      </c>
      <c r="Y154" s="2"/>
      <c r="Z154" s="19">
        <f t="shared" si="92"/>
        <v>0</v>
      </c>
    </row>
    <row r="155" spans="1:26" x14ac:dyDescent="0.25">
      <c r="A155" s="9"/>
      <c r="B155" s="10"/>
      <c r="C155" s="10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O155" s="10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25">
      <c r="A156" s="10"/>
      <c r="B156" s="28" t="s">
        <v>277</v>
      </c>
      <c r="C156" s="28"/>
      <c r="D156" s="20">
        <f>+D80-D82+D150</f>
        <v>431940.68000000005</v>
      </c>
      <c r="E156" s="14"/>
      <c r="F156" s="22">
        <f>IF(D$12=0,0,D156/D$12)</f>
        <v>1.9456429809758453</v>
      </c>
      <c r="G156" s="14"/>
      <c r="H156" s="20">
        <f>+H80-H82+H150</f>
        <v>274544.93036502309</v>
      </c>
      <c r="I156" s="14"/>
      <c r="J156" s="22">
        <f>IF(H$12=0,0,H156/H$12)</f>
        <v>1.004242845675597</v>
      </c>
      <c r="K156" s="16"/>
      <c r="L156" s="20">
        <f>+D156-H156</f>
        <v>157395.74963497696</v>
      </c>
      <c r="M156" s="16"/>
      <c r="N156" s="22">
        <f>IF(H156=0,0,L156/H156)</f>
        <v>0.57329687139263641</v>
      </c>
      <c r="O156" s="29"/>
      <c r="P156" s="20">
        <f>+P80-P82+P150</f>
        <v>1267034.3699999999</v>
      </c>
      <c r="Q156" s="14"/>
      <c r="R156" s="22">
        <f>IF(P$12=0,0,P156/P$12)</f>
        <v>0.56234887311738124</v>
      </c>
      <c r="S156" s="14"/>
      <c r="T156" s="20">
        <f>+T80-T82+T150</f>
        <v>1322122.9474071001</v>
      </c>
      <c r="U156" s="14"/>
      <c r="V156" s="22">
        <f>IF(T$12=0,0,T156/T$12)</f>
        <v>0.37616415033988199</v>
      </c>
      <c r="W156" s="16"/>
      <c r="X156" s="20">
        <f>+P156-T156</f>
        <v>-55088.577407100238</v>
      </c>
      <c r="Y156" s="16"/>
      <c r="Z156" s="22">
        <f>IF(T156=0,0,X156/T156)</f>
        <v>-4.1666758386682545E-2</v>
      </c>
    </row>
    <row r="157" spans="1:26" x14ac:dyDescent="0.25">
      <c r="A157" s="9"/>
      <c r="B157" s="10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52"/>
      <c r="B158" s="10" t="s">
        <v>128</v>
      </c>
      <c r="C158" s="10"/>
      <c r="D158" s="4">
        <v>189620.77</v>
      </c>
      <c r="E158" s="4"/>
      <c r="F158" s="12">
        <f>IF(D$12=0,0,D158/D$12)</f>
        <v>0.85413191505309261</v>
      </c>
      <c r="G158" s="4"/>
      <c r="H158" s="4">
        <v>-4490</v>
      </c>
      <c r="I158" s="4"/>
      <c r="J158" s="12">
        <f>IF(H$12=0,0,H158/H$12)</f>
        <v>-1.6423724783729905E-2</v>
      </c>
      <c r="K158" s="4"/>
      <c r="L158" s="4">
        <f>+D158-H158</f>
        <v>194110.77</v>
      </c>
      <c r="M158" s="4"/>
      <c r="N158" s="12">
        <f>IF(H158=0,0,L158/H158)</f>
        <v>-43.231797327394204</v>
      </c>
      <c r="O158" s="10"/>
      <c r="P158" s="4">
        <v>623649.04</v>
      </c>
      <c r="Q158" s="4"/>
      <c r="R158" s="12">
        <f>IF(P$12=0,0,P158/P$12)</f>
        <v>0.27679464990735542</v>
      </c>
      <c r="S158" s="4"/>
      <c r="T158" s="4">
        <v>593916</v>
      </c>
      <c r="U158" s="4"/>
      <c r="V158" s="12">
        <f>IF(T$12=0,0,T158/T$12)</f>
        <v>0.16897816345401523</v>
      </c>
      <c r="W158" s="4"/>
      <c r="X158" s="4">
        <f>+P158-T158</f>
        <v>29733.040000000037</v>
      </c>
      <c r="Y158" s="4"/>
      <c r="Z158" s="12">
        <f>IF(T158=0,0,X158/T158)</f>
        <v>5.0062702469709584E-2</v>
      </c>
    </row>
    <row r="159" spans="1:26" x14ac:dyDescent="0.25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ht="15.75" thickBot="1" x14ac:dyDescent="0.3">
      <c r="A160" s="10"/>
      <c r="B160" s="28" t="s">
        <v>126</v>
      </c>
      <c r="C160" s="28"/>
      <c r="D160" s="34">
        <f>+D156-D158</f>
        <v>242319.91000000006</v>
      </c>
      <c r="E160" s="14"/>
      <c r="F160" s="35">
        <f>IF(D$12=0,0,D160/D$12)</f>
        <v>1.0915110659227527</v>
      </c>
      <c r="G160" s="14"/>
      <c r="H160" s="34">
        <f>+H156-H158</f>
        <v>279034.93036502309</v>
      </c>
      <c r="I160" s="14"/>
      <c r="J160" s="35">
        <f>IF(H$12=0,0,H160/H$12)</f>
        <v>1.020666570459327</v>
      </c>
      <c r="K160" s="16"/>
      <c r="L160" s="34">
        <f>D160-H160</f>
        <v>-36715.020365023025</v>
      </c>
      <c r="M160" s="16"/>
      <c r="N160" s="35">
        <f>IF(H160=0,0,L160/H160)</f>
        <v>-0.13157858163848449</v>
      </c>
      <c r="O160" s="29"/>
      <c r="P160" s="34">
        <f>+P156-P158</f>
        <v>643385.32999999984</v>
      </c>
      <c r="Q160" s="14"/>
      <c r="R160" s="35">
        <f>IF(P$12=0,0,P160/P$12)</f>
        <v>0.28555422321002577</v>
      </c>
      <c r="S160" s="14"/>
      <c r="T160" s="34">
        <f>+T156-T158</f>
        <v>728206.94740710012</v>
      </c>
      <c r="U160" s="14"/>
      <c r="V160" s="35">
        <f>IF(T$12=0,0,T160/T$12)</f>
        <v>0.20718598688586673</v>
      </c>
      <c r="W160" s="16"/>
      <c r="X160" s="34">
        <f>P160-T160</f>
        <v>-84821.617407100275</v>
      </c>
      <c r="Y160" s="16"/>
      <c r="Z160" s="35">
        <f>IF(T160=0,0,X160/T160)</f>
        <v>-0.11648009911072878</v>
      </c>
    </row>
    <row r="161" spans="1:26" ht="15.75" thickTop="1" x14ac:dyDescent="0.25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.75" thickBot="1" x14ac:dyDescent="0.3">
      <c r="A163" s="10"/>
      <c r="B163" s="28" t="s">
        <v>294</v>
      </c>
      <c r="C163" s="28"/>
      <c r="D163" s="33">
        <f>SUM(D160:D162)</f>
        <v>242319.91000000006</v>
      </c>
      <c r="E163" s="14"/>
      <c r="F163" s="31">
        <f>IF(D$12=0,0,D163/D$12)</f>
        <v>1.0915110659227527</v>
      </c>
      <c r="G163" s="14"/>
      <c r="H163" s="33">
        <f>SUM(H160:H162)</f>
        <v>279034.93036502309</v>
      </c>
      <c r="I163" s="14"/>
      <c r="J163" s="31">
        <f>IF(H$12=0,0,H163/H$12)</f>
        <v>1.020666570459327</v>
      </c>
      <c r="K163" s="16"/>
      <c r="L163" s="33">
        <f>+D163-H163</f>
        <v>-36715.020365023025</v>
      </c>
      <c r="M163" s="16"/>
      <c r="N163" s="31">
        <f>IF(H163=0,0,L163/H163)</f>
        <v>-0.13157858163848449</v>
      </c>
      <c r="O163" s="29"/>
      <c r="P163" s="33">
        <f>SUM(P160:P162)</f>
        <v>643385.32999999984</v>
      </c>
      <c r="Q163" s="14"/>
      <c r="R163" s="31">
        <f>IF(P$12=0,0,P163/P$12)</f>
        <v>0.28555422321002577</v>
      </c>
      <c r="S163" s="14"/>
      <c r="T163" s="33">
        <f>SUM(T160:T162)</f>
        <v>728206.94740710012</v>
      </c>
      <c r="U163" s="14"/>
      <c r="V163" s="31">
        <f>IF(T$12=0,0,T163/T$12)</f>
        <v>0.20718598688586673</v>
      </c>
      <c r="W163" s="16"/>
      <c r="X163" s="33">
        <f>+P163-T163</f>
        <v>-84821.617407100275</v>
      </c>
      <c r="Y163" s="16"/>
      <c r="Z163" s="31">
        <f>IF(T163=0,0,X163/T163)</f>
        <v>-0.11648009911072878</v>
      </c>
    </row>
    <row r="164" spans="1:26" ht="15.75" thickTop="1" x14ac:dyDescent="0.25">
      <c r="A164" s="9"/>
      <c r="C164" s="9"/>
      <c r="D164" s="18"/>
      <c r="E164" s="18"/>
      <c r="G164" s="18"/>
      <c r="H164" s="18"/>
      <c r="I164" s="18"/>
      <c r="J164" s="42"/>
      <c r="K164" s="18"/>
      <c r="L164" s="18"/>
      <c r="M164" s="18"/>
      <c r="P164" s="18"/>
      <c r="Q164" s="18"/>
      <c r="R164" s="42"/>
      <c r="S164" s="18"/>
      <c r="T164" s="18"/>
      <c r="U164" s="18"/>
      <c r="V164" s="42"/>
      <c r="W164" s="18"/>
      <c r="X164" s="18"/>
    </row>
    <row r="165" spans="1:26" x14ac:dyDescent="0.25">
      <c r="A165" s="9"/>
      <c r="B165" s="56">
        <v>44454.686112384261</v>
      </c>
      <c r="D165" s="18"/>
      <c r="E165" s="18"/>
      <c r="G165" s="18"/>
      <c r="H165" s="18"/>
      <c r="I165" s="18"/>
      <c r="J165" s="42"/>
      <c r="K165" s="18"/>
      <c r="L165" s="18"/>
      <c r="M165" s="18"/>
      <c r="P165" s="18"/>
      <c r="Q165" s="18"/>
      <c r="R165" s="42"/>
      <c r="S165" s="18"/>
      <c r="T165" s="18"/>
      <c r="U165" s="18"/>
      <c r="V165" s="42"/>
      <c r="W165" s="18"/>
      <c r="X165" s="18"/>
    </row>
    <row r="166" spans="1:26" x14ac:dyDescent="0.25">
      <c r="A166" s="9"/>
      <c r="B166" s="55" t="s">
        <v>56</v>
      </c>
      <c r="D166" s="18"/>
      <c r="E166" s="18"/>
      <c r="G166" s="18"/>
      <c r="H166" s="18"/>
      <c r="I166" s="18"/>
      <c r="J166" s="42"/>
      <c r="K166" s="18"/>
      <c r="L166" s="18"/>
      <c r="M166" s="18"/>
      <c r="P166" s="18"/>
      <c r="Q166" s="18"/>
      <c r="R166" s="42"/>
      <c r="S166" s="18"/>
      <c r="T166" s="18"/>
      <c r="U166" s="18"/>
      <c r="V166" s="42"/>
      <c r="W166" s="18"/>
      <c r="X166" s="18"/>
    </row>
    <row r="167" spans="1:26" x14ac:dyDescent="0.25">
      <c r="A167" s="9"/>
      <c r="B167" s="63"/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  <row r="168" spans="1:26" x14ac:dyDescent="0.25">
      <c r="D168" s="18"/>
      <c r="E168" s="18"/>
      <c r="G168" s="18"/>
      <c r="H168" s="18"/>
      <c r="I168" s="18"/>
      <c r="J168" s="42"/>
      <c r="K168" s="18"/>
      <c r="L168" s="18"/>
      <c r="M168" s="18"/>
      <c r="P168" s="18"/>
      <c r="Q168" s="18"/>
      <c r="R168" s="42"/>
      <c r="S168" s="18"/>
      <c r="T168" s="18"/>
      <c r="U168" s="18"/>
      <c r="V168" s="42"/>
      <c r="W168" s="18"/>
      <c r="X168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33635.919999999998</v>
      </c>
      <c r="E12" s="4"/>
      <c r="F12" s="12"/>
      <c r="G12" s="4"/>
      <c r="H12" s="4">
        <f>SUM(OSRRefH13x_0)</f>
        <v>59796</v>
      </c>
      <c r="I12" s="4"/>
      <c r="J12" s="12"/>
      <c r="K12" s="4"/>
      <c r="L12" s="4">
        <f t="shared" ref="L12:L33" si="0">+D12-H12</f>
        <v>-26160.080000000002</v>
      </c>
      <c r="M12" s="4"/>
      <c r="N12" s="12">
        <f t="shared" ref="N12:N33" si="1">IF(H12=0,0,L12/H12)</f>
        <v>-0.43748879523713963</v>
      </c>
      <c r="O12" s="10"/>
      <c r="P12" s="4">
        <f>SUM(OSRRefP13x_0)</f>
        <v>319644.92999999993</v>
      </c>
      <c r="Q12" s="4"/>
      <c r="R12" s="12"/>
      <c r="S12" s="4"/>
      <c r="T12" s="4">
        <f>SUM(OSRRefT13x_0)</f>
        <v>590415</v>
      </c>
      <c r="U12" s="4"/>
      <c r="V12" s="12"/>
      <c r="W12" s="4"/>
      <c r="X12" s="4">
        <f t="shared" ref="X12:X33" si="2">+P12-T12</f>
        <v>-270770.07000000007</v>
      </c>
      <c r="Y12" s="4"/>
      <c r="Z12" s="12">
        <f t="shared" ref="Z12:Z33" si="3">IF(T12=0,0,X12/T12)</f>
        <v>-0.45860974060618387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-522.46</f>
        <v>-522.46</v>
      </c>
      <c r="E13" s="2"/>
      <c r="F13" s="19"/>
      <c r="G13" s="2"/>
      <c r="H13" s="2">
        <v>59796</v>
      </c>
      <c r="I13" s="2"/>
      <c r="J13" s="19"/>
      <c r="K13" s="2"/>
      <c r="L13" s="2">
        <f t="shared" si="0"/>
        <v>-60318.46</v>
      </c>
      <c r="M13" s="2"/>
      <c r="N13" s="19">
        <f t="shared" si="1"/>
        <v>-1.0087373737373737</v>
      </c>
      <c r="O13" s="11"/>
      <c r="P13" s="2">
        <f>-6880.45</f>
        <v>-6880.45</v>
      </c>
      <c r="Q13" s="2"/>
      <c r="R13" s="19"/>
      <c r="S13" s="2"/>
      <c r="T13" s="2">
        <v>590415</v>
      </c>
      <c r="U13" s="2"/>
      <c r="V13" s="19"/>
      <c r="W13" s="2"/>
      <c r="X13" s="2">
        <f t="shared" si="2"/>
        <v>-597295.44999999995</v>
      </c>
      <c r="Y13" s="2"/>
      <c r="Z13" s="19">
        <f t="shared" si="3"/>
        <v>-1.0116535826494921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--25.1</f>
        <v>25.1</v>
      </c>
      <c r="E14" s="2"/>
      <c r="F14" s="19"/>
      <c r="G14" s="2"/>
      <c r="H14" s="2"/>
      <c r="I14" s="2"/>
      <c r="J14" s="19"/>
      <c r="K14" s="2"/>
      <c r="L14" s="2">
        <f t="shared" si="0"/>
        <v>25.1</v>
      </c>
      <c r="M14" s="2"/>
      <c r="N14" s="19">
        <f t="shared" si="1"/>
        <v>0</v>
      </c>
      <c r="O14" s="11"/>
      <c r="P14" s="2">
        <f>--308.14</f>
        <v>308.14</v>
      </c>
      <c r="Q14" s="2"/>
      <c r="R14" s="19"/>
      <c r="S14" s="2"/>
      <c r="T14" s="2"/>
      <c r="U14" s="2"/>
      <c r="V14" s="19"/>
      <c r="W14" s="2"/>
      <c r="X14" s="2">
        <f t="shared" si="2"/>
        <v>308.14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--103.32</f>
        <v>103.32</v>
      </c>
      <c r="E15" s="2"/>
      <c r="F15" s="19"/>
      <c r="G15" s="2"/>
      <c r="H15" s="2"/>
      <c r="I15" s="2"/>
      <c r="J15" s="19"/>
      <c r="K15" s="2"/>
      <c r="L15" s="2">
        <f t="shared" si="0"/>
        <v>103.32</v>
      </c>
      <c r="M15" s="2"/>
      <c r="N15" s="19">
        <f t="shared" si="1"/>
        <v>0</v>
      </c>
      <c r="O15" s="11"/>
      <c r="P15" s="2">
        <f>--536.95</f>
        <v>536.95000000000005</v>
      </c>
      <c r="Q15" s="2"/>
      <c r="R15" s="19"/>
      <c r="S15" s="2"/>
      <c r="T15" s="2"/>
      <c r="U15" s="2"/>
      <c r="V15" s="19"/>
      <c r="W15" s="2"/>
      <c r="X15" s="2">
        <f t="shared" si="2"/>
        <v>536.95000000000005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--29.24</f>
        <v>29.24</v>
      </c>
      <c r="Q16" s="2"/>
      <c r="R16" s="19"/>
      <c r="S16" s="2"/>
      <c r="T16" s="2"/>
      <c r="U16" s="2"/>
      <c r="V16" s="19"/>
      <c r="W16" s="2"/>
      <c r="X16" s="2">
        <f t="shared" si="2"/>
        <v>29.24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--30362.76</f>
        <v>30362.76</v>
      </c>
      <c r="E17" s="2"/>
      <c r="F17" s="19"/>
      <c r="G17" s="2"/>
      <c r="H17" s="2"/>
      <c r="I17" s="2"/>
      <c r="J17" s="19"/>
      <c r="K17" s="2"/>
      <c r="L17" s="2">
        <f t="shared" si="0"/>
        <v>30362.76</v>
      </c>
      <c r="M17" s="2"/>
      <c r="N17" s="19">
        <f t="shared" si="1"/>
        <v>0</v>
      </c>
      <c r="O17" s="11"/>
      <c r="P17" s="2">
        <f>--272365.11</f>
        <v>272365.11</v>
      </c>
      <c r="Q17" s="2"/>
      <c r="R17" s="19"/>
      <c r="S17" s="2"/>
      <c r="T17" s="2"/>
      <c r="U17" s="2"/>
      <c r="V17" s="19"/>
      <c r="W17" s="2"/>
      <c r="X17" s="2">
        <f t="shared" si="2"/>
        <v>272365.11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--4101.43</f>
        <v>4101.43</v>
      </c>
      <c r="E18" s="2"/>
      <c r="F18" s="19"/>
      <c r="G18" s="2"/>
      <c r="H18" s="2"/>
      <c r="I18" s="2"/>
      <c r="J18" s="19"/>
      <c r="K18" s="2"/>
      <c r="L18" s="2">
        <f t="shared" si="0"/>
        <v>4101.43</v>
      </c>
      <c r="M18" s="2"/>
      <c r="N18" s="19">
        <f t="shared" si="1"/>
        <v>0</v>
      </c>
      <c r="O18" s="11"/>
      <c r="P18" s="2">
        <f>--40260.82</f>
        <v>40260.82</v>
      </c>
      <c r="Q18" s="2"/>
      <c r="R18" s="19"/>
      <c r="S18" s="2"/>
      <c r="T18" s="2"/>
      <c r="U18" s="2"/>
      <c r="V18" s="19"/>
      <c r="W18" s="2"/>
      <c r="X18" s="2">
        <f t="shared" si="2"/>
        <v>40260.82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--782.71</f>
        <v>782.71</v>
      </c>
      <c r="E19" s="2"/>
      <c r="F19" s="19"/>
      <c r="G19" s="2"/>
      <c r="H19" s="2"/>
      <c r="I19" s="2"/>
      <c r="J19" s="19"/>
      <c r="K19" s="2"/>
      <c r="L19" s="2">
        <f t="shared" si="0"/>
        <v>782.71</v>
      </c>
      <c r="M19" s="2"/>
      <c r="N19" s="19">
        <f t="shared" si="1"/>
        <v>0</v>
      </c>
      <c r="O19" s="11"/>
      <c r="P19" s="2">
        <f>--10652.39</f>
        <v>10652.39</v>
      </c>
      <c r="Q19" s="2"/>
      <c r="R19" s="19"/>
      <c r="S19" s="2"/>
      <c r="T19" s="2"/>
      <c r="U19" s="2"/>
      <c r="V19" s="19"/>
      <c r="W19" s="2"/>
      <c r="X19" s="2">
        <f t="shared" si="2"/>
        <v>10652.39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--26.93</f>
        <v>26.93</v>
      </c>
      <c r="E20" s="2"/>
      <c r="F20" s="19"/>
      <c r="G20" s="2"/>
      <c r="H20" s="2"/>
      <c r="I20" s="2"/>
      <c r="J20" s="19"/>
      <c r="K20" s="2"/>
      <c r="L20" s="2">
        <f t="shared" si="0"/>
        <v>26.93</v>
      </c>
      <c r="M20" s="2"/>
      <c r="N20" s="19">
        <f t="shared" si="1"/>
        <v>0</v>
      </c>
      <c r="O20" s="11"/>
      <c r="P20" s="2">
        <f>--11077.06</f>
        <v>11077.06</v>
      </c>
      <c r="Q20" s="2"/>
      <c r="R20" s="19"/>
      <c r="S20" s="2"/>
      <c r="T20" s="2"/>
      <c r="U20" s="2"/>
      <c r="V20" s="19"/>
      <c r="W20" s="2"/>
      <c r="X20" s="2">
        <f t="shared" si="2"/>
        <v>11077.06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--300.06</f>
        <v>300.06</v>
      </c>
      <c r="E21" s="2"/>
      <c r="F21" s="19"/>
      <c r="G21" s="2"/>
      <c r="H21" s="2"/>
      <c r="I21" s="2"/>
      <c r="J21" s="19"/>
      <c r="K21" s="2"/>
      <c r="L21" s="2">
        <f t="shared" si="0"/>
        <v>300.06</v>
      </c>
      <c r="M21" s="2"/>
      <c r="N21" s="19">
        <f t="shared" si="1"/>
        <v>0</v>
      </c>
      <c r="O21" s="11"/>
      <c r="P21" s="2">
        <f>--3275.08</f>
        <v>3275.08</v>
      </c>
      <c r="Q21" s="2"/>
      <c r="R21" s="19"/>
      <c r="S21" s="2"/>
      <c r="T21" s="2"/>
      <c r="U21" s="2"/>
      <c r="V21" s="19"/>
      <c r="W21" s="2"/>
      <c r="X21" s="2">
        <f t="shared" si="2"/>
        <v>3275.08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--326.37</f>
        <v>326.37</v>
      </c>
      <c r="Q22" s="2"/>
      <c r="R22" s="19"/>
      <c r="S22" s="2"/>
      <c r="T22" s="2"/>
      <c r="U22" s="2"/>
      <c r="V22" s="19"/>
      <c r="W22" s="2"/>
      <c r="X22" s="2">
        <f t="shared" si="2"/>
        <v>326.37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>--9</f>
        <v>9</v>
      </c>
      <c r="E23" s="2"/>
      <c r="F23" s="19"/>
      <c r="G23" s="2"/>
      <c r="H23" s="2"/>
      <c r="I23" s="2"/>
      <c r="J23" s="19"/>
      <c r="K23" s="2"/>
      <c r="L23" s="2">
        <f t="shared" si="0"/>
        <v>9</v>
      </c>
      <c r="M23" s="2"/>
      <c r="N23" s="19">
        <f t="shared" si="1"/>
        <v>0</v>
      </c>
      <c r="O23" s="11"/>
      <c r="P23" s="2">
        <f>--72</f>
        <v>72</v>
      </c>
      <c r="Q23" s="2"/>
      <c r="R23" s="19"/>
      <c r="S23" s="2"/>
      <c r="T23" s="2"/>
      <c r="U23" s="2"/>
      <c r="V23" s="19"/>
      <c r="W23" s="2"/>
      <c r="X23" s="2">
        <f t="shared" si="2"/>
        <v>72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ref="D24:D28" si="4"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</f>
        <v>9</v>
      </c>
      <c r="Q24" s="2"/>
      <c r="R24" s="19"/>
      <c r="S24" s="2"/>
      <c r="T24" s="2"/>
      <c r="U24" s="2"/>
      <c r="V24" s="19"/>
      <c r="W24" s="2"/>
      <c r="X24" s="2">
        <f t="shared" si="2"/>
        <v>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--218.18</f>
        <v>218.18</v>
      </c>
      <c r="Q25" s="2"/>
      <c r="R25" s="19"/>
      <c r="S25" s="2"/>
      <c r="T25" s="2"/>
      <c r="U25" s="2"/>
      <c r="V25" s="19"/>
      <c r="W25" s="2"/>
      <c r="X25" s="2">
        <f t="shared" si="2"/>
        <v>218.18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</f>
        <v>7</v>
      </c>
      <c r="Q26" s="2"/>
      <c r="R26" s="19"/>
      <c r="S26" s="2"/>
      <c r="T26" s="2"/>
      <c r="U26" s="2"/>
      <c r="V26" s="19"/>
      <c r="W26" s="2"/>
      <c r="X26" s="2">
        <f t="shared" si="2"/>
        <v>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-28.64</f>
        <v>-28.64</v>
      </c>
      <c r="Q27" s="2"/>
      <c r="R27" s="19"/>
      <c r="S27" s="2"/>
      <c r="T27" s="2"/>
      <c r="U27" s="2"/>
      <c r="V27" s="19"/>
      <c r="W27" s="2"/>
      <c r="X27" s="2">
        <f t="shared" si="2"/>
        <v>-28.64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-43.21</f>
        <v>-43.21</v>
      </c>
      <c r="Q28" s="2"/>
      <c r="R28" s="19"/>
      <c r="S28" s="2"/>
      <c r="T28" s="2"/>
      <c r="U28" s="2"/>
      <c r="V28" s="19"/>
      <c r="W28" s="2"/>
      <c r="X28" s="2">
        <f t="shared" si="2"/>
        <v>-43.21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-1436.31</f>
        <v>-1436.31</v>
      </c>
      <c r="E29" s="2"/>
      <c r="F29" s="19"/>
      <c r="G29" s="2"/>
      <c r="H29" s="2"/>
      <c r="I29" s="2"/>
      <c r="J29" s="19"/>
      <c r="K29" s="2"/>
      <c r="L29" s="2">
        <f t="shared" si="0"/>
        <v>-1436.31</v>
      </c>
      <c r="M29" s="2"/>
      <c r="N29" s="19">
        <f t="shared" si="1"/>
        <v>0</v>
      </c>
      <c r="O29" s="11"/>
      <c r="P29" s="2">
        <f>-11330.69</f>
        <v>-11330.69</v>
      </c>
      <c r="Q29" s="2"/>
      <c r="R29" s="19"/>
      <c r="S29" s="2"/>
      <c r="T29" s="2"/>
      <c r="U29" s="2"/>
      <c r="V29" s="19"/>
      <c r="W29" s="2"/>
      <c r="X29" s="2">
        <f t="shared" si="2"/>
        <v>-11330.69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-74.17</f>
        <v>-74.17</v>
      </c>
      <c r="E30" s="2"/>
      <c r="F30" s="19"/>
      <c r="G30" s="2"/>
      <c r="H30" s="2"/>
      <c r="I30" s="2"/>
      <c r="J30" s="19"/>
      <c r="K30" s="2"/>
      <c r="L30" s="2">
        <f t="shared" si="0"/>
        <v>-74.17</v>
      </c>
      <c r="M30" s="2"/>
      <c r="N30" s="19">
        <f t="shared" si="1"/>
        <v>0</v>
      </c>
      <c r="O30" s="11"/>
      <c r="P30" s="2">
        <f>-774.08</f>
        <v>-774.08</v>
      </c>
      <c r="Q30" s="2"/>
      <c r="R30" s="19"/>
      <c r="S30" s="2"/>
      <c r="T30" s="2"/>
      <c r="U30" s="2"/>
      <c r="V30" s="19"/>
      <c r="W30" s="2"/>
      <c r="X30" s="2">
        <f t="shared" si="2"/>
        <v>-774.08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-37.46</f>
        <v>-37.46</v>
      </c>
      <c r="E31" s="2"/>
      <c r="F31" s="19"/>
      <c r="G31" s="2"/>
      <c r="H31" s="2"/>
      <c r="I31" s="2"/>
      <c r="J31" s="19"/>
      <c r="K31" s="2"/>
      <c r="L31" s="2">
        <f t="shared" si="0"/>
        <v>-37.46</v>
      </c>
      <c r="M31" s="2"/>
      <c r="N31" s="19">
        <f t="shared" si="1"/>
        <v>0</v>
      </c>
      <c r="O31" s="11"/>
      <c r="P31" s="2">
        <f>-363.52</f>
        <v>-363.52</v>
      </c>
      <c r="Q31" s="2"/>
      <c r="R31" s="19"/>
      <c r="S31" s="2"/>
      <c r="T31" s="2"/>
      <c r="U31" s="2"/>
      <c r="V31" s="19"/>
      <c r="W31" s="2"/>
      <c r="X31" s="2">
        <f t="shared" si="2"/>
        <v>-363.52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-4.99</f>
        <v>-4.99</v>
      </c>
      <c r="E32" s="2"/>
      <c r="F32" s="19"/>
      <c r="G32" s="2"/>
      <c r="H32" s="2"/>
      <c r="I32" s="2"/>
      <c r="J32" s="19"/>
      <c r="K32" s="2"/>
      <c r="L32" s="2">
        <f t="shared" si="0"/>
        <v>-4.99</v>
      </c>
      <c r="M32" s="2"/>
      <c r="N32" s="19">
        <f t="shared" si="1"/>
        <v>0</v>
      </c>
      <c r="O32" s="11"/>
      <c r="P32" s="2">
        <f>-64.82</f>
        <v>-64.819999999999993</v>
      </c>
      <c r="Q32" s="2"/>
      <c r="R32" s="19"/>
      <c r="S32" s="2"/>
      <c r="T32" s="2"/>
      <c r="U32" s="2"/>
      <c r="V32" s="19"/>
      <c r="W32" s="2"/>
      <c r="X32" s="2">
        <f t="shared" si="2"/>
        <v>-64.819999999999993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-7</f>
        <v>-7</v>
      </c>
      <c r="Q33" s="2"/>
      <c r="R33" s="19"/>
      <c r="S33" s="2"/>
      <c r="T33" s="2"/>
      <c r="U33" s="2"/>
      <c r="V33" s="19"/>
      <c r="W33" s="2"/>
      <c r="X33" s="2">
        <f t="shared" si="2"/>
        <v>-7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257</v>
      </c>
      <c r="C35" s="10"/>
      <c r="D35" s="4">
        <f>SUM(OSRRefD16x_0)</f>
        <v>-110848.56999999998</v>
      </c>
      <c r="E35" s="4"/>
      <c r="F35" s="12">
        <f t="shared" ref="F35:F50" si="5">IF(D$12=0,0,D35/D$12)</f>
        <v>-3.2955414925472524</v>
      </c>
      <c r="G35" s="4"/>
      <c r="H35" s="4">
        <f>SUM(OSRRefH16x_0)</f>
        <v>25712</v>
      </c>
      <c r="I35" s="4"/>
      <c r="J35" s="12">
        <f t="shared" ref="J35:J50" si="6">IF(H$12=0,0,H35/H$12)</f>
        <v>0.42999531741253594</v>
      </c>
      <c r="K35" s="4"/>
      <c r="L35" s="4">
        <f t="shared" ref="L35:L50" si="7">+D35-H35</f>
        <v>-136560.56999999998</v>
      </c>
      <c r="M35" s="4"/>
      <c r="N35" s="12">
        <f t="shared" ref="N35:N50" si="8">IF(H35=0,0,L35/H35)</f>
        <v>-5.3111609365276902</v>
      </c>
      <c r="O35" s="10"/>
      <c r="P35" s="4">
        <f>SUM(OSRRefP16x_0)</f>
        <v>20124.430000000022</v>
      </c>
      <c r="Q35" s="4"/>
      <c r="R35" s="12">
        <f t="shared" ref="R35:R50" si="9">IF(P$12=0,0,P35/P$12)</f>
        <v>6.2958702332616467E-2</v>
      </c>
      <c r="S35" s="4"/>
      <c r="T35" s="4">
        <f>SUM(OSRRefT16x_0)</f>
        <v>253877</v>
      </c>
      <c r="U35" s="4"/>
      <c r="V35" s="12">
        <f t="shared" ref="V35:V50" si="10">IF(T$12=0,0,T35/T$12)</f>
        <v>0.42999754410033619</v>
      </c>
      <c r="W35" s="4"/>
      <c r="X35" s="4">
        <f t="shared" ref="X35:X50" si="11">+P35-T35</f>
        <v>-233752.56999999998</v>
      </c>
      <c r="Y35" s="4"/>
      <c r="Z35" s="12">
        <f t="shared" ref="Z35:Z50" si="12">IF(T35=0,0,X35/T35)</f>
        <v>-0.92073157473894829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25712</v>
      </c>
      <c r="I36" s="2"/>
      <c r="J36" s="19">
        <f t="shared" si="6"/>
        <v>0.42999531741253594</v>
      </c>
      <c r="K36" s="2"/>
      <c r="L36" s="2">
        <f t="shared" si="7"/>
        <v>-25712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253877</v>
      </c>
      <c r="U36" s="2"/>
      <c r="V36" s="19">
        <f t="shared" si="10"/>
        <v>0.42999754410033619</v>
      </c>
      <c r="W36" s="2"/>
      <c r="X36" s="2">
        <f t="shared" si="11"/>
        <v>-253877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>
        <v>-248.27</v>
      </c>
      <c r="E37" s="2"/>
      <c r="F37" s="19">
        <f t="shared" si="5"/>
        <v>-7.3810973506893826E-3</v>
      </c>
      <c r="G37" s="2"/>
      <c r="H37" s="2"/>
      <c r="I37" s="2"/>
      <c r="J37" s="19">
        <f t="shared" si="6"/>
        <v>0</v>
      </c>
      <c r="K37" s="2"/>
      <c r="L37" s="2">
        <f t="shared" si="7"/>
        <v>-248.27</v>
      </c>
      <c r="M37" s="2"/>
      <c r="N37" s="19">
        <f t="shared" si="8"/>
        <v>0</v>
      </c>
      <c r="O37" s="11"/>
      <c r="P37" s="2">
        <v>-250.32</v>
      </c>
      <c r="Q37" s="2"/>
      <c r="R37" s="19">
        <f t="shared" si="9"/>
        <v>-7.8311894388564225E-4</v>
      </c>
      <c r="S37" s="2"/>
      <c r="T37" s="2"/>
      <c r="U37" s="2"/>
      <c r="V37" s="19">
        <f t="shared" si="10"/>
        <v>0</v>
      </c>
      <c r="W37" s="2"/>
      <c r="X37" s="2">
        <f t="shared" si="11"/>
        <v>-250.32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>
        <v>-333.98</v>
      </c>
      <c r="E38" s="2"/>
      <c r="F38" s="19">
        <f t="shared" si="5"/>
        <v>-9.9292660941041611E-3</v>
      </c>
      <c r="G38" s="2"/>
      <c r="H38" s="2"/>
      <c r="I38" s="2"/>
      <c r="J38" s="19">
        <f t="shared" si="6"/>
        <v>0</v>
      </c>
      <c r="K38" s="2"/>
      <c r="L38" s="2">
        <f t="shared" si="7"/>
        <v>-333.98</v>
      </c>
      <c r="M38" s="2"/>
      <c r="N38" s="19">
        <f t="shared" si="8"/>
        <v>0</v>
      </c>
      <c r="O38" s="11"/>
      <c r="P38" s="2">
        <v>-333.98</v>
      </c>
      <c r="Q38" s="2"/>
      <c r="R38" s="19">
        <f t="shared" si="9"/>
        <v>-1.0448468555406152E-3</v>
      </c>
      <c r="S38" s="2"/>
      <c r="T38" s="2"/>
      <c r="U38" s="2"/>
      <c r="V38" s="19">
        <f t="shared" si="10"/>
        <v>0</v>
      </c>
      <c r="W38" s="2"/>
      <c r="X38" s="2">
        <f t="shared" si="11"/>
        <v>-333.98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>
        <v>-32</v>
      </c>
      <c r="E39" s="2"/>
      <c r="F39" s="19">
        <f t="shared" si="5"/>
        <v>-9.5136389906980395E-4</v>
      </c>
      <c r="G39" s="2"/>
      <c r="H39" s="2"/>
      <c r="I39" s="2"/>
      <c r="J39" s="19">
        <f t="shared" si="6"/>
        <v>0</v>
      </c>
      <c r="K39" s="2"/>
      <c r="L39" s="2">
        <f t="shared" si="7"/>
        <v>-32</v>
      </c>
      <c r="M39" s="2"/>
      <c r="N39" s="19">
        <f t="shared" si="8"/>
        <v>0</v>
      </c>
      <c r="O39" s="11"/>
      <c r="P39" s="2">
        <v>-32</v>
      </c>
      <c r="Q39" s="2"/>
      <c r="R39" s="19">
        <f t="shared" si="9"/>
        <v>-1.0011108263159376E-4</v>
      </c>
      <c r="S39" s="2"/>
      <c r="T39" s="2"/>
      <c r="U39" s="2"/>
      <c r="V39" s="19">
        <f t="shared" si="10"/>
        <v>0</v>
      </c>
      <c r="W39" s="2"/>
      <c r="X39" s="2">
        <f t="shared" si="11"/>
        <v>-32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>
        <v>-42.51</v>
      </c>
      <c r="E40" s="2"/>
      <c r="F40" s="19">
        <f t="shared" si="5"/>
        <v>-1.2638274796705428E-3</v>
      </c>
      <c r="G40" s="2"/>
      <c r="H40" s="2"/>
      <c r="I40" s="2"/>
      <c r="J40" s="19">
        <f t="shared" si="6"/>
        <v>0</v>
      </c>
      <c r="K40" s="2"/>
      <c r="L40" s="2">
        <f t="shared" si="7"/>
        <v>-42.51</v>
      </c>
      <c r="M40" s="2"/>
      <c r="N40" s="19">
        <f t="shared" si="8"/>
        <v>0</v>
      </c>
      <c r="O40" s="11"/>
      <c r="P40" s="2">
        <v>-42.51</v>
      </c>
      <c r="Q40" s="2"/>
      <c r="R40" s="19">
        <f t="shared" si="9"/>
        <v>-1.3299131633340785E-4</v>
      </c>
      <c r="S40" s="2"/>
      <c r="T40" s="2"/>
      <c r="U40" s="2"/>
      <c r="V40" s="19">
        <f t="shared" si="10"/>
        <v>0</v>
      </c>
      <c r="W40" s="2"/>
      <c r="X40" s="2">
        <f t="shared" si="11"/>
        <v>-42.51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>
        <v>11</v>
      </c>
      <c r="E41" s="2"/>
      <c r="F41" s="19">
        <f t="shared" si="5"/>
        <v>3.2703134030524512E-4</v>
      </c>
      <c r="G41" s="2"/>
      <c r="H41" s="2"/>
      <c r="I41" s="2"/>
      <c r="J41" s="19">
        <f t="shared" si="6"/>
        <v>0</v>
      </c>
      <c r="K41" s="2"/>
      <c r="L41" s="2">
        <f t="shared" si="7"/>
        <v>11</v>
      </c>
      <c r="M41" s="2"/>
      <c r="N41" s="19">
        <f t="shared" si="8"/>
        <v>0</v>
      </c>
      <c r="O41" s="11"/>
      <c r="P41" s="2">
        <v>11</v>
      </c>
      <c r="Q41" s="2"/>
      <c r="R41" s="19">
        <f t="shared" si="9"/>
        <v>3.4413184654610359E-5</v>
      </c>
      <c r="S41" s="2"/>
      <c r="T41" s="2"/>
      <c r="U41" s="2"/>
      <c r="V41" s="19">
        <f t="shared" si="10"/>
        <v>0</v>
      </c>
      <c r="W41" s="2"/>
      <c r="X41" s="2">
        <f t="shared" si="11"/>
        <v>11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>
        <v>-120465.93</v>
      </c>
      <c r="E42" s="2"/>
      <c r="F42" s="19">
        <f t="shared" si="5"/>
        <v>-3.5814667771834396</v>
      </c>
      <c r="G42" s="2"/>
      <c r="H42" s="2"/>
      <c r="I42" s="2"/>
      <c r="J42" s="19">
        <f t="shared" si="6"/>
        <v>0</v>
      </c>
      <c r="K42" s="2"/>
      <c r="L42" s="2">
        <f t="shared" si="7"/>
        <v>-120465.93</v>
      </c>
      <c r="M42" s="2"/>
      <c r="N42" s="19">
        <f t="shared" si="8"/>
        <v>0</v>
      </c>
      <c r="O42" s="11"/>
      <c r="P42" s="2">
        <v>-120465.93</v>
      </c>
      <c r="Q42" s="2"/>
      <c r="R42" s="19">
        <f t="shared" si="9"/>
        <v>-0.37687420851630593</v>
      </c>
      <c r="S42" s="2"/>
      <c r="T42" s="2"/>
      <c r="U42" s="2"/>
      <c r="V42" s="19">
        <f t="shared" si="10"/>
        <v>0</v>
      </c>
      <c r="W42" s="2"/>
      <c r="X42" s="2">
        <f t="shared" si="11"/>
        <v>-120465.93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>
        <v>-9429.7800000000007</v>
      </c>
      <c r="E43" s="2"/>
      <c r="F43" s="19">
        <f t="shared" si="5"/>
        <v>-0.28034850838032677</v>
      </c>
      <c r="G43" s="2"/>
      <c r="H43" s="2"/>
      <c r="I43" s="2"/>
      <c r="J43" s="19">
        <f t="shared" si="6"/>
        <v>0</v>
      </c>
      <c r="K43" s="2"/>
      <c r="L43" s="2">
        <f t="shared" si="7"/>
        <v>-9429.7800000000007</v>
      </c>
      <c r="M43" s="2"/>
      <c r="N43" s="19">
        <f t="shared" si="8"/>
        <v>0</v>
      </c>
      <c r="O43" s="11"/>
      <c r="P43" s="2">
        <v>-9222.18</v>
      </c>
      <c r="Q43" s="2"/>
      <c r="R43" s="19">
        <f t="shared" si="9"/>
        <v>-2.8851325750732234E-2</v>
      </c>
      <c r="S43" s="2"/>
      <c r="T43" s="2"/>
      <c r="U43" s="2"/>
      <c r="V43" s="19">
        <f t="shared" si="10"/>
        <v>0</v>
      </c>
      <c r="W43" s="2"/>
      <c r="X43" s="2">
        <f t="shared" si="11"/>
        <v>-9222.18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>
        <v>8014.4</v>
      </c>
      <c r="E44" s="2"/>
      <c r="F44" s="19">
        <f t="shared" si="5"/>
        <v>0.23826908852203241</v>
      </c>
      <c r="G44" s="2"/>
      <c r="H44" s="2"/>
      <c r="I44" s="2"/>
      <c r="J44" s="19">
        <f t="shared" si="6"/>
        <v>0</v>
      </c>
      <c r="K44" s="2"/>
      <c r="L44" s="2">
        <f t="shared" si="7"/>
        <v>8014.4</v>
      </c>
      <c r="M44" s="2"/>
      <c r="N44" s="19">
        <f t="shared" si="8"/>
        <v>0</v>
      </c>
      <c r="O44" s="11"/>
      <c r="P44" s="2">
        <v>15960.44</v>
      </c>
      <c r="Q44" s="2"/>
      <c r="R44" s="19">
        <f t="shared" si="9"/>
        <v>4.993177898989358E-2</v>
      </c>
      <c r="S44" s="2"/>
      <c r="T44" s="2"/>
      <c r="U44" s="2"/>
      <c r="V44" s="19">
        <f t="shared" si="10"/>
        <v>0</v>
      </c>
      <c r="W44" s="2"/>
      <c r="X44" s="2">
        <f t="shared" si="11"/>
        <v>15960.44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"5043", " - ", "PURCHASES @ COST-CARDS")</f>
        <v xml:space="preserve">          5043 - PURCHASES @ COST-CARDS</v>
      </c>
      <c r="C45" s="11"/>
      <c r="D45" s="2">
        <v>-5246.12</v>
      </c>
      <c r="E45" s="2"/>
      <c r="F45" s="19">
        <f t="shared" si="5"/>
        <v>-0.1559677868183775</v>
      </c>
      <c r="G45" s="2"/>
      <c r="H45" s="2"/>
      <c r="I45" s="2"/>
      <c r="J45" s="19">
        <f t="shared" si="6"/>
        <v>0</v>
      </c>
      <c r="K45" s="2"/>
      <c r="L45" s="2">
        <f t="shared" si="7"/>
        <v>-5246.12</v>
      </c>
      <c r="M45" s="2"/>
      <c r="N45" s="19">
        <f t="shared" si="8"/>
        <v>0</v>
      </c>
      <c r="O45" s="11"/>
      <c r="P45" s="2">
        <v>-5246.12</v>
      </c>
      <c r="Q45" s="2"/>
      <c r="R45" s="19">
        <f t="shared" si="9"/>
        <v>-1.6412336025476773E-2</v>
      </c>
      <c r="S45" s="2"/>
      <c r="T45" s="2"/>
      <c r="U45" s="2"/>
      <c r="V45" s="19">
        <f t="shared" si="10"/>
        <v>0</v>
      </c>
      <c r="W45" s="2"/>
      <c r="X45" s="2">
        <f t="shared" si="11"/>
        <v>-5246.12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"5044", " - ", "PURCHASES @ COST-ACCESSORIES")</f>
        <v xml:space="preserve">          5044 - PURCHASES @ COST-ACCESSORIES</v>
      </c>
      <c r="C46" s="11"/>
      <c r="D46" s="2">
        <v>-1731.59</v>
      </c>
      <c r="E46" s="2"/>
      <c r="F46" s="19">
        <f t="shared" si="5"/>
        <v>-5.1480381687196305E-2</v>
      </c>
      <c r="G46" s="2"/>
      <c r="H46" s="2"/>
      <c r="I46" s="2"/>
      <c r="J46" s="19">
        <f t="shared" si="6"/>
        <v>0</v>
      </c>
      <c r="K46" s="2"/>
      <c r="L46" s="2">
        <f t="shared" si="7"/>
        <v>-1731.59</v>
      </c>
      <c r="M46" s="2"/>
      <c r="N46" s="19">
        <f t="shared" si="8"/>
        <v>0</v>
      </c>
      <c r="O46" s="11"/>
      <c r="P46" s="2">
        <v>-1731.59</v>
      </c>
      <c r="Q46" s="2"/>
      <c r="R46" s="19">
        <f t="shared" si="9"/>
        <v>-5.417229674188795E-3</v>
      </c>
      <c r="S46" s="2"/>
      <c r="T46" s="2"/>
      <c r="U46" s="2"/>
      <c r="V46" s="19">
        <f t="shared" si="10"/>
        <v>0</v>
      </c>
      <c r="W46" s="2"/>
      <c r="X46" s="2">
        <f t="shared" si="11"/>
        <v>-1731.59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"5045", " - ", "PURCHASES @ COST-SPECIAL ORDER")</f>
        <v xml:space="preserve">          5045 - PURCHASES @ COST-SPECIAL ORDER</v>
      </c>
      <c r="C47" s="11"/>
      <c r="D47" s="2">
        <v>-210</v>
      </c>
      <c r="E47" s="2"/>
      <c r="F47" s="19">
        <f t="shared" si="5"/>
        <v>-6.2433255876455885E-3</v>
      </c>
      <c r="G47" s="2"/>
      <c r="H47" s="2"/>
      <c r="I47" s="2"/>
      <c r="J47" s="19">
        <f t="shared" si="6"/>
        <v>0</v>
      </c>
      <c r="K47" s="2"/>
      <c r="L47" s="2">
        <f t="shared" si="7"/>
        <v>-210</v>
      </c>
      <c r="M47" s="2"/>
      <c r="N47" s="19">
        <f t="shared" si="8"/>
        <v>0</v>
      </c>
      <c r="O47" s="11"/>
      <c r="P47" s="2">
        <v>-210</v>
      </c>
      <c r="Q47" s="2"/>
      <c r="R47" s="19">
        <f t="shared" si="9"/>
        <v>-6.5697897976983407E-4</v>
      </c>
      <c r="S47" s="2"/>
      <c r="T47" s="2"/>
      <c r="U47" s="2"/>
      <c r="V47" s="19">
        <f t="shared" si="10"/>
        <v>0</v>
      </c>
      <c r="W47" s="2"/>
      <c r="X47" s="2">
        <f t="shared" si="11"/>
        <v>-210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"5086", " - ", "PURCHASES @ COST-COMPUTER SUPP")</f>
        <v xml:space="preserve">          5086 - PURCHASES @ COST-COMPUTER SUPP</v>
      </c>
      <c r="C48" s="11"/>
      <c r="D48" s="2">
        <v>13.21</v>
      </c>
      <c r="E48" s="2"/>
      <c r="F48" s="19">
        <f t="shared" si="5"/>
        <v>3.9273490958475349E-4</v>
      </c>
      <c r="G48" s="2"/>
      <c r="H48" s="2"/>
      <c r="I48" s="2"/>
      <c r="J48" s="19">
        <f t="shared" si="6"/>
        <v>0</v>
      </c>
      <c r="K48" s="2"/>
      <c r="L48" s="2">
        <f t="shared" si="7"/>
        <v>13.21</v>
      </c>
      <c r="M48" s="2"/>
      <c r="N48" s="19">
        <f t="shared" si="8"/>
        <v>0</v>
      </c>
      <c r="O48" s="11"/>
      <c r="P48" s="2">
        <v>26.42</v>
      </c>
      <c r="Q48" s="2"/>
      <c r="R48" s="19">
        <f t="shared" si="9"/>
        <v>8.2654212597709617E-5</v>
      </c>
      <c r="S48" s="2"/>
      <c r="T48" s="2"/>
      <c r="U48" s="2"/>
      <c r="V48" s="19">
        <f t="shared" si="10"/>
        <v>0</v>
      </c>
      <c r="W48" s="2"/>
      <c r="X48" s="2">
        <f t="shared" si="11"/>
        <v>26.42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-8164.8</v>
      </c>
      <c r="Q49" s="2"/>
      <c r="R49" s="19">
        <f t="shared" si="9"/>
        <v>-2.5543342733451151E-2</v>
      </c>
      <c r="S49" s="2"/>
      <c r="T49" s="2"/>
      <c r="U49" s="2"/>
      <c r="V49" s="19">
        <f t="shared" si="10"/>
        <v>0</v>
      </c>
      <c r="W49" s="2"/>
      <c r="X49" s="2">
        <f t="shared" si="11"/>
        <v>-8164.8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18853</v>
      </c>
      <c r="E50" s="2"/>
      <c r="F50" s="19">
        <f t="shared" si="5"/>
        <v>0.56050198716134425</v>
      </c>
      <c r="G50" s="2"/>
      <c r="H50" s="2"/>
      <c r="I50" s="2"/>
      <c r="J50" s="19">
        <f t="shared" si="6"/>
        <v>0</v>
      </c>
      <c r="K50" s="2"/>
      <c r="L50" s="2">
        <f t="shared" si="7"/>
        <v>18853</v>
      </c>
      <c r="M50" s="2"/>
      <c r="N50" s="19">
        <f t="shared" si="8"/>
        <v>0</v>
      </c>
      <c r="O50" s="11"/>
      <c r="P50" s="2">
        <v>149826</v>
      </c>
      <c r="Q50" s="2"/>
      <c r="R50" s="19">
        <f t="shared" si="9"/>
        <v>0.46872634582378653</v>
      </c>
      <c r="S50" s="2"/>
      <c r="T50" s="2"/>
      <c r="U50" s="2"/>
      <c r="V50" s="19">
        <f t="shared" si="10"/>
        <v>0</v>
      </c>
      <c r="W50" s="2"/>
      <c r="X50" s="2">
        <f t="shared" si="11"/>
        <v>149826</v>
      </c>
      <c r="Y50" s="2"/>
      <c r="Z50" s="19">
        <f t="shared" si="12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108</v>
      </c>
      <c r="C52" s="28"/>
      <c r="D52" s="20">
        <f>D12-D35</f>
        <v>144484.49</v>
      </c>
      <c r="E52" s="14"/>
      <c r="F52" s="22">
        <f>IF(D$12=0,0,D52/D$12)</f>
        <v>4.2955414925472528</v>
      </c>
      <c r="G52" s="14"/>
      <c r="H52" s="20">
        <f>H12-H35</f>
        <v>34084</v>
      </c>
      <c r="I52" s="14"/>
      <c r="J52" s="22">
        <f>IF(H$12=0,0,H52/H$12)</f>
        <v>0.57000468258746406</v>
      </c>
      <c r="K52" s="16"/>
      <c r="L52" s="20">
        <f>+D52-H52</f>
        <v>110400.48999999999</v>
      </c>
      <c r="M52" s="16"/>
      <c r="N52" s="22">
        <f>IF(H52=0,0,L52/H52)</f>
        <v>3.2390708250205371</v>
      </c>
      <c r="O52" s="29"/>
      <c r="P52" s="20">
        <f>P12-P35</f>
        <v>299520.49999999988</v>
      </c>
      <c r="Q52" s="14"/>
      <c r="R52" s="22">
        <f>IF(P$12=0,0,P52/P$12)</f>
        <v>0.93704129766738342</v>
      </c>
      <c r="S52" s="14"/>
      <c r="T52" s="20">
        <f>T12-T35</f>
        <v>336538</v>
      </c>
      <c r="U52" s="14"/>
      <c r="V52" s="22">
        <f>IF(T$12=0,0,T52/T$12)</f>
        <v>0.57000245589966381</v>
      </c>
      <c r="W52" s="16"/>
      <c r="X52" s="20">
        <f>+P52-T52</f>
        <v>-37017.500000000116</v>
      </c>
      <c r="Y52" s="16"/>
      <c r="Z52" s="22">
        <f>IF(T52=0,0,X52/T52)</f>
        <v>-0.10999500799315416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295</v>
      </c>
      <c r="C54" s="10"/>
      <c r="D54" s="21">
        <f>SUM(OSRRefD22x_0)</f>
        <v>21738.81</v>
      </c>
      <c r="E54" s="21"/>
      <c r="F54" s="30">
        <f t="shared" ref="F54:F64" si="13">IF(D$12=0,0,D54/D$12)</f>
        <v>0.6462974700855515</v>
      </c>
      <c r="G54" s="21"/>
      <c r="H54" s="21">
        <f>SUM(OSRRefH22x_0)</f>
        <v>26782.971289846151</v>
      </c>
      <c r="I54" s="21"/>
      <c r="J54" s="30">
        <f t="shared" ref="J54:J64" si="14">IF(H$12=0,0,H54/H$12)</f>
        <v>0.44790573432748265</v>
      </c>
      <c r="K54" s="4"/>
      <c r="L54" s="21">
        <f t="shared" ref="L54:L64" si="15">+D54-H54</f>
        <v>-5044.1612898461499</v>
      </c>
      <c r="M54" s="4"/>
      <c r="N54" s="30">
        <f t="shared" ref="N54:N64" si="16">IF(H54=0,0,L54/H54)</f>
        <v>-0.18833464126358793</v>
      </c>
      <c r="O54" s="10"/>
      <c r="P54" s="21">
        <f>SUM(OSRRefP22x_0)</f>
        <v>258035.34</v>
      </c>
      <c r="Q54" s="21"/>
      <c r="R54" s="30">
        <f t="shared" ref="R54:R64" si="17">IF(P$12=0,0,P54/P$12)</f>
        <v>0.80725616389410604</v>
      </c>
      <c r="S54" s="21"/>
      <c r="T54" s="21">
        <f>SUM(OSRRefT22x_0)</f>
        <v>314492.28078000003</v>
      </c>
      <c r="U54" s="21"/>
      <c r="V54" s="30">
        <f t="shared" ref="V54:V64" si="18">IF(T$12=0,0,T54/T$12)</f>
        <v>0.53266309423032954</v>
      </c>
      <c r="W54" s="4"/>
      <c r="X54" s="21">
        <f t="shared" ref="X54:X64" si="19">+P54-T54</f>
        <v>-56456.940780000034</v>
      </c>
      <c r="Y54" s="4"/>
      <c r="Z54" s="30">
        <f t="shared" ref="Z54:Z64" si="20">IF(T54=0,0,X54/T54)</f>
        <v>-0.17951773137317137</v>
      </c>
    </row>
    <row r="55" spans="1:26" s="27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3956.5299999999997</v>
      </c>
      <c r="E55" s="1"/>
      <c r="F55" s="5">
        <f t="shared" si="13"/>
        <v>0.11762811898708285</v>
      </c>
      <c r="G55" s="1"/>
      <c r="H55" s="1">
        <f>SUM(OSRRefH22_0x_0)</f>
        <v>2571.6943667692321</v>
      </c>
      <c r="I55" s="1"/>
      <c r="J55" s="5">
        <f t="shared" si="14"/>
        <v>4.3007799297097332E-2</v>
      </c>
      <c r="K55" s="1"/>
      <c r="L55" s="1">
        <f t="shared" si="15"/>
        <v>1384.8356332307676</v>
      </c>
      <c r="M55" s="1"/>
      <c r="N55" s="5">
        <f t="shared" si="16"/>
        <v>0.53849152960213886</v>
      </c>
      <c r="O55" s="13"/>
      <c r="P55" s="1">
        <f>SUM(OSRRefP22_0x_0)</f>
        <v>55191.91</v>
      </c>
      <c r="Q55" s="1"/>
      <c r="R55" s="5">
        <f t="shared" si="17"/>
        <v>0.17266630820642145</v>
      </c>
      <c r="S55" s="1"/>
      <c r="T55" s="1">
        <f>SUM(OSRRefT22_0x_0)</f>
        <v>27973.480780000002</v>
      </c>
      <c r="U55" s="1"/>
      <c r="V55" s="5">
        <f t="shared" si="18"/>
        <v>4.7379353132965797E-2</v>
      </c>
      <c r="W55" s="1"/>
      <c r="X55" s="1">
        <f t="shared" si="19"/>
        <v>27218.429220000002</v>
      </c>
      <c r="Y55" s="1"/>
      <c r="Z55" s="5">
        <f t="shared" si="20"/>
        <v>0.97300830862136278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6">
        <v>639.66999999999996</v>
      </c>
      <c r="E56" s="2"/>
      <c r="F56" s="7">
        <f t="shared" si="13"/>
        <v>1.9017467041186922E-2</v>
      </c>
      <c r="G56" s="2"/>
      <c r="H56" s="6">
        <v>707.09952369230803</v>
      </c>
      <c r="I56" s="2"/>
      <c r="J56" s="7">
        <f t="shared" si="14"/>
        <v>1.1825197733833502E-2</v>
      </c>
      <c r="K56" s="2"/>
      <c r="L56" s="6">
        <f t="shared" si="15"/>
        <v>-67.429523692308067</v>
      </c>
      <c r="M56" s="2"/>
      <c r="N56" s="7">
        <f t="shared" si="16"/>
        <v>-9.5360725658825071E-2</v>
      </c>
      <c r="O56" s="11"/>
      <c r="P56" s="6">
        <v>8033.93</v>
      </c>
      <c r="Q56" s="2"/>
      <c r="R56" s="7">
        <f t="shared" si="17"/>
        <v>2.5133919690201255E-2</v>
      </c>
      <c r="S56" s="2"/>
      <c r="T56" s="6">
        <v>4979.0418</v>
      </c>
      <c r="U56" s="2"/>
      <c r="V56" s="7">
        <f t="shared" si="18"/>
        <v>8.4331221259622471E-3</v>
      </c>
      <c r="W56" s="2"/>
      <c r="X56" s="6">
        <f t="shared" si="19"/>
        <v>3054.8882000000003</v>
      </c>
      <c r="Y56" s="2"/>
      <c r="Z56" s="7">
        <f t="shared" si="20"/>
        <v>0.61354941828365461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6">
        <v>106.32</v>
      </c>
      <c r="E57" s="2"/>
      <c r="F57" s="7">
        <f t="shared" si="13"/>
        <v>3.1609065546594236E-3</v>
      </c>
      <c r="G57" s="2"/>
      <c r="H57" s="6">
        <v>170.93089230769201</v>
      </c>
      <c r="I57" s="2"/>
      <c r="J57" s="7">
        <f t="shared" si="14"/>
        <v>2.8585673340640176E-3</v>
      </c>
      <c r="K57" s="2"/>
      <c r="L57" s="6">
        <f t="shared" si="15"/>
        <v>-64.610892307692012</v>
      </c>
      <c r="M57" s="2"/>
      <c r="N57" s="7">
        <f t="shared" si="16"/>
        <v>-0.3779942375272119</v>
      </c>
      <c r="O57" s="11"/>
      <c r="P57" s="6">
        <v>2467.9699999999998</v>
      </c>
      <c r="Q57" s="2"/>
      <c r="R57" s="7">
        <f t="shared" si="17"/>
        <v>7.7209733938217017E-3</v>
      </c>
      <c r="S57" s="2"/>
      <c r="T57" s="6">
        <v>2174.3382999999999</v>
      </c>
      <c r="U57" s="2"/>
      <c r="V57" s="7">
        <f t="shared" si="18"/>
        <v>3.682728758585063E-3</v>
      </c>
      <c r="W57" s="2"/>
      <c r="X57" s="6">
        <f t="shared" si="19"/>
        <v>293.63169999999991</v>
      </c>
      <c r="Y57" s="2"/>
      <c r="Z57" s="7">
        <f t="shared" si="20"/>
        <v>0.13504416493054458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6">
        <v>1998.43</v>
      </c>
      <c r="E58" s="2"/>
      <c r="F58" s="7">
        <f t="shared" si="13"/>
        <v>5.9413567400564637E-2</v>
      </c>
      <c r="G58" s="2"/>
      <c r="H58" s="6">
        <v>990</v>
      </c>
      <c r="I58" s="2"/>
      <c r="J58" s="7">
        <f t="shared" si="14"/>
        <v>1.6556291390728478E-2</v>
      </c>
      <c r="K58" s="2"/>
      <c r="L58" s="6">
        <f t="shared" si="15"/>
        <v>1008.4300000000001</v>
      </c>
      <c r="M58" s="2"/>
      <c r="N58" s="7">
        <f t="shared" si="16"/>
        <v>1.0186161616161618</v>
      </c>
      <c r="O58" s="11"/>
      <c r="P58" s="6">
        <v>28284.19</v>
      </c>
      <c r="Q58" s="2"/>
      <c r="R58" s="7">
        <f t="shared" si="17"/>
        <v>8.8486277570553065E-2</v>
      </c>
      <c r="S58" s="2"/>
      <c r="T58" s="6">
        <v>11880</v>
      </c>
      <c r="U58" s="2"/>
      <c r="V58" s="7">
        <f t="shared" si="18"/>
        <v>2.0121440004064937E-2</v>
      </c>
      <c r="W58" s="2"/>
      <c r="X58" s="6">
        <f t="shared" si="19"/>
        <v>16404.189999999999</v>
      </c>
      <c r="Y58" s="2"/>
      <c r="Z58" s="7">
        <f t="shared" si="20"/>
        <v>1.380824074074074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14.94</v>
      </c>
      <c r="E59" s="2"/>
      <c r="F59" s="7">
        <f t="shared" si="13"/>
        <v>4.4416802037821473E-4</v>
      </c>
      <c r="G59" s="2"/>
      <c r="H59" s="6">
        <v>24.02272</v>
      </c>
      <c r="I59" s="2"/>
      <c r="J59" s="7">
        <f t="shared" si="14"/>
        <v>4.0174459830088967E-4</v>
      </c>
      <c r="K59" s="2"/>
      <c r="L59" s="6">
        <f t="shared" si="15"/>
        <v>-9.0827200000000001</v>
      </c>
      <c r="M59" s="2"/>
      <c r="N59" s="7">
        <f t="shared" si="16"/>
        <v>-0.37808874265695142</v>
      </c>
      <c r="O59" s="11"/>
      <c r="P59" s="6">
        <v>320.51</v>
      </c>
      <c r="Q59" s="2"/>
      <c r="R59" s="7">
        <f t="shared" si="17"/>
        <v>1.0027063466953787E-3</v>
      </c>
      <c r="S59" s="2"/>
      <c r="T59" s="6">
        <v>305.58267999999998</v>
      </c>
      <c r="U59" s="2"/>
      <c r="V59" s="7">
        <f t="shared" si="18"/>
        <v>5.1757269039573851E-4</v>
      </c>
      <c r="W59" s="2"/>
      <c r="X59" s="6">
        <f t="shared" si="19"/>
        <v>14.927320000000009</v>
      </c>
      <c r="Y59" s="2"/>
      <c r="Z59" s="7">
        <f t="shared" si="20"/>
        <v>4.8848710928250286E-2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6">
        <v>543.17999999999995</v>
      </c>
      <c r="E60" s="2"/>
      <c r="F60" s="7">
        <f t="shared" si="13"/>
        <v>1.6148807584273003E-2</v>
      </c>
      <c r="G60" s="2"/>
      <c r="H60" s="6">
        <v>201.43846153846201</v>
      </c>
      <c r="I60" s="2"/>
      <c r="J60" s="7">
        <f t="shared" si="14"/>
        <v>3.3687614813442705E-3</v>
      </c>
      <c r="K60" s="2"/>
      <c r="L60" s="6">
        <f t="shared" si="15"/>
        <v>341.74153846153797</v>
      </c>
      <c r="M60" s="2"/>
      <c r="N60" s="7">
        <f t="shared" si="16"/>
        <v>1.6965058998739768</v>
      </c>
      <c r="O60" s="11"/>
      <c r="P60" s="6">
        <v>4761.87</v>
      </c>
      <c r="Q60" s="2"/>
      <c r="R60" s="7">
        <f t="shared" si="17"/>
        <v>1.4897373782840857E-2</v>
      </c>
      <c r="S60" s="2"/>
      <c r="T60" s="6">
        <v>2618.6999999999998</v>
      </c>
      <c r="U60" s="2"/>
      <c r="V60" s="7">
        <f t="shared" si="18"/>
        <v>4.4353547928152231E-3</v>
      </c>
      <c r="W60" s="2"/>
      <c r="X60" s="6">
        <f t="shared" si="19"/>
        <v>2143.17</v>
      </c>
      <c r="Y60" s="2"/>
      <c r="Z60" s="7">
        <f t="shared" si="20"/>
        <v>0.81840989804101283</v>
      </c>
    </row>
    <row r="61" spans="1:26" s="24" customFormat="1" hidden="1" outlineLevel="2" x14ac:dyDescent="0.25">
      <c r="A61" s="26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3"/>
        <v>0</v>
      </c>
      <c r="G61" s="2"/>
      <c r="H61" s="6">
        <v>0</v>
      </c>
      <c r="I61" s="2"/>
      <c r="J61" s="7">
        <f t="shared" si="14"/>
        <v>0</v>
      </c>
      <c r="K61" s="2"/>
      <c r="L61" s="6">
        <f t="shared" si="15"/>
        <v>0</v>
      </c>
      <c r="M61" s="2"/>
      <c r="N61" s="7">
        <f t="shared" si="16"/>
        <v>0</v>
      </c>
      <c r="O61" s="11"/>
      <c r="P61" s="6"/>
      <c r="Q61" s="2"/>
      <c r="R61" s="7">
        <f t="shared" si="17"/>
        <v>0</v>
      </c>
      <c r="S61" s="2"/>
      <c r="T61" s="6">
        <v>0</v>
      </c>
      <c r="U61" s="2"/>
      <c r="V61" s="7">
        <f t="shared" si="18"/>
        <v>0</v>
      </c>
      <c r="W61" s="2"/>
      <c r="X61" s="6">
        <f t="shared" si="19"/>
        <v>0</v>
      </c>
      <c r="Y61" s="2"/>
      <c r="Z61" s="7">
        <f t="shared" si="20"/>
        <v>0</v>
      </c>
    </row>
    <row r="62" spans="1:26" s="24" customFormat="1" hidden="1" outlineLevel="2" x14ac:dyDescent="0.25">
      <c r="A62" s="26"/>
      <c r="B62" s="11" t="str">
        <f>CONCATENATE("          ", "6118", " - ", "VACATION")</f>
        <v xml:space="preserve">          6118 - VACATION</v>
      </c>
      <c r="C62" s="11"/>
      <c r="D62" s="6">
        <v>342.56</v>
      </c>
      <c r="E62" s="2"/>
      <c r="F62" s="7">
        <f t="shared" si="13"/>
        <v>1.0184350539542251E-2</v>
      </c>
      <c r="G62" s="2"/>
      <c r="H62" s="6">
        <v>117.115384615385</v>
      </c>
      <c r="I62" s="2"/>
      <c r="J62" s="7">
        <f t="shared" si="14"/>
        <v>1.9585822565955078E-3</v>
      </c>
      <c r="K62" s="2"/>
      <c r="L62" s="6">
        <f t="shared" si="15"/>
        <v>225.44461538461502</v>
      </c>
      <c r="M62" s="2"/>
      <c r="N62" s="7">
        <f t="shared" si="16"/>
        <v>1.9249786535303683</v>
      </c>
      <c r="O62" s="11"/>
      <c r="P62" s="6">
        <v>5468.58</v>
      </c>
      <c r="Q62" s="2"/>
      <c r="R62" s="7">
        <f t="shared" si="17"/>
        <v>1.7108295758046285E-2</v>
      </c>
      <c r="S62" s="2"/>
      <c r="T62" s="6">
        <v>1522.5</v>
      </c>
      <c r="U62" s="2"/>
      <c r="V62" s="7">
        <f t="shared" si="18"/>
        <v>2.5786946469855947E-3</v>
      </c>
      <c r="W62" s="2"/>
      <c r="X62" s="6">
        <f t="shared" si="19"/>
        <v>3946.08</v>
      </c>
      <c r="Y62" s="2"/>
      <c r="Z62" s="7">
        <f t="shared" si="20"/>
        <v>2.5918423645320194</v>
      </c>
    </row>
    <row r="63" spans="1:26" s="24" customFormat="1" hidden="1" outlineLevel="2" x14ac:dyDescent="0.25">
      <c r="A63" s="26"/>
      <c r="B63" s="11" t="str">
        <f>CONCATENATE("          ", "6119", " - ", "SICK LEAVE")</f>
        <v xml:space="preserve">          6119 - SICK LEAVE</v>
      </c>
      <c r="C63" s="11"/>
      <c r="D63" s="6">
        <v>216.08</v>
      </c>
      <c r="E63" s="2"/>
      <c r="F63" s="7">
        <f t="shared" si="13"/>
        <v>6.4240847284688521E-3</v>
      </c>
      <c r="G63" s="2"/>
      <c r="H63" s="6">
        <v>186.08738461538499</v>
      </c>
      <c r="I63" s="2"/>
      <c r="J63" s="7">
        <f t="shared" si="14"/>
        <v>3.1120373372029064E-3</v>
      </c>
      <c r="K63" s="2"/>
      <c r="L63" s="6">
        <f t="shared" si="15"/>
        <v>29.992615384615021</v>
      </c>
      <c r="M63" s="2"/>
      <c r="N63" s="7">
        <f t="shared" si="16"/>
        <v>0.16117489880684446</v>
      </c>
      <c r="O63" s="11"/>
      <c r="P63" s="6">
        <v>4200.03</v>
      </c>
      <c r="Q63" s="2"/>
      <c r="R63" s="7">
        <f t="shared" si="17"/>
        <v>1.3139673449536649E-2</v>
      </c>
      <c r="S63" s="2"/>
      <c r="T63" s="6">
        <v>2393.3180000000002</v>
      </c>
      <c r="U63" s="2"/>
      <c r="V63" s="7">
        <f t="shared" si="18"/>
        <v>4.05361991141824E-3</v>
      </c>
      <c r="W63" s="2"/>
      <c r="X63" s="6">
        <f t="shared" si="19"/>
        <v>1806.7119999999995</v>
      </c>
      <c r="Y63" s="2"/>
      <c r="Z63" s="7">
        <f t="shared" si="20"/>
        <v>0.75489842971138787</v>
      </c>
    </row>
    <row r="64" spans="1:26" s="24" customFormat="1" hidden="1" outlineLevel="2" x14ac:dyDescent="0.25">
      <c r="A64" s="26"/>
      <c r="B64" s="11" t="str">
        <f>CONCATENATE("          ", "6156", " - ", "EMPLOYEE MEALS")</f>
        <v xml:space="preserve">          6156 - EMPLOYEE MEALS</v>
      </c>
      <c r="C64" s="11"/>
      <c r="D64" s="6">
        <v>95.35</v>
      </c>
      <c r="E64" s="2"/>
      <c r="F64" s="7">
        <f t="shared" si="13"/>
        <v>2.8347671180095563E-3</v>
      </c>
      <c r="G64" s="2"/>
      <c r="H64" s="6">
        <v>175</v>
      </c>
      <c r="I64" s="2"/>
      <c r="J64" s="7">
        <f t="shared" si="14"/>
        <v>2.9266171650277613E-3</v>
      </c>
      <c r="K64" s="2"/>
      <c r="L64" s="6">
        <f t="shared" si="15"/>
        <v>-79.650000000000006</v>
      </c>
      <c r="M64" s="2"/>
      <c r="N64" s="7">
        <f t="shared" si="16"/>
        <v>-0.45514285714285718</v>
      </c>
      <c r="O64" s="11"/>
      <c r="P64" s="6">
        <v>1654.83</v>
      </c>
      <c r="Q64" s="2"/>
      <c r="R64" s="7">
        <f t="shared" si="17"/>
        <v>5.17708821472626E-3</v>
      </c>
      <c r="S64" s="2"/>
      <c r="T64" s="6">
        <v>2100</v>
      </c>
      <c r="U64" s="2"/>
      <c r="V64" s="7">
        <f t="shared" si="18"/>
        <v>3.5568202027387516E-3</v>
      </c>
      <c r="W64" s="2"/>
      <c r="X64" s="6">
        <f t="shared" si="19"/>
        <v>-445.17000000000007</v>
      </c>
      <c r="Y64" s="2"/>
      <c r="Z64" s="7">
        <f t="shared" si="20"/>
        <v>-0.21198571428571433</v>
      </c>
    </row>
    <row r="65" spans="1:26" s="27" customFormat="1" outlineLevel="1" collapsed="1" x14ac:dyDescent="0.25">
      <c r="A65" s="25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9382.1899999999987</v>
      </c>
      <c r="E65" s="1"/>
      <c r="F65" s="5">
        <f t="shared" ref="F65:F75" si="21">IF(D$12=0,0,D65/D$12)</f>
        <v>0.27893365188167885</v>
      </c>
      <c r="G65" s="1"/>
      <c r="H65" s="1">
        <f>SUM(OSRRefH22_1x_0)</f>
        <v>9005.2769230769209</v>
      </c>
      <c r="I65" s="1"/>
      <c r="J65" s="5">
        <f t="shared" ref="J65:J75" si="22">IF(H$12=0,0,H65/H$12)</f>
        <v>0.15059998867945884</v>
      </c>
      <c r="K65" s="1"/>
      <c r="L65" s="1">
        <f t="shared" ref="L65:L75" si="23">+D65-H65</f>
        <v>376.91307692307782</v>
      </c>
      <c r="M65" s="1"/>
      <c r="N65" s="5">
        <f t="shared" ref="N65:N75" si="24">IF(H65=0,0,L65/H65)</f>
        <v>4.1854690326868289E-2</v>
      </c>
      <c r="O65" s="13"/>
      <c r="P65" s="1">
        <f>SUM(OSRRefP22_1x_0)</f>
        <v>100217.86</v>
      </c>
      <c r="Q65" s="1"/>
      <c r="R65" s="5">
        <f t="shared" ref="R65:R75" si="25">IF(P$12=0,0,P65/P$12)</f>
        <v>0.31352870198817173</v>
      </c>
      <c r="S65" s="1"/>
      <c r="T65" s="1">
        <f>SUM(OSRRefT22_1x_0)</f>
        <v>114486.8</v>
      </c>
      <c r="U65" s="1"/>
      <c r="V65" s="5">
        <f t="shared" ref="V65:V75" si="26">IF(T$12=0,0,T65/T$12)</f>
        <v>0.1939090300890052</v>
      </c>
      <c r="W65" s="1"/>
      <c r="X65" s="1">
        <f t="shared" ref="X65:X75" si="27">+P65-T65</f>
        <v>-14268.940000000002</v>
      </c>
      <c r="Y65" s="1"/>
      <c r="Z65" s="5">
        <f t="shared" ref="Z65:Z75" si="28">IF(T65=0,0,X65/T65)</f>
        <v>-0.12463393159735447</v>
      </c>
    </row>
    <row r="66" spans="1:26" s="24" customFormat="1" hidden="1" outlineLevel="2" x14ac:dyDescent="0.25">
      <c r="A66" s="26"/>
      <c r="B66" s="11" t="str">
        <f>CONCATENATE("          ", "6001", " - ", "ADMINISTRATIVE SALARIES")</f>
        <v xml:space="preserve">          6001 - ADMINISTRATIVE SALARIES</v>
      </c>
      <c r="C66" s="11"/>
      <c r="D66" s="6"/>
      <c r="E66" s="2"/>
      <c r="F66" s="7">
        <f t="shared" si="21"/>
        <v>0</v>
      </c>
      <c r="G66" s="2"/>
      <c r="H66" s="6">
        <v>0</v>
      </c>
      <c r="I66" s="2"/>
      <c r="J66" s="7">
        <f t="shared" si="22"/>
        <v>0</v>
      </c>
      <c r="K66" s="2"/>
      <c r="L66" s="6">
        <f t="shared" si="23"/>
        <v>0</v>
      </c>
      <c r="M66" s="2"/>
      <c r="N66" s="7">
        <f t="shared" si="24"/>
        <v>0</v>
      </c>
      <c r="O66" s="11"/>
      <c r="P66" s="6"/>
      <c r="Q66" s="2"/>
      <c r="R66" s="7">
        <f t="shared" si="25"/>
        <v>0</v>
      </c>
      <c r="S66" s="2"/>
      <c r="T66" s="6">
        <v>0</v>
      </c>
      <c r="U66" s="2"/>
      <c r="V66" s="7">
        <f t="shared" si="26"/>
        <v>0</v>
      </c>
      <c r="W66" s="2"/>
      <c r="X66" s="6">
        <f t="shared" si="27"/>
        <v>0</v>
      </c>
      <c r="Y66" s="2"/>
      <c r="Z66" s="7">
        <f t="shared" si="28"/>
        <v>0</v>
      </c>
    </row>
    <row r="67" spans="1:26" s="24" customFormat="1" hidden="1" outlineLevel="2" x14ac:dyDescent="0.25">
      <c r="A67" s="26"/>
      <c r="B67" s="11" t="str">
        <f>CONCATENATE("          ", "6002", " - ", "STAFF SALARIES")</f>
        <v xml:space="preserve">          6002 - STAFF SALARIES</v>
      </c>
      <c r="C67" s="11"/>
      <c r="D67" s="6">
        <v>4684.62</v>
      </c>
      <c r="E67" s="2"/>
      <c r="F67" s="7">
        <f t="shared" si="21"/>
        <v>0.13927432340188703</v>
      </c>
      <c r="G67" s="2"/>
      <c r="H67" s="6">
        <v>2108.0769230769201</v>
      </c>
      <c r="I67" s="2"/>
      <c r="J67" s="7">
        <f t="shared" si="22"/>
        <v>3.5254480618718984E-2</v>
      </c>
      <c r="K67" s="2"/>
      <c r="L67" s="6">
        <f t="shared" si="23"/>
        <v>2576.5430769230798</v>
      </c>
      <c r="M67" s="2"/>
      <c r="N67" s="7">
        <f t="shared" si="24"/>
        <v>1.2222244116037251</v>
      </c>
      <c r="O67" s="11"/>
      <c r="P67" s="6">
        <v>57377.36</v>
      </c>
      <c r="Q67" s="2"/>
      <c r="R67" s="7">
        <f t="shared" si="25"/>
        <v>0.17950342587945947</v>
      </c>
      <c r="S67" s="2"/>
      <c r="T67" s="6">
        <v>27405</v>
      </c>
      <c r="U67" s="2"/>
      <c r="V67" s="7">
        <f t="shared" si="26"/>
        <v>4.6416503645740709E-2</v>
      </c>
      <c r="W67" s="2"/>
      <c r="X67" s="6">
        <f t="shared" si="27"/>
        <v>29972.36</v>
      </c>
      <c r="Y67" s="2"/>
      <c r="Z67" s="7">
        <f t="shared" si="28"/>
        <v>1.0936821747856231</v>
      </c>
    </row>
    <row r="68" spans="1:26" s="24" customFormat="1" hidden="1" outlineLevel="2" x14ac:dyDescent="0.25">
      <c r="A68" s="26"/>
      <c r="B68" s="11" t="str">
        <f>CONCATENATE("          ", "6003", " - ", "STAFF HOURLY-9 MONTH")</f>
        <v xml:space="preserve">          6003 - STAFF HOURLY-9 MONTH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6"/>
      <c r="B69" s="11" t="str">
        <f>CONCATENATE("          ", "6004", " - ", "STAFF HOURLY")</f>
        <v xml:space="preserve">          6004 - STAFF HOURLY</v>
      </c>
      <c r="C69" s="11"/>
      <c r="D69" s="6">
        <v>815.65</v>
      </c>
      <c r="E69" s="2"/>
      <c r="F69" s="7">
        <f t="shared" si="21"/>
        <v>2.4249373883633924E-2</v>
      </c>
      <c r="G69" s="2"/>
      <c r="H69" s="6">
        <v>1359.6</v>
      </c>
      <c r="I69" s="2"/>
      <c r="J69" s="7">
        <f t="shared" si="22"/>
        <v>2.2737306843267108E-2</v>
      </c>
      <c r="K69" s="2"/>
      <c r="L69" s="6">
        <f t="shared" si="23"/>
        <v>-543.94999999999993</v>
      </c>
      <c r="M69" s="2"/>
      <c r="N69" s="7">
        <f t="shared" si="24"/>
        <v>-0.40008090614886727</v>
      </c>
      <c r="O69" s="11"/>
      <c r="P69" s="6">
        <v>4271.8599999999997</v>
      </c>
      <c r="Q69" s="2"/>
      <c r="R69" s="7">
        <f t="shared" si="25"/>
        <v>1.3364391545331254E-2</v>
      </c>
      <c r="S69" s="2"/>
      <c r="T69" s="6">
        <v>17417.400000000001</v>
      </c>
      <c r="U69" s="2"/>
      <c r="V69" s="7">
        <f t="shared" si="26"/>
        <v>2.9500266761515209E-2</v>
      </c>
      <c r="W69" s="2"/>
      <c r="X69" s="6">
        <f t="shared" si="27"/>
        <v>-13145.54</v>
      </c>
      <c r="Y69" s="2"/>
      <c r="Z69" s="7">
        <f t="shared" si="28"/>
        <v>-0.75473606852917197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6">
        <v>1405.58</v>
      </c>
      <c r="E70" s="2"/>
      <c r="F70" s="7">
        <f t="shared" si="21"/>
        <v>4.1788064664204219E-2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1405.58</v>
      </c>
      <c r="M70" s="2"/>
      <c r="N70" s="7">
        <f t="shared" si="24"/>
        <v>0</v>
      </c>
      <c r="O70" s="11"/>
      <c r="P70" s="6">
        <v>19446.169999999998</v>
      </c>
      <c r="Q70" s="2"/>
      <c r="R70" s="7">
        <f t="shared" si="25"/>
        <v>6.0836785366813112E-2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19446.169999999998</v>
      </c>
      <c r="Y70" s="2"/>
      <c r="Z70" s="7">
        <f t="shared" si="28"/>
        <v>0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1"/>
        <v>0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0</v>
      </c>
      <c r="M71" s="2"/>
      <c r="N71" s="7">
        <f t="shared" si="24"/>
        <v>0</v>
      </c>
      <c r="O71" s="11"/>
      <c r="P71" s="6">
        <v>710.96</v>
      </c>
      <c r="Q71" s="2"/>
      <c r="R71" s="7">
        <f t="shared" si="25"/>
        <v>2.2242179783674345E-3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710.96</v>
      </c>
      <c r="Y71" s="2"/>
      <c r="Z71" s="7">
        <f t="shared" si="28"/>
        <v>0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6">
        <v>1680.35</v>
      </c>
      <c r="E72" s="2"/>
      <c r="F72" s="7">
        <f t="shared" si="21"/>
        <v>4.995701024381078E-2</v>
      </c>
      <c r="G72" s="2"/>
      <c r="H72" s="6">
        <v>5537.6</v>
      </c>
      <c r="I72" s="2"/>
      <c r="J72" s="7">
        <f t="shared" si="22"/>
        <v>9.2608201217472749E-2</v>
      </c>
      <c r="K72" s="2"/>
      <c r="L72" s="6">
        <f t="shared" si="23"/>
        <v>-3857.2500000000005</v>
      </c>
      <c r="M72" s="2"/>
      <c r="N72" s="7">
        <f t="shared" si="24"/>
        <v>-0.69655626986420116</v>
      </c>
      <c r="O72" s="11"/>
      <c r="P72" s="6">
        <v>15418.03</v>
      </c>
      <c r="Q72" s="2"/>
      <c r="R72" s="7">
        <f t="shared" si="25"/>
        <v>4.823486485457474E-2</v>
      </c>
      <c r="S72" s="2"/>
      <c r="T72" s="6">
        <v>17192.599999999999</v>
      </c>
      <c r="U72" s="2"/>
      <c r="V72" s="7">
        <f t="shared" si="26"/>
        <v>2.9119517627431549E-2</v>
      </c>
      <c r="W72" s="2"/>
      <c r="X72" s="6">
        <f t="shared" si="27"/>
        <v>-1774.5699999999979</v>
      </c>
      <c r="Y72" s="2"/>
      <c r="Z72" s="7">
        <f t="shared" si="28"/>
        <v>-0.10321708176773717</v>
      </c>
    </row>
    <row r="73" spans="1:26" s="24" customFormat="1" hidden="1" outlineLevel="2" x14ac:dyDescent="0.25">
      <c r="A73" s="26"/>
      <c r="B73" s="11" t="str">
        <f>CONCATENATE("          ", "6008", " - ", "STUDENT HOURLY-FICA EXEMPT")</f>
        <v xml:space="preserve">          6008 - STUDENT HOURLY-FICA EXEMPT</v>
      </c>
      <c r="C73" s="11"/>
      <c r="D73" s="6">
        <v>795.99</v>
      </c>
      <c r="E73" s="2"/>
      <c r="F73" s="7">
        <f t="shared" si="21"/>
        <v>2.3664879688142914E-2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795.99</v>
      </c>
      <c r="M73" s="2"/>
      <c r="N73" s="7">
        <f t="shared" si="24"/>
        <v>0</v>
      </c>
      <c r="O73" s="11"/>
      <c r="P73" s="6">
        <v>2993.48</v>
      </c>
      <c r="Q73" s="2"/>
      <c r="R73" s="7">
        <f t="shared" si="25"/>
        <v>9.3650163636257288E-3</v>
      </c>
      <c r="S73" s="2"/>
      <c r="T73" s="6">
        <v>52471.8</v>
      </c>
      <c r="U73" s="2"/>
      <c r="V73" s="7">
        <f t="shared" si="26"/>
        <v>8.8872742054317735E-2</v>
      </c>
      <c r="W73" s="2"/>
      <c r="X73" s="6">
        <f t="shared" si="27"/>
        <v>-49478.32</v>
      </c>
      <c r="Y73" s="2"/>
      <c r="Z73" s="7">
        <f t="shared" si="28"/>
        <v>-0.94295068970380269</v>
      </c>
    </row>
    <row r="74" spans="1:26" s="24" customFormat="1" hidden="1" outlineLevel="2" x14ac:dyDescent="0.25">
      <c r="A74" s="26"/>
      <c r="B74" s="11" t="str">
        <f>CONCATENATE("          ", "6009", " - ", "TEMPORARY-SEASONAL")</f>
        <v xml:space="preserve">          6009 - TEMPORARY-SEASONAL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6"/>
      <c r="B75" s="11" t="str">
        <f>CONCATENATE("          ", "6010", " - ", "GRATUITY")</f>
        <v xml:space="preserve">          6010 - GRATUITY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0</v>
      </c>
      <c r="Y75" s="2"/>
      <c r="Z75" s="7">
        <f t="shared" si="28"/>
        <v>0</v>
      </c>
    </row>
    <row r="76" spans="1:26" s="27" customFormat="1" outlineLevel="1" collapsed="1" x14ac:dyDescent="0.25">
      <c r="A76" s="25"/>
      <c r="B76" s="13" t="str">
        <f>CONCATENATE("     ","Advertising/Promo                                 ")</f>
        <v xml:space="preserve">     Advertising/Promo                                 </v>
      </c>
      <c r="C76" s="13"/>
      <c r="D76" s="1">
        <f>SUM(OSRRefD22_2x_0)</f>
        <v>221.46</v>
      </c>
      <c r="E76" s="1"/>
      <c r="F76" s="5">
        <f t="shared" ref="F76:F90" si="29">IF(D$12=0,0,D76/D$12)</f>
        <v>6.5840327839999623E-3</v>
      </c>
      <c r="G76" s="1"/>
      <c r="H76" s="1">
        <f>SUM(OSRRefH22_2x_0)</f>
        <v>50</v>
      </c>
      <c r="I76" s="1"/>
      <c r="J76" s="5">
        <f t="shared" ref="J76:J90" si="30">IF(H$12=0,0,H76/H$12)</f>
        <v>8.3617633286507459E-4</v>
      </c>
      <c r="K76" s="1"/>
      <c r="L76" s="1">
        <f t="shared" ref="L76:L90" si="31">+D76-H76</f>
        <v>171.46</v>
      </c>
      <c r="M76" s="1"/>
      <c r="N76" s="5">
        <f t="shared" ref="N76:N90" si="32">IF(H76=0,0,L76/H76)</f>
        <v>3.4292000000000002</v>
      </c>
      <c r="O76" s="13"/>
      <c r="P76" s="1">
        <f>SUM(OSRRefP22_2x_0)</f>
        <v>1635.66</v>
      </c>
      <c r="Q76" s="1"/>
      <c r="R76" s="5">
        <f t="shared" ref="R76:R90" si="33">IF(P$12=0,0,P76/P$12)</f>
        <v>5.1171154192872709E-3</v>
      </c>
      <c r="S76" s="1"/>
      <c r="T76" s="1">
        <f>SUM(OSRRefT22_2x_0)</f>
        <v>600</v>
      </c>
      <c r="U76" s="1"/>
      <c r="V76" s="5">
        <f t="shared" ref="V76:V90" si="34">IF(T$12=0,0,T76/T$12)</f>
        <v>1.0162343436396434E-3</v>
      </c>
      <c r="W76" s="1"/>
      <c r="X76" s="1">
        <f t="shared" ref="X76:X90" si="35">+P76-T76</f>
        <v>1035.6600000000001</v>
      </c>
      <c r="Y76" s="1"/>
      <c r="Z76" s="5">
        <f t="shared" ref="Z76:Z90" si="36">IF(T76=0,0,X76/T76)</f>
        <v>1.7261000000000002</v>
      </c>
    </row>
    <row r="77" spans="1:26" s="24" customFormat="1" hidden="1" outlineLevel="2" x14ac:dyDescent="0.25">
      <c r="A77" s="26"/>
      <c r="B77" s="11" t="str">
        <f>CONCATENATE("          ", "6362", " - ", "ADVERTISING EXPENSE")</f>
        <v xml:space="preserve">          6362 - ADVERTISING EXPENSE</v>
      </c>
      <c r="C77" s="11"/>
      <c r="D77" s="6">
        <v>221.46</v>
      </c>
      <c r="E77" s="2"/>
      <c r="F77" s="7">
        <f t="shared" si="29"/>
        <v>6.5840327839999623E-3</v>
      </c>
      <c r="G77" s="2"/>
      <c r="H77" s="6">
        <v>50</v>
      </c>
      <c r="I77" s="2"/>
      <c r="J77" s="7">
        <f t="shared" si="30"/>
        <v>8.3617633286507459E-4</v>
      </c>
      <c r="K77" s="2"/>
      <c r="L77" s="6">
        <f t="shared" si="31"/>
        <v>171.46</v>
      </c>
      <c r="M77" s="2"/>
      <c r="N77" s="7">
        <f t="shared" si="32"/>
        <v>3.4292000000000002</v>
      </c>
      <c r="O77" s="11"/>
      <c r="P77" s="6">
        <v>1635.66</v>
      </c>
      <c r="Q77" s="2"/>
      <c r="R77" s="7">
        <f t="shared" si="33"/>
        <v>5.1171154192872709E-3</v>
      </c>
      <c r="S77" s="2"/>
      <c r="T77" s="6">
        <v>600</v>
      </c>
      <c r="U77" s="2"/>
      <c r="V77" s="7">
        <f t="shared" si="34"/>
        <v>1.0162343436396434E-3</v>
      </c>
      <c r="W77" s="2"/>
      <c r="X77" s="6">
        <f t="shared" si="35"/>
        <v>1035.6600000000001</v>
      </c>
      <c r="Y77" s="2"/>
      <c r="Z77" s="7">
        <f t="shared" si="36"/>
        <v>1.7261000000000002</v>
      </c>
    </row>
    <row r="78" spans="1:26" s="27" customFormat="1" outlineLevel="1" collapsed="1" x14ac:dyDescent="0.25">
      <c r="A78" s="25"/>
      <c r="B78" s="13" t="str">
        <f>CONCATENATE("     ","Bad Debts/Over/Short                              ")</f>
        <v xml:space="preserve">     Bad Debts/Over/Short                              </v>
      </c>
      <c r="C78" s="13"/>
      <c r="D78" s="1">
        <f>SUM(OSRRefD22_3x_0)</f>
        <v>-7.0000000000000007E-2</v>
      </c>
      <c r="E78" s="1"/>
      <c r="F78" s="5">
        <f t="shared" si="29"/>
        <v>-2.0811085292151965E-6</v>
      </c>
      <c r="G78" s="1"/>
      <c r="H78" s="1">
        <f>SUM(OSRRefH22_3x_0)</f>
        <v>10</v>
      </c>
      <c r="I78" s="1"/>
      <c r="J78" s="5">
        <f t="shared" si="30"/>
        <v>1.6723526657301492E-4</v>
      </c>
      <c r="K78" s="1"/>
      <c r="L78" s="1">
        <f t="shared" si="31"/>
        <v>-10.07</v>
      </c>
      <c r="M78" s="1"/>
      <c r="N78" s="5">
        <f t="shared" si="32"/>
        <v>-1.0070000000000001</v>
      </c>
      <c r="O78" s="13"/>
      <c r="P78" s="1">
        <f>SUM(OSRRefP22_3x_0)</f>
        <v>-24.57</v>
      </c>
      <c r="Q78" s="1"/>
      <c r="R78" s="5">
        <f t="shared" si="33"/>
        <v>-7.6866540633070598E-5</v>
      </c>
      <c r="S78" s="1"/>
      <c r="T78" s="1">
        <f>SUM(OSRRefT22_3x_0)</f>
        <v>120</v>
      </c>
      <c r="U78" s="1"/>
      <c r="V78" s="5">
        <f t="shared" si="34"/>
        <v>2.0324686872792865E-4</v>
      </c>
      <c r="W78" s="1"/>
      <c r="X78" s="1">
        <f t="shared" si="35"/>
        <v>-144.57</v>
      </c>
      <c r="Y78" s="1"/>
      <c r="Z78" s="5">
        <f t="shared" si="36"/>
        <v>-1.20475</v>
      </c>
    </row>
    <row r="79" spans="1:26" s="24" customFormat="1" hidden="1" outlineLevel="2" x14ac:dyDescent="0.25">
      <c r="A79" s="26"/>
      <c r="B79" s="11" t="str">
        <f>CONCATENATE("          ", "6272", " - ", "CASH (OVER/SHORT)")</f>
        <v xml:space="preserve">          6272 - CASH (OVER/SHORT)</v>
      </c>
      <c r="C79" s="11"/>
      <c r="D79" s="6">
        <v>-7.0000000000000007E-2</v>
      </c>
      <c r="E79" s="2"/>
      <c r="F79" s="7">
        <f t="shared" si="29"/>
        <v>-2.0811085292151965E-6</v>
      </c>
      <c r="G79" s="2"/>
      <c r="H79" s="6">
        <v>10</v>
      </c>
      <c r="I79" s="2"/>
      <c r="J79" s="7">
        <f t="shared" si="30"/>
        <v>1.6723526657301492E-4</v>
      </c>
      <c r="K79" s="2"/>
      <c r="L79" s="6">
        <f t="shared" si="31"/>
        <v>-10.07</v>
      </c>
      <c r="M79" s="2"/>
      <c r="N79" s="7">
        <f t="shared" si="32"/>
        <v>-1.0070000000000001</v>
      </c>
      <c r="O79" s="11"/>
      <c r="P79" s="6">
        <v>-24.57</v>
      </c>
      <c r="Q79" s="2"/>
      <c r="R79" s="7">
        <f t="shared" si="33"/>
        <v>-7.6866540633070598E-5</v>
      </c>
      <c r="S79" s="2"/>
      <c r="T79" s="6">
        <v>120</v>
      </c>
      <c r="U79" s="2"/>
      <c r="V79" s="7">
        <f t="shared" si="34"/>
        <v>2.0324686872792865E-4</v>
      </c>
      <c r="W79" s="2"/>
      <c r="X79" s="6">
        <f t="shared" si="35"/>
        <v>-144.57</v>
      </c>
      <c r="Y79" s="2"/>
      <c r="Z79" s="7">
        <f t="shared" si="36"/>
        <v>-1.20475</v>
      </c>
    </row>
    <row r="80" spans="1:26" s="27" customFormat="1" outlineLevel="1" collapsed="1" x14ac:dyDescent="0.25">
      <c r="A80" s="25"/>
      <c r="B80" s="13" t="str">
        <f>CONCATENATE("     ","Bank/card Fees                                    ")</f>
        <v xml:space="preserve">     Bank/card Fees                                    </v>
      </c>
      <c r="C80" s="13"/>
      <c r="D80" s="1">
        <f>SUM(OSRRefD22_4x_0)</f>
        <v>494.04</v>
      </c>
      <c r="E80" s="1"/>
      <c r="F80" s="5">
        <f t="shared" si="29"/>
        <v>1.4687869396763937E-2</v>
      </c>
      <c r="G80" s="1"/>
      <c r="H80" s="1">
        <f>SUM(OSRRefH22_4x_0)</f>
        <v>900</v>
      </c>
      <c r="I80" s="1"/>
      <c r="J80" s="5">
        <f t="shared" si="30"/>
        <v>1.5051173991571343E-2</v>
      </c>
      <c r="K80" s="1"/>
      <c r="L80" s="1">
        <f t="shared" si="31"/>
        <v>-405.96</v>
      </c>
      <c r="M80" s="1"/>
      <c r="N80" s="5">
        <f t="shared" si="32"/>
        <v>-0.45106666666666667</v>
      </c>
      <c r="O80" s="13"/>
      <c r="P80" s="1">
        <f>SUM(OSRRefP22_4x_0)</f>
        <v>4972.8900000000003</v>
      </c>
      <c r="Q80" s="1"/>
      <c r="R80" s="5">
        <f t="shared" si="33"/>
        <v>1.5557543803369574E-2</v>
      </c>
      <c r="S80" s="1"/>
      <c r="T80" s="1">
        <f>SUM(OSRRefT22_4x_0)</f>
        <v>8886</v>
      </c>
      <c r="U80" s="1"/>
      <c r="V80" s="5">
        <f t="shared" si="34"/>
        <v>1.5050430629303117E-2</v>
      </c>
      <c r="W80" s="1"/>
      <c r="X80" s="1">
        <f t="shared" si="35"/>
        <v>-3913.1099999999997</v>
      </c>
      <c r="Y80" s="1"/>
      <c r="Z80" s="5">
        <f t="shared" si="36"/>
        <v>-0.44036799459824438</v>
      </c>
    </row>
    <row r="81" spans="1:26" s="24" customFormat="1" hidden="1" outlineLevel="2" x14ac:dyDescent="0.25">
      <c r="A81" s="26"/>
      <c r="B81" s="11" t="str">
        <f>CONCATENATE("          ", "6381", " - ", "BANK/CREDIT CARD FEES")</f>
        <v xml:space="preserve">          6381 - BANK/CREDIT CARD FEES</v>
      </c>
      <c r="C81" s="11"/>
      <c r="D81" s="6">
        <v>494.04</v>
      </c>
      <c r="E81" s="2"/>
      <c r="F81" s="7">
        <f t="shared" si="29"/>
        <v>1.4687869396763937E-2</v>
      </c>
      <c r="G81" s="2"/>
      <c r="H81" s="6">
        <v>900</v>
      </c>
      <c r="I81" s="2"/>
      <c r="J81" s="7">
        <f t="shared" si="30"/>
        <v>1.5051173991571343E-2</v>
      </c>
      <c r="K81" s="2"/>
      <c r="L81" s="6">
        <f t="shared" si="31"/>
        <v>-405.96</v>
      </c>
      <c r="M81" s="2"/>
      <c r="N81" s="7">
        <f t="shared" si="32"/>
        <v>-0.45106666666666667</v>
      </c>
      <c r="O81" s="11"/>
      <c r="P81" s="6">
        <v>4972.8900000000003</v>
      </c>
      <c r="Q81" s="2"/>
      <c r="R81" s="7">
        <f t="shared" si="33"/>
        <v>1.5557543803369574E-2</v>
      </c>
      <c r="S81" s="2"/>
      <c r="T81" s="6">
        <v>8886</v>
      </c>
      <c r="U81" s="2"/>
      <c r="V81" s="7">
        <f t="shared" si="34"/>
        <v>1.5050430629303117E-2</v>
      </c>
      <c r="W81" s="2"/>
      <c r="X81" s="6">
        <f t="shared" si="35"/>
        <v>-3913.1099999999997</v>
      </c>
      <c r="Y81" s="2"/>
      <c r="Z81" s="7">
        <f t="shared" si="36"/>
        <v>-0.44036799459824438</v>
      </c>
    </row>
    <row r="82" spans="1:26" s="27" customFormat="1" outlineLevel="1" collapsed="1" x14ac:dyDescent="0.25">
      <c r="A82" s="25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SUM(OSRRefD22_5x_0)</f>
        <v>0</v>
      </c>
      <c r="E82" s="1"/>
      <c r="F82" s="5">
        <f t="shared" si="29"/>
        <v>0</v>
      </c>
      <c r="G82" s="1"/>
      <c r="H82" s="1">
        <f>SUM(OSRRefH22_5x_0)</f>
        <v>5980</v>
      </c>
      <c r="I82" s="1"/>
      <c r="J82" s="5">
        <f t="shared" si="30"/>
        <v>0.10000668941066292</v>
      </c>
      <c r="K82" s="1"/>
      <c r="L82" s="1">
        <f t="shared" si="31"/>
        <v>-5980</v>
      </c>
      <c r="M82" s="1"/>
      <c r="N82" s="5">
        <f t="shared" si="32"/>
        <v>-1</v>
      </c>
      <c r="O82" s="13"/>
      <c r="P82" s="1">
        <f>SUM(OSRRefP22_5x_0)</f>
        <v>0</v>
      </c>
      <c r="Q82" s="1"/>
      <c r="R82" s="5">
        <f t="shared" si="33"/>
        <v>0</v>
      </c>
      <c r="S82" s="1"/>
      <c r="T82" s="1">
        <f>SUM(OSRRefT22_5x_0)</f>
        <v>59043</v>
      </c>
      <c r="U82" s="1"/>
      <c r="V82" s="5">
        <f t="shared" si="34"/>
        <v>0.1000025405858591</v>
      </c>
      <c r="W82" s="1"/>
      <c r="X82" s="1">
        <f t="shared" si="35"/>
        <v>-59043</v>
      </c>
      <c r="Y82" s="1"/>
      <c r="Z82" s="5">
        <f t="shared" si="36"/>
        <v>-1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6">
        <v>0</v>
      </c>
      <c r="E83" s="2"/>
      <c r="F83" s="7">
        <f t="shared" si="29"/>
        <v>0</v>
      </c>
      <c r="G83" s="2"/>
      <c r="H83" s="6">
        <v>5980</v>
      </c>
      <c r="I83" s="2"/>
      <c r="J83" s="7">
        <f t="shared" si="30"/>
        <v>0.10000668941066292</v>
      </c>
      <c r="K83" s="2"/>
      <c r="L83" s="6">
        <f t="shared" si="31"/>
        <v>-5980</v>
      </c>
      <c r="M83" s="2"/>
      <c r="N83" s="7">
        <f t="shared" si="32"/>
        <v>-1</v>
      </c>
      <c r="O83" s="11"/>
      <c r="P83" s="6">
        <v>0</v>
      </c>
      <c r="Q83" s="2"/>
      <c r="R83" s="7">
        <f t="shared" si="33"/>
        <v>0</v>
      </c>
      <c r="S83" s="2"/>
      <c r="T83" s="6">
        <v>59043</v>
      </c>
      <c r="U83" s="2"/>
      <c r="V83" s="7">
        <f t="shared" si="34"/>
        <v>0.1000025405858591</v>
      </c>
      <c r="W83" s="2"/>
      <c r="X83" s="6">
        <f t="shared" si="35"/>
        <v>-59043</v>
      </c>
      <c r="Y83" s="2"/>
      <c r="Z83" s="7">
        <f t="shared" si="36"/>
        <v>-1</v>
      </c>
    </row>
    <row r="84" spans="1:26" s="27" customFormat="1" outlineLevel="1" collapsed="1" x14ac:dyDescent="0.25">
      <c r="A84" s="25"/>
      <c r="B84" s="13" t="str">
        <f>CONCATENATE("     ","Donations                                         ")</f>
        <v xml:space="preserve">     Donations                                         </v>
      </c>
      <c r="C84" s="13"/>
      <c r="D84" s="1">
        <f>SUM(OSRRefD22_6x_0)</f>
        <v>0</v>
      </c>
      <c r="E84" s="1"/>
      <c r="F84" s="5">
        <f t="shared" si="29"/>
        <v>0</v>
      </c>
      <c r="G84" s="1"/>
      <c r="H84" s="1">
        <f>SUM(OSRRefH22_6x_0)</f>
        <v>0</v>
      </c>
      <c r="I84" s="1"/>
      <c r="J84" s="5">
        <f t="shared" si="30"/>
        <v>0</v>
      </c>
      <c r="K84" s="1"/>
      <c r="L84" s="1">
        <f t="shared" si="31"/>
        <v>0</v>
      </c>
      <c r="M84" s="1"/>
      <c r="N84" s="5">
        <f t="shared" si="32"/>
        <v>0</v>
      </c>
      <c r="O84" s="13"/>
      <c r="P84" s="1">
        <f>SUM(OSRRefP22_6x_0)</f>
        <v>0</v>
      </c>
      <c r="Q84" s="1"/>
      <c r="R84" s="5">
        <f t="shared" si="33"/>
        <v>0</v>
      </c>
      <c r="S84" s="1"/>
      <c r="T84" s="1">
        <f>SUM(OSRRefT22_6x_0)</f>
        <v>0</v>
      </c>
      <c r="U84" s="1"/>
      <c r="V84" s="5">
        <f t="shared" si="34"/>
        <v>0</v>
      </c>
      <c r="W84" s="1"/>
      <c r="X84" s="1">
        <f t="shared" si="35"/>
        <v>0</v>
      </c>
      <c r="Y84" s="1"/>
      <c r="Z84" s="5">
        <f t="shared" si="36"/>
        <v>0</v>
      </c>
    </row>
    <row r="85" spans="1:26" s="24" customFormat="1" hidden="1" outlineLevel="2" x14ac:dyDescent="0.25">
      <c r="A85" s="26"/>
      <c r="B85" s="11" t="str">
        <f>CONCATENATE("          ", "6395", " - ", "DONATION-OFF CAMPUS")</f>
        <v xml:space="preserve">          6395 - DONATION-OFF CAMPUS</v>
      </c>
      <c r="C85" s="11"/>
      <c r="D85" s="6"/>
      <c r="E85" s="2"/>
      <c r="F85" s="7">
        <f t="shared" si="29"/>
        <v>0</v>
      </c>
      <c r="G85" s="2"/>
      <c r="H85" s="6"/>
      <c r="I85" s="2"/>
      <c r="J85" s="7">
        <f t="shared" si="30"/>
        <v>0</v>
      </c>
      <c r="K85" s="2"/>
      <c r="L85" s="6">
        <f t="shared" si="31"/>
        <v>0</v>
      </c>
      <c r="M85" s="2"/>
      <c r="N85" s="7">
        <f t="shared" si="32"/>
        <v>0</v>
      </c>
      <c r="O85" s="11"/>
      <c r="P85" s="6"/>
      <c r="Q85" s="2"/>
      <c r="R85" s="7">
        <f t="shared" si="33"/>
        <v>0</v>
      </c>
      <c r="S85" s="2"/>
      <c r="T85" s="6">
        <v>0</v>
      </c>
      <c r="U85" s="2"/>
      <c r="V85" s="7">
        <f t="shared" si="34"/>
        <v>0</v>
      </c>
      <c r="W85" s="2"/>
      <c r="X85" s="6">
        <f t="shared" si="35"/>
        <v>0</v>
      </c>
      <c r="Y85" s="2"/>
      <c r="Z85" s="7">
        <f t="shared" si="36"/>
        <v>0</v>
      </c>
    </row>
    <row r="86" spans="1:26" s="27" customFormat="1" outlineLevel="1" collapsed="1" x14ac:dyDescent="0.25">
      <c r="A86" s="25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SUM(OSRRefD22_7x_0)</f>
        <v>0</v>
      </c>
      <c r="E86" s="1"/>
      <c r="F86" s="5">
        <f t="shared" si="29"/>
        <v>0</v>
      </c>
      <c r="G86" s="1"/>
      <c r="H86" s="1">
        <f>SUM(OSRRefH22_7x_0)</f>
        <v>50</v>
      </c>
      <c r="I86" s="1"/>
      <c r="J86" s="5">
        <f t="shared" si="30"/>
        <v>8.3617633286507459E-4</v>
      </c>
      <c r="K86" s="1"/>
      <c r="L86" s="1">
        <f t="shared" si="31"/>
        <v>-50</v>
      </c>
      <c r="M86" s="1"/>
      <c r="N86" s="5">
        <f t="shared" si="32"/>
        <v>-1</v>
      </c>
      <c r="O86" s="13"/>
      <c r="P86" s="1">
        <f>SUM(OSRRefP22_7x_0)</f>
        <v>0</v>
      </c>
      <c r="Q86" s="1"/>
      <c r="R86" s="5">
        <f t="shared" si="33"/>
        <v>0</v>
      </c>
      <c r="S86" s="1"/>
      <c r="T86" s="1">
        <f>SUM(OSRRefT22_7x_0)</f>
        <v>600</v>
      </c>
      <c r="U86" s="1"/>
      <c r="V86" s="5">
        <f t="shared" si="34"/>
        <v>1.0162343436396434E-3</v>
      </c>
      <c r="W86" s="1"/>
      <c r="X86" s="1">
        <f t="shared" si="35"/>
        <v>-600</v>
      </c>
      <c r="Y86" s="1"/>
      <c r="Z86" s="5">
        <f t="shared" si="36"/>
        <v>-1</v>
      </c>
    </row>
    <row r="87" spans="1:26" s="24" customFormat="1" hidden="1" outlineLevel="2" x14ac:dyDescent="0.25">
      <c r="A87" s="26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29"/>
        <v>0</v>
      </c>
      <c r="G87" s="2"/>
      <c r="H87" s="6">
        <v>50</v>
      </c>
      <c r="I87" s="2"/>
      <c r="J87" s="7">
        <f t="shared" si="30"/>
        <v>8.3617633286507459E-4</v>
      </c>
      <c r="K87" s="2"/>
      <c r="L87" s="6">
        <f t="shared" si="31"/>
        <v>-50</v>
      </c>
      <c r="M87" s="2"/>
      <c r="N87" s="7">
        <f t="shared" si="32"/>
        <v>-1</v>
      </c>
      <c r="O87" s="11"/>
      <c r="P87" s="6"/>
      <c r="Q87" s="2"/>
      <c r="R87" s="7">
        <f t="shared" si="33"/>
        <v>0</v>
      </c>
      <c r="S87" s="2"/>
      <c r="T87" s="6">
        <v>600</v>
      </c>
      <c r="U87" s="2"/>
      <c r="V87" s="7">
        <f t="shared" si="34"/>
        <v>1.0162343436396434E-3</v>
      </c>
      <c r="W87" s="2"/>
      <c r="X87" s="6">
        <f t="shared" si="35"/>
        <v>-600</v>
      </c>
      <c r="Y87" s="2"/>
      <c r="Z87" s="7">
        <f t="shared" si="36"/>
        <v>-1</v>
      </c>
    </row>
    <row r="88" spans="1:26" s="27" customFormat="1" outlineLevel="1" collapsed="1" x14ac:dyDescent="0.25">
      <c r="A88" s="25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SUM(OSRRefD22_8x_0)</f>
        <v>0</v>
      </c>
      <c r="E88" s="1"/>
      <c r="F88" s="5">
        <f t="shared" si="29"/>
        <v>0</v>
      </c>
      <c r="G88" s="1"/>
      <c r="H88" s="1">
        <f>SUM(OSRRefH22_8x_0)</f>
        <v>0</v>
      </c>
      <c r="I88" s="1"/>
      <c r="J88" s="5">
        <f t="shared" si="30"/>
        <v>0</v>
      </c>
      <c r="K88" s="1"/>
      <c r="L88" s="1">
        <f t="shared" si="31"/>
        <v>0</v>
      </c>
      <c r="M88" s="1"/>
      <c r="N88" s="5">
        <f t="shared" si="32"/>
        <v>0</v>
      </c>
      <c r="O88" s="13"/>
      <c r="P88" s="1">
        <f>SUM(OSRRefP22_8x_0)</f>
        <v>1380.29</v>
      </c>
      <c r="Q88" s="1"/>
      <c r="R88" s="5">
        <f t="shared" si="33"/>
        <v>4.3181976951738301E-3</v>
      </c>
      <c r="S88" s="1"/>
      <c r="T88" s="1">
        <f>SUM(OSRRefT22_8x_0)</f>
        <v>2000</v>
      </c>
      <c r="U88" s="1"/>
      <c r="V88" s="5">
        <f t="shared" si="34"/>
        <v>3.3874478121321445E-3</v>
      </c>
      <c r="W88" s="1"/>
      <c r="X88" s="1">
        <f t="shared" si="35"/>
        <v>-619.71</v>
      </c>
      <c r="Y88" s="1"/>
      <c r="Z88" s="5">
        <f t="shared" si="36"/>
        <v>-0.30985499999999999</v>
      </c>
    </row>
    <row r="89" spans="1:26" s="24" customFormat="1" hidden="1" outlineLevel="2" x14ac:dyDescent="0.25">
      <c r="A89" s="26"/>
      <c r="B89" s="11" t="str">
        <f>CONCATENATE("          ", "6276", " - ", "PROPERTY TAX")</f>
        <v xml:space="preserve">          6276 - PROPERTY TAX</v>
      </c>
      <c r="C89" s="11"/>
      <c r="D89" s="6"/>
      <c r="E89" s="2"/>
      <c r="F89" s="7">
        <f t="shared" si="29"/>
        <v>0</v>
      </c>
      <c r="G89" s="2"/>
      <c r="H89" s="6"/>
      <c r="I89" s="2"/>
      <c r="J89" s="7">
        <f t="shared" si="30"/>
        <v>0</v>
      </c>
      <c r="K89" s="2"/>
      <c r="L89" s="6">
        <f t="shared" si="31"/>
        <v>0</v>
      </c>
      <c r="M89" s="2"/>
      <c r="N89" s="7">
        <f t="shared" si="32"/>
        <v>0</v>
      </c>
      <c r="O89" s="11"/>
      <c r="P89" s="6"/>
      <c r="Q89" s="2"/>
      <c r="R89" s="7">
        <f t="shared" si="33"/>
        <v>0</v>
      </c>
      <c r="S89" s="2"/>
      <c r="T89" s="6">
        <v>150</v>
      </c>
      <c r="U89" s="2"/>
      <c r="V89" s="7">
        <f t="shared" si="34"/>
        <v>2.5405858590991085E-4</v>
      </c>
      <c r="W89" s="2"/>
      <c r="X89" s="6">
        <f t="shared" si="35"/>
        <v>-150</v>
      </c>
      <c r="Y89" s="2"/>
      <c r="Z89" s="7">
        <f t="shared" si="36"/>
        <v>-1</v>
      </c>
    </row>
    <row r="90" spans="1:26" s="24" customFormat="1" hidden="1" outlineLevel="2" x14ac:dyDescent="0.25">
      <c r="A90" s="26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29"/>
        <v>0</v>
      </c>
      <c r="G90" s="2"/>
      <c r="H90" s="6">
        <v>0</v>
      </c>
      <c r="I90" s="2"/>
      <c r="J90" s="7">
        <f t="shared" si="30"/>
        <v>0</v>
      </c>
      <c r="K90" s="2"/>
      <c r="L90" s="6">
        <f t="shared" si="31"/>
        <v>0</v>
      </c>
      <c r="M90" s="2"/>
      <c r="N90" s="7">
        <f t="shared" si="32"/>
        <v>0</v>
      </c>
      <c r="O90" s="11"/>
      <c r="P90" s="6">
        <v>1380.29</v>
      </c>
      <c r="Q90" s="2"/>
      <c r="R90" s="7">
        <f t="shared" si="33"/>
        <v>4.3181976951738301E-3</v>
      </c>
      <c r="S90" s="2"/>
      <c r="T90" s="6">
        <v>1850</v>
      </c>
      <c r="U90" s="2"/>
      <c r="V90" s="7">
        <f t="shared" si="34"/>
        <v>3.1333892262222335E-3</v>
      </c>
      <c r="W90" s="2"/>
      <c r="X90" s="6">
        <f t="shared" si="35"/>
        <v>-469.71000000000004</v>
      </c>
      <c r="Y90" s="2"/>
      <c r="Z90" s="7">
        <f t="shared" si="36"/>
        <v>-0.25389729729729732</v>
      </c>
    </row>
    <row r="91" spans="1:26" s="27" customFormat="1" outlineLevel="1" collapsed="1" x14ac:dyDescent="0.25">
      <c r="A91" s="25"/>
      <c r="B91" s="13" t="str">
        <f>CONCATENATE("     ","Insurance                                         ")</f>
        <v xml:space="preserve">     Insurance                                         </v>
      </c>
      <c r="C91" s="13"/>
      <c r="D91" s="1">
        <f>SUM(OSRRefD22_9x_0)</f>
        <v>346.03</v>
      </c>
      <c r="E91" s="1"/>
      <c r="F91" s="5">
        <f t="shared" ref="F91:F102" si="37">IF(D$12=0,0,D91/D$12)</f>
        <v>1.0287514062347633E-2</v>
      </c>
      <c r="G91" s="1"/>
      <c r="H91" s="1">
        <f>SUM(OSRRefH22_9x_0)</f>
        <v>176</v>
      </c>
      <c r="I91" s="1"/>
      <c r="J91" s="5">
        <f t="shared" ref="J91:J102" si="38">IF(H$12=0,0,H91/H$12)</f>
        <v>2.9433406916850625E-3</v>
      </c>
      <c r="K91" s="1"/>
      <c r="L91" s="1">
        <f t="shared" ref="L91:L102" si="39">+D91-H91</f>
        <v>170.02999999999997</v>
      </c>
      <c r="M91" s="1"/>
      <c r="N91" s="5">
        <f t="shared" ref="N91:N102" si="40">IF(H91=0,0,L91/H91)</f>
        <v>0.96607954545454533</v>
      </c>
      <c r="O91" s="13"/>
      <c r="P91" s="1">
        <f>SUM(OSRRefP22_9x_0)</f>
        <v>2119.0100000000002</v>
      </c>
      <c r="Q91" s="1"/>
      <c r="R91" s="5">
        <f t="shared" ref="R91:R102" si="41">IF(P$12=0,0,P91/P$12)</f>
        <v>6.6292620377241731E-3</v>
      </c>
      <c r="S91" s="1"/>
      <c r="T91" s="1">
        <f>SUM(OSRRefT22_9x_0)</f>
        <v>2112</v>
      </c>
      <c r="U91" s="1"/>
      <c r="V91" s="5">
        <f t="shared" ref="V91:V102" si="42">IF(T$12=0,0,T91/T$12)</f>
        <v>3.5771448896115446E-3</v>
      </c>
      <c r="W91" s="1"/>
      <c r="X91" s="1">
        <f t="shared" ref="X91:X102" si="43">+P91-T91</f>
        <v>7.0100000000002183</v>
      </c>
      <c r="Y91" s="1"/>
      <c r="Z91" s="5">
        <f t="shared" ref="Z91:Z102" si="44">IF(T91=0,0,X91/T91)</f>
        <v>3.3191287878788912E-3</v>
      </c>
    </row>
    <row r="92" spans="1:26" s="24" customFormat="1" hidden="1" outlineLevel="2" x14ac:dyDescent="0.25">
      <c r="A92" s="26"/>
      <c r="B92" s="11" t="str">
        <f>CONCATENATE("          ", "6314", " - ", "LIABILITY INSURANCE")</f>
        <v xml:space="preserve">          6314 - LIABILITY INSURANCE</v>
      </c>
      <c r="C92" s="11"/>
      <c r="D92" s="6">
        <v>346.03</v>
      </c>
      <c r="E92" s="2"/>
      <c r="F92" s="7">
        <f t="shared" si="37"/>
        <v>1.0287514062347633E-2</v>
      </c>
      <c r="G92" s="2"/>
      <c r="H92" s="6">
        <v>176</v>
      </c>
      <c r="I92" s="2"/>
      <c r="J92" s="7">
        <f t="shared" si="38"/>
        <v>2.9433406916850625E-3</v>
      </c>
      <c r="K92" s="2"/>
      <c r="L92" s="6">
        <f t="shared" si="39"/>
        <v>170.02999999999997</v>
      </c>
      <c r="M92" s="2"/>
      <c r="N92" s="7">
        <f t="shared" si="40"/>
        <v>0.96607954545454533</v>
      </c>
      <c r="O92" s="11"/>
      <c r="P92" s="6">
        <v>2119.0100000000002</v>
      </c>
      <c r="Q92" s="2"/>
      <c r="R92" s="7">
        <f t="shared" si="41"/>
        <v>6.6292620377241731E-3</v>
      </c>
      <c r="S92" s="2"/>
      <c r="T92" s="6">
        <v>2112</v>
      </c>
      <c r="U92" s="2"/>
      <c r="V92" s="7">
        <f t="shared" si="42"/>
        <v>3.5771448896115446E-3</v>
      </c>
      <c r="W92" s="2"/>
      <c r="X92" s="6">
        <f t="shared" si="43"/>
        <v>7.0100000000002183</v>
      </c>
      <c r="Y92" s="2"/>
      <c r="Z92" s="7">
        <f t="shared" si="44"/>
        <v>3.3191287878788912E-3</v>
      </c>
    </row>
    <row r="93" spans="1:26" s="27" customFormat="1" outlineLevel="1" collapsed="1" x14ac:dyDescent="0.25">
      <c r="A93" s="25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SUM(OSRRefD22_10x_0)</f>
        <v>-1100</v>
      </c>
      <c r="E93" s="1"/>
      <c r="F93" s="5">
        <f t="shared" si="37"/>
        <v>-3.2703134030524515E-2</v>
      </c>
      <c r="G93" s="1"/>
      <c r="H93" s="1">
        <f>SUM(OSRRefH22_10x_0)</f>
        <v>100</v>
      </c>
      <c r="I93" s="1"/>
      <c r="J93" s="5">
        <f t="shared" si="38"/>
        <v>1.6723526657301492E-3</v>
      </c>
      <c r="K93" s="1"/>
      <c r="L93" s="1">
        <f t="shared" si="39"/>
        <v>-1200</v>
      </c>
      <c r="M93" s="1"/>
      <c r="N93" s="5">
        <f t="shared" si="40"/>
        <v>-12</v>
      </c>
      <c r="O93" s="13"/>
      <c r="P93" s="1">
        <f>SUM(OSRRefP22_10x_0)</f>
        <v>0</v>
      </c>
      <c r="Q93" s="1"/>
      <c r="R93" s="5">
        <f t="shared" si="41"/>
        <v>0</v>
      </c>
      <c r="S93" s="1"/>
      <c r="T93" s="1">
        <f>SUM(OSRRefT22_10x_0)</f>
        <v>1200</v>
      </c>
      <c r="U93" s="1"/>
      <c r="V93" s="5">
        <f t="shared" si="42"/>
        <v>2.0324686872792868E-3</v>
      </c>
      <c r="W93" s="1"/>
      <c r="X93" s="1">
        <f t="shared" si="43"/>
        <v>-1200</v>
      </c>
      <c r="Y93" s="1"/>
      <c r="Z93" s="5">
        <f t="shared" si="44"/>
        <v>-1</v>
      </c>
    </row>
    <row r="94" spans="1:26" s="24" customFormat="1" hidden="1" outlineLevel="2" x14ac:dyDescent="0.25">
      <c r="A94" s="26"/>
      <c r="B94" s="11" t="str">
        <f>CONCATENATE("          ", "6408", " - ", "INVENTORY ADJUSTMENT")</f>
        <v xml:space="preserve">          6408 - INVENTORY ADJUSTMENT</v>
      </c>
      <c r="C94" s="11"/>
      <c r="D94" s="6">
        <v>-1100</v>
      </c>
      <c r="E94" s="2"/>
      <c r="F94" s="7">
        <f t="shared" si="37"/>
        <v>-3.2703134030524515E-2</v>
      </c>
      <c r="G94" s="2"/>
      <c r="H94" s="6">
        <v>100</v>
      </c>
      <c r="I94" s="2"/>
      <c r="J94" s="7">
        <f t="shared" si="38"/>
        <v>1.6723526657301492E-3</v>
      </c>
      <c r="K94" s="2"/>
      <c r="L94" s="6">
        <f t="shared" si="39"/>
        <v>-1200</v>
      </c>
      <c r="M94" s="2"/>
      <c r="N94" s="7">
        <f t="shared" si="40"/>
        <v>-12</v>
      </c>
      <c r="O94" s="11"/>
      <c r="P94" s="6">
        <v>0</v>
      </c>
      <c r="Q94" s="2"/>
      <c r="R94" s="7">
        <f t="shared" si="41"/>
        <v>0</v>
      </c>
      <c r="S94" s="2"/>
      <c r="T94" s="6">
        <v>1200</v>
      </c>
      <c r="U94" s="2"/>
      <c r="V94" s="7">
        <f t="shared" si="42"/>
        <v>2.0324686872792868E-3</v>
      </c>
      <c r="W94" s="2"/>
      <c r="X94" s="6">
        <f t="shared" si="43"/>
        <v>-1200</v>
      </c>
      <c r="Y94" s="2"/>
      <c r="Z94" s="7">
        <f t="shared" si="44"/>
        <v>-1</v>
      </c>
    </row>
    <row r="95" spans="1:26" s="27" customFormat="1" outlineLevel="1" collapsed="1" x14ac:dyDescent="0.25">
      <c r="A95" s="25"/>
      <c r="B95" s="13" t="str">
        <f>CONCATENATE("     ","Professional Services                             ")</f>
        <v xml:space="preserve">     Professional Services                             </v>
      </c>
      <c r="C95" s="13"/>
      <c r="D95" s="1">
        <f>SUM(OSRRefD22_11x_0)</f>
        <v>0</v>
      </c>
      <c r="E95" s="1"/>
      <c r="F95" s="5">
        <f t="shared" si="37"/>
        <v>0</v>
      </c>
      <c r="G95" s="1"/>
      <c r="H95" s="1">
        <f>SUM(OSRRefH22_11x_0)</f>
        <v>0</v>
      </c>
      <c r="I95" s="1"/>
      <c r="J95" s="5">
        <f t="shared" si="38"/>
        <v>0</v>
      </c>
      <c r="K95" s="1"/>
      <c r="L95" s="1">
        <f t="shared" si="39"/>
        <v>0</v>
      </c>
      <c r="M95" s="1"/>
      <c r="N95" s="5">
        <f t="shared" si="40"/>
        <v>0</v>
      </c>
      <c r="O95" s="13"/>
      <c r="P95" s="1">
        <f>SUM(OSRRefP22_11x_0)</f>
        <v>0</v>
      </c>
      <c r="Q95" s="1"/>
      <c r="R95" s="5">
        <f t="shared" si="41"/>
        <v>0</v>
      </c>
      <c r="S95" s="1"/>
      <c r="T95" s="1">
        <f>SUM(OSRRefT22_11x_0)</f>
        <v>750</v>
      </c>
      <c r="U95" s="1"/>
      <c r="V95" s="5">
        <f t="shared" si="42"/>
        <v>1.2702929295495542E-3</v>
      </c>
      <c r="W95" s="1"/>
      <c r="X95" s="1">
        <f t="shared" si="43"/>
        <v>-750</v>
      </c>
      <c r="Y95" s="1"/>
      <c r="Z95" s="5">
        <f t="shared" si="44"/>
        <v>-1</v>
      </c>
    </row>
    <row r="96" spans="1:26" s="24" customFormat="1" hidden="1" outlineLevel="2" x14ac:dyDescent="0.25">
      <c r="A96" s="26"/>
      <c r="B96" s="11" t="str">
        <f>CONCATENATE("          ", "6336", " - ", "PROFESSIONAL SERVICES")</f>
        <v xml:space="preserve">          6336 - PROFESSIONAL SERVICES</v>
      </c>
      <c r="C96" s="11"/>
      <c r="D96" s="6"/>
      <c r="E96" s="2"/>
      <c r="F96" s="7">
        <f t="shared" si="37"/>
        <v>0</v>
      </c>
      <c r="G96" s="2"/>
      <c r="H96" s="6">
        <v>0</v>
      </c>
      <c r="I96" s="2"/>
      <c r="J96" s="7">
        <f t="shared" si="38"/>
        <v>0</v>
      </c>
      <c r="K96" s="2"/>
      <c r="L96" s="6">
        <f t="shared" si="39"/>
        <v>0</v>
      </c>
      <c r="M96" s="2"/>
      <c r="N96" s="7">
        <f t="shared" si="40"/>
        <v>0</v>
      </c>
      <c r="O96" s="11"/>
      <c r="P96" s="6"/>
      <c r="Q96" s="2"/>
      <c r="R96" s="7">
        <f t="shared" si="41"/>
        <v>0</v>
      </c>
      <c r="S96" s="2"/>
      <c r="T96" s="6">
        <v>750</v>
      </c>
      <c r="U96" s="2"/>
      <c r="V96" s="7">
        <f t="shared" si="42"/>
        <v>1.2702929295495542E-3</v>
      </c>
      <c r="W96" s="2"/>
      <c r="X96" s="6">
        <f t="shared" si="43"/>
        <v>-750</v>
      </c>
      <c r="Y96" s="2"/>
      <c r="Z96" s="7">
        <f t="shared" si="44"/>
        <v>-1</v>
      </c>
    </row>
    <row r="97" spans="1:26" s="27" customFormat="1" outlineLevel="1" collapsed="1" x14ac:dyDescent="0.25">
      <c r="A97" s="25"/>
      <c r="B97" s="13" t="str">
        <f>CONCATENATE("     ","Rent                                              ")</f>
        <v xml:space="preserve">     Rent                                              </v>
      </c>
      <c r="C97" s="13"/>
      <c r="D97" s="1">
        <f>SUM(OSRRefD22_12x_0)</f>
        <v>6900</v>
      </c>
      <c r="E97" s="1"/>
      <c r="F97" s="5">
        <f t="shared" si="37"/>
        <v>0.20513784073692648</v>
      </c>
      <c r="G97" s="1"/>
      <c r="H97" s="1">
        <f>SUM(OSRRefH22_12x_0)</f>
        <v>6900</v>
      </c>
      <c r="I97" s="1"/>
      <c r="J97" s="5">
        <f t="shared" si="38"/>
        <v>0.11539233393538029</v>
      </c>
      <c r="K97" s="1"/>
      <c r="L97" s="1">
        <f t="shared" si="39"/>
        <v>0</v>
      </c>
      <c r="M97" s="1"/>
      <c r="N97" s="5">
        <f t="shared" si="40"/>
        <v>0</v>
      </c>
      <c r="O97" s="13"/>
      <c r="P97" s="1">
        <f>SUM(OSRRefP22_12x_0)</f>
        <v>82800</v>
      </c>
      <c r="Q97" s="1"/>
      <c r="R97" s="5">
        <f t="shared" si="41"/>
        <v>0.25903742630924886</v>
      </c>
      <c r="S97" s="1"/>
      <c r="T97" s="1">
        <f>SUM(OSRRefT22_12x_0)</f>
        <v>82801</v>
      </c>
      <c r="U97" s="1"/>
      <c r="V97" s="5">
        <f t="shared" si="42"/>
        <v>0.14024203314617684</v>
      </c>
      <c r="W97" s="1"/>
      <c r="X97" s="1">
        <f t="shared" si="43"/>
        <v>-1</v>
      </c>
      <c r="Y97" s="1"/>
      <c r="Z97" s="5">
        <f t="shared" si="44"/>
        <v>-1.2077148826704991E-5</v>
      </c>
    </row>
    <row r="98" spans="1:26" s="24" customFormat="1" hidden="1" outlineLevel="2" x14ac:dyDescent="0.25">
      <c r="A98" s="26"/>
      <c r="B98" s="11" t="str">
        <f>CONCATENATE("          ", "6273", " - ", "RENT")</f>
        <v xml:space="preserve">          6273 - RENT</v>
      </c>
      <c r="C98" s="11"/>
      <c r="D98" s="6">
        <v>6900</v>
      </c>
      <c r="E98" s="2"/>
      <c r="F98" s="7">
        <f t="shared" si="37"/>
        <v>0.20513784073692648</v>
      </c>
      <c r="G98" s="2"/>
      <c r="H98" s="6">
        <v>6900</v>
      </c>
      <c r="I98" s="2"/>
      <c r="J98" s="7">
        <f t="shared" si="38"/>
        <v>0.11539233393538029</v>
      </c>
      <c r="K98" s="2"/>
      <c r="L98" s="6">
        <f t="shared" si="39"/>
        <v>0</v>
      </c>
      <c r="M98" s="2"/>
      <c r="N98" s="7">
        <f t="shared" si="40"/>
        <v>0</v>
      </c>
      <c r="O98" s="11"/>
      <c r="P98" s="6">
        <v>82800</v>
      </c>
      <c r="Q98" s="2"/>
      <c r="R98" s="7">
        <f t="shared" si="41"/>
        <v>0.25903742630924886</v>
      </c>
      <c r="S98" s="2"/>
      <c r="T98" s="6">
        <v>82801</v>
      </c>
      <c r="U98" s="2"/>
      <c r="V98" s="7">
        <f t="shared" si="42"/>
        <v>0.14024203314617684</v>
      </c>
      <c r="W98" s="2"/>
      <c r="X98" s="6">
        <f t="shared" si="43"/>
        <v>-1</v>
      </c>
      <c r="Y98" s="2"/>
      <c r="Z98" s="7">
        <f t="shared" si="44"/>
        <v>-1.2077148826704991E-5</v>
      </c>
    </row>
    <row r="99" spans="1:26" s="27" customFormat="1" outlineLevel="1" collapsed="1" x14ac:dyDescent="0.25">
      <c r="A99" s="25"/>
      <c r="B99" s="13" t="str">
        <f>CONCATENATE("     ","Repair and Maintenance                            ")</f>
        <v xml:space="preserve">     Repair and Maintenance                            </v>
      </c>
      <c r="C99" s="13"/>
      <c r="D99" s="1">
        <f>SUM(OSRRefD22_13x_0)</f>
        <v>824.67</v>
      </c>
      <c r="E99" s="1"/>
      <c r="F99" s="5">
        <f t="shared" si="37"/>
        <v>2.4517539582684225E-2</v>
      </c>
      <c r="G99" s="1"/>
      <c r="H99" s="1">
        <f>SUM(OSRRefH22_13x_0)</f>
        <v>100</v>
      </c>
      <c r="I99" s="1"/>
      <c r="J99" s="5">
        <f t="shared" si="38"/>
        <v>1.6723526657301492E-3</v>
      </c>
      <c r="K99" s="1"/>
      <c r="L99" s="1">
        <f t="shared" si="39"/>
        <v>724.67</v>
      </c>
      <c r="M99" s="1"/>
      <c r="N99" s="5">
        <f t="shared" si="40"/>
        <v>7.2466999999999997</v>
      </c>
      <c r="O99" s="13"/>
      <c r="P99" s="1">
        <f>SUM(OSRRefP22_13x_0)</f>
        <v>1134.3800000000001</v>
      </c>
      <c r="Q99" s="1"/>
      <c r="R99" s="5">
        <f t="shared" si="41"/>
        <v>3.5488753098633545E-3</v>
      </c>
      <c r="S99" s="1"/>
      <c r="T99" s="1">
        <f>SUM(OSRRefT22_13x_0)</f>
        <v>1200</v>
      </c>
      <c r="U99" s="1"/>
      <c r="V99" s="5">
        <f t="shared" si="42"/>
        <v>2.0324686872792868E-3</v>
      </c>
      <c r="W99" s="1"/>
      <c r="X99" s="1">
        <f t="shared" si="43"/>
        <v>-65.619999999999891</v>
      </c>
      <c r="Y99" s="1"/>
      <c r="Z99" s="5">
        <f t="shared" si="44"/>
        <v>-5.4683333333333244E-2</v>
      </c>
    </row>
    <row r="100" spans="1:26" s="24" customFormat="1" hidden="1" outlineLevel="2" x14ac:dyDescent="0.25">
      <c r="A100" s="26"/>
      <c r="B100" s="11" t="str">
        <f>CONCATENATE("          ", "6372", " - ", "COMPUTER HARDWARE MAINTENANCE")</f>
        <v xml:space="preserve">          6372 - COMPUTER HARDWARE MAINTENANCE</v>
      </c>
      <c r="C100" s="11"/>
      <c r="D100" s="6"/>
      <c r="E100" s="2"/>
      <c r="F100" s="7">
        <f t="shared" si="37"/>
        <v>0</v>
      </c>
      <c r="G100" s="2"/>
      <c r="H100" s="6"/>
      <c r="I100" s="2"/>
      <c r="J100" s="7">
        <f t="shared" si="38"/>
        <v>0</v>
      </c>
      <c r="K100" s="2"/>
      <c r="L100" s="6">
        <f t="shared" si="39"/>
        <v>0</v>
      </c>
      <c r="M100" s="2"/>
      <c r="N100" s="7">
        <f t="shared" si="40"/>
        <v>0</v>
      </c>
      <c r="O100" s="11"/>
      <c r="P100" s="6">
        <v>-0.52</v>
      </c>
      <c r="Q100" s="2"/>
      <c r="R100" s="7">
        <f t="shared" si="41"/>
        <v>-1.6268050927633989E-6</v>
      </c>
      <c r="S100" s="2"/>
      <c r="T100" s="6"/>
      <c r="U100" s="2"/>
      <c r="V100" s="7">
        <f t="shared" si="42"/>
        <v>0</v>
      </c>
      <c r="W100" s="2"/>
      <c r="X100" s="6">
        <f t="shared" si="43"/>
        <v>-0.52</v>
      </c>
      <c r="Y100" s="2"/>
      <c r="Z100" s="7">
        <f t="shared" si="44"/>
        <v>0</v>
      </c>
    </row>
    <row r="101" spans="1:26" s="24" customFormat="1" hidden="1" outlineLevel="2" x14ac:dyDescent="0.25">
      <c r="A101" s="26"/>
      <c r="B101" s="11" t="str">
        <f>CONCATENATE("          ", "6373", " - ", "MAINTENANCE CONTRACTS")</f>
        <v xml:space="preserve">          6373 - MAINTENANCE CONTRACTS</v>
      </c>
      <c r="C101" s="11"/>
      <c r="D101" s="6">
        <v>230.9</v>
      </c>
      <c r="E101" s="2"/>
      <c r="F101" s="7">
        <f t="shared" si="37"/>
        <v>6.8646851342255549E-3</v>
      </c>
      <c r="G101" s="2"/>
      <c r="H101" s="6"/>
      <c r="I101" s="2"/>
      <c r="J101" s="7">
        <f t="shared" si="38"/>
        <v>0</v>
      </c>
      <c r="K101" s="2"/>
      <c r="L101" s="6">
        <f t="shared" si="39"/>
        <v>230.9</v>
      </c>
      <c r="M101" s="2"/>
      <c r="N101" s="7">
        <f t="shared" si="40"/>
        <v>0</v>
      </c>
      <c r="O101" s="11"/>
      <c r="P101" s="6">
        <v>375.57</v>
      </c>
      <c r="Q101" s="2"/>
      <c r="R101" s="7">
        <f t="shared" si="41"/>
        <v>1.1749599782483646E-3</v>
      </c>
      <c r="S101" s="2"/>
      <c r="T101" s="6"/>
      <c r="U101" s="2"/>
      <c r="V101" s="7">
        <f t="shared" si="42"/>
        <v>0</v>
      </c>
      <c r="W101" s="2"/>
      <c r="X101" s="6">
        <f t="shared" si="43"/>
        <v>375.57</v>
      </c>
      <c r="Y101" s="2"/>
      <c r="Z101" s="7">
        <f t="shared" si="44"/>
        <v>0</v>
      </c>
    </row>
    <row r="102" spans="1:26" s="24" customFormat="1" hidden="1" outlineLevel="2" x14ac:dyDescent="0.25">
      <c r="A102" s="26"/>
      <c r="B102" s="11" t="str">
        <f>CONCATENATE("          ", "6375", " - ", "OUTSIDE REPAIRS &amp; MAINTENANCE")</f>
        <v xml:space="preserve">          6375 - OUTSIDE REPAIRS &amp; MAINTENANCE</v>
      </c>
      <c r="C102" s="11"/>
      <c r="D102" s="6">
        <v>593.77</v>
      </c>
      <c r="E102" s="2"/>
      <c r="F102" s="7">
        <f t="shared" si="37"/>
        <v>1.7652854448458672E-2</v>
      </c>
      <c r="G102" s="2"/>
      <c r="H102" s="6">
        <v>100</v>
      </c>
      <c r="I102" s="2"/>
      <c r="J102" s="7">
        <f t="shared" si="38"/>
        <v>1.6723526657301492E-3</v>
      </c>
      <c r="K102" s="2"/>
      <c r="L102" s="6">
        <f t="shared" si="39"/>
        <v>493.77</v>
      </c>
      <c r="M102" s="2"/>
      <c r="N102" s="7">
        <f t="shared" si="40"/>
        <v>4.9376999999999995</v>
      </c>
      <c r="O102" s="11"/>
      <c r="P102" s="6">
        <v>759.33</v>
      </c>
      <c r="Q102" s="2"/>
      <c r="R102" s="7">
        <f t="shared" si="41"/>
        <v>2.3755421367077532E-3</v>
      </c>
      <c r="S102" s="2"/>
      <c r="T102" s="6">
        <v>1200</v>
      </c>
      <c r="U102" s="2"/>
      <c r="V102" s="7">
        <f t="shared" si="42"/>
        <v>2.0324686872792868E-3</v>
      </c>
      <c r="W102" s="2"/>
      <c r="X102" s="6">
        <f t="shared" si="43"/>
        <v>-440.66999999999996</v>
      </c>
      <c r="Y102" s="2"/>
      <c r="Z102" s="7">
        <f t="shared" si="44"/>
        <v>-0.36722499999999997</v>
      </c>
    </row>
    <row r="103" spans="1:26" s="27" customFormat="1" outlineLevel="1" collapsed="1" x14ac:dyDescent="0.25">
      <c r="A103" s="25"/>
      <c r="B103" s="13" t="str">
        <f>CONCATENATE("     ","Services                                          ")</f>
        <v xml:space="preserve">     Services                                          </v>
      </c>
      <c r="C103" s="13"/>
      <c r="D103" s="1">
        <f>SUM(OSRRefD22_14x_0)</f>
        <v>155.59</v>
      </c>
      <c r="E103" s="1"/>
      <c r="F103" s="5">
        <f t="shared" ref="F103:F106" si="45">IF(D$12=0,0,D103/D$12)</f>
        <v>4.6257096580084624E-3</v>
      </c>
      <c r="G103" s="1"/>
      <c r="H103" s="1">
        <f>SUM(OSRRefH22_14x_0)</f>
        <v>210</v>
      </c>
      <c r="I103" s="1"/>
      <c r="J103" s="5">
        <f t="shared" ref="J103:J106" si="46">IF(H$12=0,0,H103/H$12)</f>
        <v>3.5119405980333133E-3</v>
      </c>
      <c r="K103" s="1"/>
      <c r="L103" s="1">
        <f t="shared" ref="L103:L106" si="47">+D103-H103</f>
        <v>-54.41</v>
      </c>
      <c r="M103" s="1"/>
      <c r="N103" s="5">
        <f t="shared" ref="N103:N106" si="48">IF(H103=0,0,L103/H103)</f>
        <v>-0.2590952380952381</v>
      </c>
      <c r="O103" s="13"/>
      <c r="P103" s="1">
        <f>SUM(OSRRefP22_14x_0)</f>
        <v>1074.1099999999999</v>
      </c>
      <c r="Q103" s="1"/>
      <c r="R103" s="5">
        <f t="shared" ref="R103:R106" si="49">IF(P$12=0,0,P103/P$12)</f>
        <v>3.3603223426694117E-3</v>
      </c>
      <c r="S103" s="1"/>
      <c r="T103" s="1">
        <f>SUM(OSRRefT22_14x_0)</f>
        <v>2505</v>
      </c>
      <c r="U103" s="1"/>
      <c r="V103" s="5">
        <f t="shared" ref="V103:V106" si="50">IF(T$12=0,0,T103/T$12)</f>
        <v>4.2427783846955107E-3</v>
      </c>
      <c r="W103" s="1"/>
      <c r="X103" s="1">
        <f t="shared" ref="X103:X106" si="51">+P103-T103</f>
        <v>-1430.89</v>
      </c>
      <c r="Y103" s="1"/>
      <c r="Z103" s="5">
        <f t="shared" ref="Z103:Z106" si="52">IF(T103=0,0,X103/T103)</f>
        <v>-0.57121357285429142</v>
      </c>
    </row>
    <row r="104" spans="1:26" s="24" customFormat="1" hidden="1" outlineLevel="2" x14ac:dyDescent="0.25">
      <c r="A104" s="26"/>
      <c r="B104" s="11" t="str">
        <f>CONCATENATE("          ", "6283", " - ", "PLANT SERVICE")</f>
        <v xml:space="preserve">          6283 - PLANT SERVICE</v>
      </c>
      <c r="C104" s="11"/>
      <c r="D104" s="6"/>
      <c r="E104" s="2"/>
      <c r="F104" s="7">
        <f t="shared" si="45"/>
        <v>0</v>
      </c>
      <c r="G104" s="2"/>
      <c r="H104" s="6">
        <v>0</v>
      </c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1"/>
      <c r="P104" s="6">
        <v>41.31</v>
      </c>
      <c r="Q104" s="2"/>
      <c r="R104" s="7">
        <f t="shared" si="49"/>
        <v>1.2923715073472308E-4</v>
      </c>
      <c r="S104" s="2"/>
      <c r="T104" s="6">
        <v>0</v>
      </c>
      <c r="U104" s="2"/>
      <c r="V104" s="7">
        <f t="shared" si="50"/>
        <v>0</v>
      </c>
      <c r="W104" s="2"/>
      <c r="X104" s="6">
        <f t="shared" si="51"/>
        <v>41.31</v>
      </c>
      <c r="Y104" s="2"/>
      <c r="Z104" s="7">
        <f t="shared" si="52"/>
        <v>0</v>
      </c>
    </row>
    <row r="105" spans="1:26" s="24" customFormat="1" hidden="1" outlineLevel="2" x14ac:dyDescent="0.25">
      <c r="A105" s="26"/>
      <c r="B105" s="11" t="str">
        <f>CONCATENATE("          ", "6284", " - ", "TRASH REMOVAL EXPENSE")</f>
        <v xml:space="preserve">          6284 - TRASH REMOVAL EXPENSE</v>
      </c>
      <c r="C105" s="11"/>
      <c r="D105" s="6">
        <v>142.57</v>
      </c>
      <c r="E105" s="2"/>
      <c r="F105" s="7">
        <f t="shared" si="45"/>
        <v>4.2386234715744361E-3</v>
      </c>
      <c r="G105" s="2"/>
      <c r="H105" s="6">
        <v>110</v>
      </c>
      <c r="I105" s="2"/>
      <c r="J105" s="7">
        <f t="shared" si="46"/>
        <v>1.8395879323031641E-3</v>
      </c>
      <c r="K105" s="2"/>
      <c r="L105" s="6">
        <f t="shared" si="47"/>
        <v>32.569999999999993</v>
      </c>
      <c r="M105" s="2"/>
      <c r="N105" s="7">
        <f t="shared" si="48"/>
        <v>0.29609090909090902</v>
      </c>
      <c r="O105" s="11"/>
      <c r="P105" s="6">
        <v>1725.86</v>
      </c>
      <c r="Q105" s="2"/>
      <c r="R105" s="7">
        <f t="shared" si="49"/>
        <v>5.3993035334550755E-3</v>
      </c>
      <c r="S105" s="2"/>
      <c r="T105" s="6">
        <v>880</v>
      </c>
      <c r="U105" s="2"/>
      <c r="V105" s="7">
        <f t="shared" si="50"/>
        <v>1.4904770373381435E-3</v>
      </c>
      <c r="W105" s="2"/>
      <c r="X105" s="6">
        <f t="shared" si="51"/>
        <v>845.8599999999999</v>
      </c>
      <c r="Y105" s="2"/>
      <c r="Z105" s="7">
        <f t="shared" si="52"/>
        <v>0.96120454545454537</v>
      </c>
    </row>
    <row r="106" spans="1:26" s="24" customFormat="1" hidden="1" outlineLevel="2" x14ac:dyDescent="0.25">
      <c r="A106" s="26"/>
      <c r="B106" s="11" t="str">
        <f>CONCATENATE("          ", "6285", " - ", "JANITORIAL SERVICES")</f>
        <v xml:space="preserve">          6285 - JANITORIAL SERVICES</v>
      </c>
      <c r="C106" s="11"/>
      <c r="D106" s="6">
        <v>13.02</v>
      </c>
      <c r="E106" s="2"/>
      <c r="F106" s="7">
        <f t="shared" si="45"/>
        <v>3.870861864340265E-4</v>
      </c>
      <c r="G106" s="2"/>
      <c r="H106" s="6">
        <v>100</v>
      </c>
      <c r="I106" s="2"/>
      <c r="J106" s="7">
        <f t="shared" si="46"/>
        <v>1.6723526657301492E-3</v>
      </c>
      <c r="K106" s="2"/>
      <c r="L106" s="6">
        <f t="shared" si="47"/>
        <v>-86.98</v>
      </c>
      <c r="M106" s="2"/>
      <c r="N106" s="7">
        <f t="shared" si="48"/>
        <v>-0.86980000000000002</v>
      </c>
      <c r="O106" s="11"/>
      <c r="P106" s="6">
        <v>-693.06</v>
      </c>
      <c r="Q106" s="2"/>
      <c r="R106" s="7">
        <f t="shared" si="49"/>
        <v>-2.1682183415203866E-3</v>
      </c>
      <c r="S106" s="2"/>
      <c r="T106" s="6">
        <v>1625</v>
      </c>
      <c r="U106" s="2"/>
      <c r="V106" s="7">
        <f t="shared" si="50"/>
        <v>2.7523013473573672E-3</v>
      </c>
      <c r="W106" s="2"/>
      <c r="X106" s="6">
        <f t="shared" si="51"/>
        <v>-2318.06</v>
      </c>
      <c r="Y106" s="2"/>
      <c r="Z106" s="7">
        <f t="shared" si="52"/>
        <v>-1.4264984615384615</v>
      </c>
    </row>
    <row r="107" spans="1:26" s="27" customFormat="1" outlineLevel="1" collapsed="1" x14ac:dyDescent="0.25">
      <c r="A107" s="25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SUM(OSRRefD22_15x_0)</f>
        <v>0</v>
      </c>
      <c r="E107" s="1"/>
      <c r="F107" s="5">
        <f t="shared" ref="F107:F109" si="53">IF(D$12=0,0,D107/D$12)</f>
        <v>0</v>
      </c>
      <c r="G107" s="1"/>
      <c r="H107" s="1">
        <f>SUM(OSRRefH22_15x_0)</f>
        <v>200</v>
      </c>
      <c r="I107" s="1"/>
      <c r="J107" s="5">
        <f t="shared" ref="J107:J109" si="54">IF(H$12=0,0,H107/H$12)</f>
        <v>3.3447053314602983E-3</v>
      </c>
      <c r="K107" s="1"/>
      <c r="L107" s="1">
        <f t="shared" ref="L107:L109" si="55">+D107-H107</f>
        <v>-200</v>
      </c>
      <c r="M107" s="1"/>
      <c r="N107" s="5">
        <f t="shared" ref="N107:N109" si="56">IF(H107=0,0,L107/H107)</f>
        <v>-1</v>
      </c>
      <c r="O107" s="13"/>
      <c r="P107" s="1">
        <f>SUM(OSRRefP22_15x_0)</f>
        <v>2254.14</v>
      </c>
      <c r="Q107" s="1"/>
      <c r="R107" s="5">
        <f t="shared" ref="R107:R109" si="57">IF(P$12=0,0,P107/P$12)</f>
        <v>7.0520123688493988E-3</v>
      </c>
      <c r="S107" s="1"/>
      <c r="T107" s="1">
        <f>SUM(OSRRefT22_15x_0)</f>
        <v>595</v>
      </c>
      <c r="U107" s="1"/>
      <c r="V107" s="5">
        <f t="shared" ref="V107:V109" si="58">IF(T$12=0,0,T107/T$12)</f>
        <v>1.007765724109313E-3</v>
      </c>
      <c r="W107" s="1"/>
      <c r="X107" s="1">
        <f t="shared" ref="X107:X109" si="59">+P107-T107</f>
        <v>1659.1399999999999</v>
      </c>
      <c r="Y107" s="1"/>
      <c r="Z107" s="5">
        <f t="shared" ref="Z107:Z109" si="60">IF(T107=0,0,X107/T107)</f>
        <v>2.788470588235294</v>
      </c>
    </row>
    <row r="108" spans="1:26" s="24" customFormat="1" hidden="1" outlineLevel="2" x14ac:dyDescent="0.25">
      <c r="A108" s="26"/>
      <c r="B108" s="11" t="str">
        <f>CONCATENATE("          ", "6258", " - ", "MEMBERSHIP DUES")</f>
        <v xml:space="preserve">          6258 - MEMBERSHIP DUES</v>
      </c>
      <c r="C108" s="11"/>
      <c r="D108" s="6"/>
      <c r="E108" s="2"/>
      <c r="F108" s="7">
        <f t="shared" si="53"/>
        <v>0</v>
      </c>
      <c r="G108" s="2"/>
      <c r="H108" s="6">
        <v>200</v>
      </c>
      <c r="I108" s="2"/>
      <c r="J108" s="7">
        <f t="shared" si="54"/>
        <v>3.3447053314602983E-3</v>
      </c>
      <c r="K108" s="2"/>
      <c r="L108" s="6">
        <f t="shared" si="55"/>
        <v>-200</v>
      </c>
      <c r="M108" s="2"/>
      <c r="N108" s="7">
        <f t="shared" si="56"/>
        <v>-1</v>
      </c>
      <c r="O108" s="11"/>
      <c r="P108" s="6">
        <v>-60.73</v>
      </c>
      <c r="Q108" s="2"/>
      <c r="R108" s="7">
        <f t="shared" si="57"/>
        <v>-1.8999206400677156E-4</v>
      </c>
      <c r="S108" s="2"/>
      <c r="T108" s="6">
        <v>595</v>
      </c>
      <c r="U108" s="2"/>
      <c r="V108" s="7">
        <f t="shared" si="58"/>
        <v>1.007765724109313E-3</v>
      </c>
      <c r="W108" s="2"/>
      <c r="X108" s="6">
        <f t="shared" si="59"/>
        <v>-655.73</v>
      </c>
      <c r="Y108" s="2"/>
      <c r="Z108" s="7">
        <f t="shared" si="60"/>
        <v>-1.1020672268907563</v>
      </c>
    </row>
    <row r="109" spans="1:26" s="24" customFormat="1" hidden="1" outlineLevel="2" x14ac:dyDescent="0.25">
      <c r="A109" s="26"/>
      <c r="B109" s="11" t="str">
        <f>CONCATENATE("          ", "6275", " - ", "SUBSCRIPTIONS")</f>
        <v xml:space="preserve">          6275 - SUBSCRIPTIONS</v>
      </c>
      <c r="C109" s="11"/>
      <c r="D109" s="6"/>
      <c r="E109" s="2"/>
      <c r="F109" s="7">
        <f t="shared" si="53"/>
        <v>0</v>
      </c>
      <c r="G109" s="2"/>
      <c r="H109" s="6">
        <v>0</v>
      </c>
      <c r="I109" s="2"/>
      <c r="J109" s="7">
        <f t="shared" si="54"/>
        <v>0</v>
      </c>
      <c r="K109" s="2"/>
      <c r="L109" s="6">
        <f t="shared" si="55"/>
        <v>0</v>
      </c>
      <c r="M109" s="2"/>
      <c r="N109" s="7">
        <f t="shared" si="56"/>
        <v>0</v>
      </c>
      <c r="O109" s="11"/>
      <c r="P109" s="6">
        <v>2314.87</v>
      </c>
      <c r="Q109" s="2"/>
      <c r="R109" s="7">
        <f t="shared" si="57"/>
        <v>7.2420044328561708E-3</v>
      </c>
      <c r="S109" s="2"/>
      <c r="T109" s="6">
        <v>0</v>
      </c>
      <c r="U109" s="2"/>
      <c r="V109" s="7">
        <f t="shared" si="58"/>
        <v>0</v>
      </c>
      <c r="W109" s="2"/>
      <c r="X109" s="6">
        <f t="shared" si="59"/>
        <v>2314.87</v>
      </c>
      <c r="Y109" s="2"/>
      <c r="Z109" s="7">
        <f t="shared" si="60"/>
        <v>0</v>
      </c>
    </row>
    <row r="110" spans="1:26" s="27" customFormat="1" outlineLevel="1" collapsed="1" x14ac:dyDescent="0.25">
      <c r="A110" s="25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SUM(OSRRefD22_16x_0)</f>
        <v>90.59</v>
      </c>
      <c r="E110" s="1"/>
      <c r="F110" s="5">
        <f t="shared" ref="F110:F116" si="61">IF(D$12=0,0,D110/D$12)</f>
        <v>2.6932517380229234E-3</v>
      </c>
      <c r="G110" s="1"/>
      <c r="H110" s="1">
        <f>SUM(OSRRefH22_16x_0)</f>
        <v>170</v>
      </c>
      <c r="I110" s="1"/>
      <c r="J110" s="5">
        <f t="shared" ref="J110:J116" si="62">IF(H$12=0,0,H110/H$12)</f>
        <v>2.8429995317412536E-3</v>
      </c>
      <c r="K110" s="1"/>
      <c r="L110" s="1">
        <f t="shared" ref="L110:L116" si="63">+D110-H110</f>
        <v>-79.41</v>
      </c>
      <c r="M110" s="1"/>
      <c r="N110" s="5">
        <f t="shared" ref="N110:N116" si="64">IF(H110=0,0,L110/H110)</f>
        <v>-0.46711764705882353</v>
      </c>
      <c r="O110" s="13"/>
      <c r="P110" s="1">
        <f>SUM(OSRRefP22_16x_0)</f>
        <v>919.82999999999993</v>
      </c>
      <c r="Q110" s="1"/>
      <c r="R110" s="5">
        <f t="shared" ref="R110:R116" si="65">IF(P$12=0,0,P110/P$12)</f>
        <v>2.8776617855318402E-3</v>
      </c>
      <c r="S110" s="1"/>
      <c r="T110" s="1">
        <f>SUM(OSRRefT22_16x_0)</f>
        <v>2120</v>
      </c>
      <c r="U110" s="1"/>
      <c r="V110" s="5">
        <f t="shared" ref="V110:V116" si="66">IF(T$12=0,0,T110/T$12)</f>
        <v>3.5906946808600729E-3</v>
      </c>
      <c r="W110" s="1"/>
      <c r="X110" s="1">
        <f t="shared" ref="X110:X116" si="67">+P110-T110</f>
        <v>-1200.17</v>
      </c>
      <c r="Y110" s="1"/>
      <c r="Z110" s="5">
        <f t="shared" ref="Z110:Z116" si="68">IF(T110=0,0,X110/T110)</f>
        <v>-0.5661179245283019</v>
      </c>
    </row>
    <row r="111" spans="1:26" s="24" customFormat="1" hidden="1" outlineLevel="2" x14ac:dyDescent="0.25">
      <c r="A111" s="26"/>
      <c r="B111" s="11" t="str">
        <f>CONCATENATE("          ", "6234", " - ", "EXPENDABLE SUPPLIES &amp; EQUIPMEN")</f>
        <v xml:space="preserve">          6234 - EXPENDABLE SUPPLIES &amp; EQUIPMEN</v>
      </c>
      <c r="C111" s="11"/>
      <c r="D111" s="6"/>
      <c r="E111" s="2"/>
      <c r="F111" s="7">
        <f t="shared" si="61"/>
        <v>0</v>
      </c>
      <c r="G111" s="2"/>
      <c r="H111" s="6">
        <v>0</v>
      </c>
      <c r="I111" s="2"/>
      <c r="J111" s="7">
        <f t="shared" si="62"/>
        <v>0</v>
      </c>
      <c r="K111" s="2"/>
      <c r="L111" s="6">
        <f t="shared" si="63"/>
        <v>0</v>
      </c>
      <c r="M111" s="2"/>
      <c r="N111" s="7">
        <f t="shared" si="64"/>
        <v>0</v>
      </c>
      <c r="O111" s="11"/>
      <c r="P111" s="6"/>
      <c r="Q111" s="2"/>
      <c r="R111" s="7">
        <f t="shared" si="65"/>
        <v>0</v>
      </c>
      <c r="S111" s="2"/>
      <c r="T111" s="6">
        <v>0</v>
      </c>
      <c r="U111" s="2"/>
      <c r="V111" s="7">
        <f t="shared" si="66"/>
        <v>0</v>
      </c>
      <c r="W111" s="2"/>
      <c r="X111" s="6">
        <f t="shared" si="67"/>
        <v>0</v>
      </c>
      <c r="Y111" s="2"/>
      <c r="Z111" s="7">
        <f t="shared" si="68"/>
        <v>0</v>
      </c>
    </row>
    <row r="112" spans="1:26" s="24" customFormat="1" hidden="1" outlineLevel="2" x14ac:dyDescent="0.25">
      <c r="A112" s="26"/>
      <c r="B112" s="11" t="str">
        <f>CONCATENATE("          ", "6235", " - ", "COVID-19 EXPENSES")</f>
        <v xml:space="preserve">          6235 - COVID-19 EXPENSES</v>
      </c>
      <c r="C112" s="11"/>
      <c r="D112" s="6"/>
      <c r="E112" s="2"/>
      <c r="F112" s="7">
        <f t="shared" si="61"/>
        <v>0</v>
      </c>
      <c r="G112" s="2"/>
      <c r="H112" s="6">
        <v>100</v>
      </c>
      <c r="I112" s="2"/>
      <c r="J112" s="7">
        <f t="shared" si="62"/>
        <v>1.6723526657301492E-3</v>
      </c>
      <c r="K112" s="2"/>
      <c r="L112" s="6">
        <f t="shared" si="63"/>
        <v>-100</v>
      </c>
      <c r="M112" s="2"/>
      <c r="N112" s="7">
        <f t="shared" si="64"/>
        <v>-1</v>
      </c>
      <c r="O112" s="11"/>
      <c r="P112" s="6">
        <v>265.7</v>
      </c>
      <c r="Q112" s="2"/>
      <c r="R112" s="7">
        <f t="shared" si="65"/>
        <v>8.3123483297545199E-4</v>
      </c>
      <c r="S112" s="2"/>
      <c r="T112" s="6">
        <v>1200</v>
      </c>
      <c r="U112" s="2"/>
      <c r="V112" s="7">
        <f t="shared" si="66"/>
        <v>2.0324686872792868E-3</v>
      </c>
      <c r="W112" s="2"/>
      <c r="X112" s="6">
        <f t="shared" si="67"/>
        <v>-934.3</v>
      </c>
      <c r="Y112" s="2"/>
      <c r="Z112" s="7">
        <f t="shared" si="68"/>
        <v>-0.77858333333333329</v>
      </c>
    </row>
    <row r="113" spans="1:26" s="24" customFormat="1" hidden="1" outlineLevel="2" x14ac:dyDescent="0.25">
      <c r="A113" s="26"/>
      <c r="B113" s="11" t="str">
        <f>CONCATENATE("          ", "6237", " - ", "JANITORIAL SUPPLIES")</f>
        <v xml:space="preserve">          6237 - JANITORIAL SUPPLIES</v>
      </c>
      <c r="C113" s="11"/>
      <c r="D113" s="6"/>
      <c r="E113" s="2"/>
      <c r="F113" s="7">
        <f t="shared" si="61"/>
        <v>0</v>
      </c>
      <c r="G113" s="2"/>
      <c r="H113" s="6">
        <v>20</v>
      </c>
      <c r="I113" s="2"/>
      <c r="J113" s="7">
        <f t="shared" si="62"/>
        <v>3.3447053314602983E-4</v>
      </c>
      <c r="K113" s="2"/>
      <c r="L113" s="6">
        <f t="shared" si="63"/>
        <v>-20</v>
      </c>
      <c r="M113" s="2"/>
      <c r="N113" s="7">
        <f t="shared" si="64"/>
        <v>-1</v>
      </c>
      <c r="O113" s="11"/>
      <c r="P113" s="6">
        <v>191.74</v>
      </c>
      <c r="Q113" s="2"/>
      <c r="R113" s="7">
        <f t="shared" si="65"/>
        <v>5.9985309324318099E-4</v>
      </c>
      <c r="S113" s="2"/>
      <c r="T113" s="6">
        <v>220</v>
      </c>
      <c r="U113" s="2"/>
      <c r="V113" s="7">
        <f t="shared" si="66"/>
        <v>3.7261925933453587E-4</v>
      </c>
      <c r="W113" s="2"/>
      <c r="X113" s="6">
        <f t="shared" si="67"/>
        <v>-28.259999999999991</v>
      </c>
      <c r="Y113" s="2"/>
      <c r="Z113" s="7">
        <f t="shared" si="68"/>
        <v>-0.1284545454545454</v>
      </c>
    </row>
    <row r="114" spans="1:26" s="24" customFormat="1" hidden="1" outlineLevel="2" x14ac:dyDescent="0.25">
      <c r="A114" s="26"/>
      <c r="B114" s="11" t="str">
        <f>CONCATENATE("          ", "6241", " - ", "OFFICE EXPENSE")</f>
        <v xml:space="preserve">          6241 - OFFICE EXPENSE</v>
      </c>
      <c r="C114" s="11"/>
      <c r="D114" s="6">
        <v>90.59</v>
      </c>
      <c r="E114" s="2"/>
      <c r="F114" s="7">
        <f t="shared" si="61"/>
        <v>2.6932517380229234E-3</v>
      </c>
      <c r="G114" s="2"/>
      <c r="H114" s="6">
        <v>25</v>
      </c>
      <c r="I114" s="2"/>
      <c r="J114" s="7">
        <f t="shared" si="62"/>
        <v>4.1808816643253729E-4</v>
      </c>
      <c r="K114" s="2"/>
      <c r="L114" s="6">
        <f t="shared" si="63"/>
        <v>65.59</v>
      </c>
      <c r="M114" s="2"/>
      <c r="N114" s="7">
        <f t="shared" si="64"/>
        <v>2.6236000000000002</v>
      </c>
      <c r="O114" s="11"/>
      <c r="P114" s="6">
        <v>462.39</v>
      </c>
      <c r="Q114" s="2"/>
      <c r="R114" s="7">
        <f t="shared" si="65"/>
        <v>1.4465738593132077E-3</v>
      </c>
      <c r="S114" s="2"/>
      <c r="T114" s="6">
        <v>300</v>
      </c>
      <c r="U114" s="2"/>
      <c r="V114" s="7">
        <f t="shared" si="66"/>
        <v>5.081171718198217E-4</v>
      </c>
      <c r="W114" s="2"/>
      <c r="X114" s="6">
        <f t="shared" si="67"/>
        <v>162.38999999999999</v>
      </c>
      <c r="Y114" s="2"/>
      <c r="Z114" s="7">
        <f t="shared" si="68"/>
        <v>0.5413</v>
      </c>
    </row>
    <row r="115" spans="1:26" s="24" customFormat="1" hidden="1" outlineLevel="2" x14ac:dyDescent="0.25">
      <c r="A115" s="26"/>
      <c r="B115" s="11" t="str">
        <f>CONCATENATE("          ", "6244", " - ", "SAFETY SUPPLY EXPENSE")</f>
        <v xml:space="preserve">          6244 - SAFETY SUPPLY EXPENSE</v>
      </c>
      <c r="C115" s="11"/>
      <c r="D115" s="6"/>
      <c r="E115" s="2"/>
      <c r="F115" s="7">
        <f t="shared" si="61"/>
        <v>0</v>
      </c>
      <c r="G115" s="2"/>
      <c r="H115" s="6">
        <v>0</v>
      </c>
      <c r="I115" s="2"/>
      <c r="J115" s="7">
        <f t="shared" si="62"/>
        <v>0</v>
      </c>
      <c r="K115" s="2"/>
      <c r="L115" s="6">
        <f t="shared" si="63"/>
        <v>0</v>
      </c>
      <c r="M115" s="2"/>
      <c r="N115" s="7">
        <f t="shared" si="64"/>
        <v>0</v>
      </c>
      <c r="O115" s="11"/>
      <c r="P115" s="6"/>
      <c r="Q115" s="2"/>
      <c r="R115" s="7">
        <f t="shared" si="65"/>
        <v>0</v>
      </c>
      <c r="S115" s="2"/>
      <c r="T115" s="6">
        <v>100</v>
      </c>
      <c r="U115" s="2"/>
      <c r="V115" s="7">
        <f t="shared" si="66"/>
        <v>1.6937239060660722E-4</v>
      </c>
      <c r="W115" s="2"/>
      <c r="X115" s="6">
        <f t="shared" si="67"/>
        <v>-100</v>
      </c>
      <c r="Y115" s="2"/>
      <c r="Z115" s="7">
        <f t="shared" si="68"/>
        <v>-1</v>
      </c>
    </row>
    <row r="116" spans="1:26" s="24" customFormat="1" hidden="1" outlineLevel="2" x14ac:dyDescent="0.25">
      <c r="A116" s="26"/>
      <c r="B116" s="11" t="str">
        <f>CONCATENATE("          ", "6247", " - ", "STORE SUPPLIES")</f>
        <v xml:space="preserve">          6247 - STORE SUPPLIES</v>
      </c>
      <c r="C116" s="11"/>
      <c r="D116" s="6"/>
      <c r="E116" s="2"/>
      <c r="F116" s="7">
        <f t="shared" si="61"/>
        <v>0</v>
      </c>
      <c r="G116" s="2"/>
      <c r="H116" s="6">
        <v>25</v>
      </c>
      <c r="I116" s="2"/>
      <c r="J116" s="7">
        <f t="shared" si="62"/>
        <v>4.1808816643253729E-4</v>
      </c>
      <c r="K116" s="2"/>
      <c r="L116" s="6">
        <f t="shared" si="63"/>
        <v>-25</v>
      </c>
      <c r="M116" s="2"/>
      <c r="N116" s="7">
        <f t="shared" si="64"/>
        <v>-1</v>
      </c>
      <c r="O116" s="11"/>
      <c r="P116" s="6"/>
      <c r="Q116" s="2"/>
      <c r="R116" s="7">
        <f t="shared" si="65"/>
        <v>0</v>
      </c>
      <c r="S116" s="2"/>
      <c r="T116" s="6">
        <v>300</v>
      </c>
      <c r="U116" s="2"/>
      <c r="V116" s="7">
        <f t="shared" si="66"/>
        <v>5.081171718198217E-4</v>
      </c>
      <c r="W116" s="2"/>
      <c r="X116" s="6">
        <f t="shared" si="67"/>
        <v>-300</v>
      </c>
      <c r="Y116" s="2"/>
      <c r="Z116" s="7">
        <f t="shared" si="68"/>
        <v>-1</v>
      </c>
    </row>
    <row r="117" spans="1:26" s="27" customFormat="1" outlineLevel="1" collapsed="1" x14ac:dyDescent="0.25">
      <c r="A117" s="25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SUM(OSRRefD22_17x_0)</f>
        <v>437.84</v>
      </c>
      <c r="E117" s="1"/>
      <c r="F117" s="5">
        <f t="shared" ref="F117:F119" si="69">IF(D$12=0,0,D117/D$12)</f>
        <v>1.3017036549022592E-2</v>
      </c>
      <c r="G117" s="1"/>
      <c r="H117" s="1">
        <f>SUM(OSRRefH22_17x_0)</f>
        <v>230</v>
      </c>
      <c r="I117" s="1"/>
      <c r="J117" s="5">
        <f t="shared" ref="J117:J119" si="70">IF(H$12=0,0,H117/H$12)</f>
        <v>3.8464111311793431E-3</v>
      </c>
      <c r="K117" s="1"/>
      <c r="L117" s="1">
        <f t="shared" ref="L117:L119" si="71">+D117-H117</f>
        <v>207.83999999999997</v>
      </c>
      <c r="M117" s="1"/>
      <c r="N117" s="5">
        <f t="shared" ref="N117:N119" si="72">IF(H117=0,0,L117/H117)</f>
        <v>0.90365217391304342</v>
      </c>
      <c r="O117" s="13"/>
      <c r="P117" s="1">
        <f>SUM(OSRRefP22_17x_0)</f>
        <v>3535.93</v>
      </c>
      <c r="Q117" s="1"/>
      <c r="R117" s="5">
        <f t="shared" ref="R117:R119" si="73">IF(P$12=0,0,P117/P$12)</f>
        <v>1.1062055637797854E-2</v>
      </c>
      <c r="S117" s="1"/>
      <c r="T117" s="1">
        <f>SUM(OSRRefT22_17x_0)</f>
        <v>2760</v>
      </c>
      <c r="U117" s="1"/>
      <c r="V117" s="5">
        <f t="shared" ref="V117:V119" si="74">IF(T$12=0,0,T117/T$12)</f>
        <v>4.6746779807423592E-3</v>
      </c>
      <c r="W117" s="1"/>
      <c r="X117" s="1">
        <f t="shared" ref="X117:X119" si="75">+P117-T117</f>
        <v>775.92999999999984</v>
      </c>
      <c r="Y117" s="1"/>
      <c r="Z117" s="5">
        <f t="shared" ref="Z117:Z119" si="76">IF(T117=0,0,X117/T117)</f>
        <v>0.28113405797101443</v>
      </c>
    </row>
    <row r="118" spans="1:26" s="24" customFormat="1" hidden="1" outlineLevel="2" x14ac:dyDescent="0.25">
      <c r="A118" s="26"/>
      <c r="B118" s="11" t="str">
        <f>CONCATENATE("          ", "6303", " - ", "DATA PHONE LINES")</f>
        <v xml:space="preserve">          6303 - DATA PHONE LINES</v>
      </c>
      <c r="C118" s="11"/>
      <c r="D118" s="6"/>
      <c r="E118" s="2"/>
      <c r="F118" s="7">
        <f t="shared" si="69"/>
        <v>0</v>
      </c>
      <c r="G118" s="2"/>
      <c r="H118" s="6">
        <v>230</v>
      </c>
      <c r="I118" s="2"/>
      <c r="J118" s="7">
        <f t="shared" si="70"/>
        <v>3.8464111311793431E-3</v>
      </c>
      <c r="K118" s="2"/>
      <c r="L118" s="6">
        <f t="shared" si="71"/>
        <v>-230</v>
      </c>
      <c r="M118" s="2"/>
      <c r="N118" s="7">
        <f t="shared" si="72"/>
        <v>-1</v>
      </c>
      <c r="O118" s="11"/>
      <c r="P118" s="6"/>
      <c r="Q118" s="2"/>
      <c r="R118" s="7">
        <f t="shared" si="73"/>
        <v>0</v>
      </c>
      <c r="S118" s="2"/>
      <c r="T118" s="6">
        <v>2760</v>
      </c>
      <c r="U118" s="2"/>
      <c r="V118" s="7">
        <f t="shared" si="74"/>
        <v>4.6746779807423592E-3</v>
      </c>
      <c r="W118" s="2"/>
      <c r="X118" s="6">
        <f t="shared" si="75"/>
        <v>-2760</v>
      </c>
      <c r="Y118" s="2"/>
      <c r="Z118" s="7">
        <f t="shared" si="76"/>
        <v>-1</v>
      </c>
    </row>
    <row r="119" spans="1:26" s="24" customFormat="1" hidden="1" outlineLevel="2" x14ac:dyDescent="0.25">
      <c r="A119" s="26"/>
      <c r="B119" s="11" t="str">
        <f>CONCATENATE("          ", "6309", " - ", "TELEPHONE")</f>
        <v xml:space="preserve">          6309 - TELEPHONE</v>
      </c>
      <c r="C119" s="11"/>
      <c r="D119" s="6">
        <v>437.84</v>
      </c>
      <c r="E119" s="2"/>
      <c r="F119" s="7">
        <f t="shared" si="69"/>
        <v>1.3017036549022592E-2</v>
      </c>
      <c r="G119" s="2"/>
      <c r="H119" s="6"/>
      <c r="I119" s="2"/>
      <c r="J119" s="7">
        <f t="shared" si="70"/>
        <v>0</v>
      </c>
      <c r="K119" s="2"/>
      <c r="L119" s="6">
        <f t="shared" si="71"/>
        <v>437.84</v>
      </c>
      <c r="M119" s="2"/>
      <c r="N119" s="7">
        <f t="shared" si="72"/>
        <v>0</v>
      </c>
      <c r="O119" s="11"/>
      <c r="P119" s="6">
        <v>3535.93</v>
      </c>
      <c r="Q119" s="2"/>
      <c r="R119" s="7">
        <f t="shared" si="73"/>
        <v>1.1062055637797854E-2</v>
      </c>
      <c r="S119" s="2"/>
      <c r="T119" s="6"/>
      <c r="U119" s="2"/>
      <c r="V119" s="7">
        <f t="shared" si="74"/>
        <v>0</v>
      </c>
      <c r="W119" s="2"/>
      <c r="X119" s="6">
        <f t="shared" si="75"/>
        <v>3535.93</v>
      </c>
      <c r="Y119" s="2"/>
      <c r="Z119" s="7">
        <f t="shared" si="76"/>
        <v>0</v>
      </c>
    </row>
    <row r="120" spans="1:26" s="27" customFormat="1" outlineLevel="1" collapsed="1" x14ac:dyDescent="0.25">
      <c r="A120" s="25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SUM(OSRRefD22_18x_0)</f>
        <v>0</v>
      </c>
      <c r="E120" s="1"/>
      <c r="F120" s="5">
        <f t="shared" ref="F120:F124" si="77">IF(D$12=0,0,D120/D$12)</f>
        <v>0</v>
      </c>
      <c r="G120" s="1"/>
      <c r="H120" s="1">
        <f>SUM(OSRRefH22_18x_0)</f>
        <v>0</v>
      </c>
      <c r="I120" s="1"/>
      <c r="J120" s="5">
        <f t="shared" ref="J120:J124" si="78">IF(H$12=0,0,H120/H$12)</f>
        <v>0</v>
      </c>
      <c r="K120" s="1"/>
      <c r="L120" s="1">
        <f t="shared" ref="L120:L124" si="79">+D120-H120</f>
        <v>0</v>
      </c>
      <c r="M120" s="1"/>
      <c r="N120" s="5">
        <f t="shared" ref="N120:N124" si="80">IF(H120=0,0,L120/H120)</f>
        <v>0</v>
      </c>
      <c r="O120" s="13"/>
      <c r="P120" s="1">
        <f>SUM(OSRRefP22_18x_0)</f>
        <v>0</v>
      </c>
      <c r="Q120" s="1"/>
      <c r="R120" s="5">
        <f t="shared" ref="R120:R124" si="81">IF(P$12=0,0,P120/P$12)</f>
        <v>0</v>
      </c>
      <c r="S120" s="1"/>
      <c r="T120" s="1">
        <f>SUM(OSRRefT22_18x_0)</f>
        <v>0</v>
      </c>
      <c r="U120" s="1"/>
      <c r="V120" s="5">
        <f t="shared" ref="V120:V124" si="82">IF(T$12=0,0,T120/T$12)</f>
        <v>0</v>
      </c>
      <c r="W120" s="1"/>
      <c r="X120" s="1">
        <f t="shared" ref="X120:X124" si="83">+P120-T120</f>
        <v>0</v>
      </c>
      <c r="Y120" s="1"/>
      <c r="Z120" s="5">
        <f t="shared" ref="Z120:Z124" si="84">IF(T120=0,0,X120/T120)</f>
        <v>0</v>
      </c>
    </row>
    <row r="121" spans="1:26" s="24" customFormat="1" hidden="1" outlineLevel="2" x14ac:dyDescent="0.25">
      <c r="A121" s="26"/>
      <c r="B121" s="11" t="str">
        <f>CONCATENATE("          ", "6376", " - ", "TRAINING")</f>
        <v xml:space="preserve">          6376 - TRAINING</v>
      </c>
      <c r="C121" s="11"/>
      <c r="D121" s="6"/>
      <c r="E121" s="2"/>
      <c r="F121" s="7">
        <f t="shared" si="77"/>
        <v>0</v>
      </c>
      <c r="G121" s="2"/>
      <c r="H121" s="6">
        <v>0</v>
      </c>
      <c r="I121" s="2"/>
      <c r="J121" s="7">
        <f t="shared" si="78"/>
        <v>0</v>
      </c>
      <c r="K121" s="2"/>
      <c r="L121" s="6">
        <f t="shared" si="79"/>
        <v>0</v>
      </c>
      <c r="M121" s="2"/>
      <c r="N121" s="7">
        <f t="shared" si="80"/>
        <v>0</v>
      </c>
      <c r="O121" s="11"/>
      <c r="P121" s="6"/>
      <c r="Q121" s="2"/>
      <c r="R121" s="7">
        <f t="shared" si="81"/>
        <v>0</v>
      </c>
      <c r="S121" s="2"/>
      <c r="T121" s="6">
        <v>0</v>
      </c>
      <c r="U121" s="2"/>
      <c r="V121" s="7">
        <f t="shared" si="82"/>
        <v>0</v>
      </c>
      <c r="W121" s="2"/>
      <c r="X121" s="6">
        <f t="shared" si="83"/>
        <v>0</v>
      </c>
      <c r="Y121" s="2"/>
      <c r="Z121" s="7">
        <f t="shared" si="84"/>
        <v>0</v>
      </c>
    </row>
    <row r="122" spans="1:26" s="27" customFormat="1" outlineLevel="1" collapsed="1" x14ac:dyDescent="0.25">
      <c r="A122" s="25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SUM(OSRRefD22_19x_0)</f>
        <v>0</v>
      </c>
      <c r="E122" s="1"/>
      <c r="F122" s="5">
        <f t="shared" si="77"/>
        <v>0</v>
      </c>
      <c r="G122" s="1"/>
      <c r="H122" s="1">
        <f>SUM(OSRRefH22_19x_0)</f>
        <v>25</v>
      </c>
      <c r="I122" s="1"/>
      <c r="J122" s="5">
        <f t="shared" si="78"/>
        <v>4.1808816643253729E-4</v>
      </c>
      <c r="K122" s="1"/>
      <c r="L122" s="1">
        <f t="shared" si="79"/>
        <v>-25</v>
      </c>
      <c r="M122" s="1"/>
      <c r="N122" s="5">
        <f t="shared" si="80"/>
        <v>-1</v>
      </c>
      <c r="O122" s="13"/>
      <c r="P122" s="1">
        <f>SUM(OSRRefP22_19x_0)</f>
        <v>499.53</v>
      </c>
      <c r="Q122" s="1"/>
      <c r="R122" s="5">
        <f t="shared" si="81"/>
        <v>1.5627652845925011E-3</v>
      </c>
      <c r="S122" s="1"/>
      <c r="T122" s="1">
        <f>SUM(OSRRefT22_19x_0)</f>
        <v>500</v>
      </c>
      <c r="U122" s="1"/>
      <c r="V122" s="5">
        <f t="shared" si="82"/>
        <v>8.4686195303303614E-4</v>
      </c>
      <c r="W122" s="1"/>
      <c r="X122" s="1">
        <f t="shared" si="83"/>
        <v>-0.47000000000002728</v>
      </c>
      <c r="Y122" s="1"/>
      <c r="Z122" s="5">
        <f t="shared" si="84"/>
        <v>-9.4000000000005462E-4</v>
      </c>
    </row>
    <row r="123" spans="1:26" s="24" customFormat="1" hidden="1" outlineLevel="2" x14ac:dyDescent="0.25">
      <c r="A123" s="26"/>
      <c r="B123" s="11" t="str">
        <f>CONCATENATE("          ", "6294", " - ", "TRAVEL OPERATIONAL")</f>
        <v xml:space="preserve">          6294 - TRAVEL OPERATIONAL</v>
      </c>
      <c r="C123" s="11"/>
      <c r="D123" s="6"/>
      <c r="E123" s="2"/>
      <c r="F123" s="7">
        <f t="shared" si="77"/>
        <v>0</v>
      </c>
      <c r="G123" s="2"/>
      <c r="H123" s="6"/>
      <c r="I123" s="2"/>
      <c r="J123" s="7">
        <f t="shared" si="78"/>
        <v>0</v>
      </c>
      <c r="K123" s="2"/>
      <c r="L123" s="6">
        <f t="shared" si="79"/>
        <v>0</v>
      </c>
      <c r="M123" s="2"/>
      <c r="N123" s="7">
        <f t="shared" si="80"/>
        <v>0</v>
      </c>
      <c r="O123" s="11"/>
      <c r="P123" s="6">
        <v>499.53</v>
      </c>
      <c r="Q123" s="2"/>
      <c r="R123" s="7">
        <f t="shared" si="81"/>
        <v>1.5627652845925011E-3</v>
      </c>
      <c r="S123" s="2"/>
      <c r="T123" s="6"/>
      <c r="U123" s="2"/>
      <c r="V123" s="7">
        <f t="shared" si="82"/>
        <v>0</v>
      </c>
      <c r="W123" s="2"/>
      <c r="X123" s="6">
        <f t="shared" si="83"/>
        <v>499.53</v>
      </c>
      <c r="Y123" s="2"/>
      <c r="Z123" s="7">
        <f t="shared" si="84"/>
        <v>0</v>
      </c>
    </row>
    <row r="124" spans="1:26" s="24" customFormat="1" hidden="1" outlineLevel="2" x14ac:dyDescent="0.25">
      <c r="A124" s="26"/>
      <c r="B124" s="11" t="str">
        <f>CONCATENATE("          ", "6298", " - ", "VEHICLE MILEAGE")</f>
        <v xml:space="preserve">          6298 - VEHICLE MILEAGE</v>
      </c>
      <c r="C124" s="11"/>
      <c r="D124" s="6"/>
      <c r="E124" s="2"/>
      <c r="F124" s="7">
        <f t="shared" si="77"/>
        <v>0</v>
      </c>
      <c r="G124" s="2"/>
      <c r="H124" s="6">
        <v>25</v>
      </c>
      <c r="I124" s="2"/>
      <c r="J124" s="7">
        <f t="shared" si="78"/>
        <v>4.1808816643253729E-4</v>
      </c>
      <c r="K124" s="2"/>
      <c r="L124" s="6">
        <f t="shared" si="79"/>
        <v>-25</v>
      </c>
      <c r="M124" s="2"/>
      <c r="N124" s="7">
        <f t="shared" si="80"/>
        <v>-1</v>
      </c>
      <c r="O124" s="11"/>
      <c r="P124" s="6"/>
      <c r="Q124" s="2"/>
      <c r="R124" s="7">
        <f t="shared" si="81"/>
        <v>0</v>
      </c>
      <c r="S124" s="2"/>
      <c r="T124" s="6">
        <v>500</v>
      </c>
      <c r="U124" s="2"/>
      <c r="V124" s="7">
        <f t="shared" si="82"/>
        <v>8.4686195303303614E-4</v>
      </c>
      <c r="W124" s="2"/>
      <c r="X124" s="6">
        <f t="shared" si="83"/>
        <v>-500</v>
      </c>
      <c r="Y124" s="2"/>
      <c r="Z124" s="7">
        <f t="shared" si="84"/>
        <v>-1</v>
      </c>
    </row>
    <row r="125" spans="1:26" s="27" customFormat="1" outlineLevel="1" collapsed="1" x14ac:dyDescent="0.25">
      <c r="A125" s="25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SUM(OSRRefD22_20x_0)</f>
        <v>29.94</v>
      </c>
      <c r="E125" s="1"/>
      <c r="F125" s="5">
        <f t="shared" ref="F125:F126" si="85">IF(D$12=0,0,D125/D$12)</f>
        <v>8.9011984806718536E-4</v>
      </c>
      <c r="G125" s="1"/>
      <c r="H125" s="1">
        <f>SUM(OSRRefH22_20x_0)</f>
        <v>105</v>
      </c>
      <c r="I125" s="1"/>
      <c r="J125" s="5">
        <f t="shared" ref="J125:J126" si="86">IF(H$12=0,0,H125/H$12)</f>
        <v>1.7559702990166566E-3</v>
      </c>
      <c r="K125" s="1"/>
      <c r="L125" s="1">
        <f t="shared" ref="L125:L126" si="87">+D125-H125</f>
        <v>-75.06</v>
      </c>
      <c r="M125" s="1"/>
      <c r="N125" s="5">
        <f t="shared" ref="N125:N126" si="88">IF(H125=0,0,L125/H125)</f>
        <v>-0.71485714285714286</v>
      </c>
      <c r="O125" s="13"/>
      <c r="P125" s="1">
        <f>SUM(OSRRefP22_20x_0)</f>
        <v>324.37</v>
      </c>
      <c r="Q125" s="1"/>
      <c r="R125" s="5">
        <f t="shared" ref="R125:R126" si="89">IF(P$12=0,0,P125/P$12)</f>
        <v>1.0147822460378148E-3</v>
      </c>
      <c r="S125" s="1"/>
      <c r="T125" s="1">
        <f>SUM(OSRRefT22_20x_0)</f>
        <v>4240</v>
      </c>
      <c r="U125" s="1"/>
      <c r="V125" s="5">
        <f t="shared" ref="V125:V126" si="90">IF(T$12=0,0,T125/T$12)</f>
        <v>7.1813893617201459E-3</v>
      </c>
      <c r="W125" s="1"/>
      <c r="X125" s="1">
        <f t="shared" ref="X125:X126" si="91">+P125-T125</f>
        <v>-3915.63</v>
      </c>
      <c r="Y125" s="1"/>
      <c r="Z125" s="5">
        <f t="shared" ref="Z125:Z126" si="92">IF(T125=0,0,X125/T125)</f>
        <v>-0.92349764150943403</v>
      </c>
    </row>
    <row r="126" spans="1:26" s="24" customFormat="1" hidden="1" outlineLevel="2" x14ac:dyDescent="0.25">
      <c r="A126" s="26"/>
      <c r="B126" s="11" t="str">
        <f>CONCATENATE("          ", "6274", " - ", "UTILITIES")</f>
        <v xml:space="preserve">          6274 - UTILITIES</v>
      </c>
      <c r="C126" s="11"/>
      <c r="D126" s="6">
        <v>29.94</v>
      </c>
      <c r="E126" s="2"/>
      <c r="F126" s="7">
        <f t="shared" si="85"/>
        <v>8.9011984806718536E-4</v>
      </c>
      <c r="G126" s="2"/>
      <c r="H126" s="6">
        <v>105</v>
      </c>
      <c r="I126" s="2"/>
      <c r="J126" s="7">
        <f t="shared" si="86"/>
        <v>1.7559702990166566E-3</v>
      </c>
      <c r="K126" s="2"/>
      <c r="L126" s="6">
        <f t="shared" si="87"/>
        <v>-75.06</v>
      </c>
      <c r="M126" s="2"/>
      <c r="N126" s="7">
        <f t="shared" si="88"/>
        <v>-0.71485714285714286</v>
      </c>
      <c r="O126" s="11"/>
      <c r="P126" s="6">
        <v>324.37</v>
      </c>
      <c r="Q126" s="2"/>
      <c r="R126" s="7">
        <f t="shared" si="89"/>
        <v>1.0147822460378148E-3</v>
      </c>
      <c r="S126" s="2"/>
      <c r="T126" s="6">
        <v>4240</v>
      </c>
      <c r="U126" s="2"/>
      <c r="V126" s="7">
        <f t="shared" si="90"/>
        <v>7.1813893617201459E-3</v>
      </c>
      <c r="W126" s="2"/>
      <c r="X126" s="6">
        <f t="shared" si="91"/>
        <v>-3915.63</v>
      </c>
      <c r="Y126" s="2"/>
      <c r="Z126" s="7">
        <f t="shared" si="92"/>
        <v>-0.92349764150943403</v>
      </c>
    </row>
    <row r="127" spans="1:26" s="61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9" t="s">
        <v>293</v>
      </c>
      <c r="C128" s="10"/>
      <c r="D128" s="4">
        <f>SUM(0)</f>
        <v>0</v>
      </c>
      <c r="E128" s="4"/>
      <c r="F128" s="12">
        <f>IF(D$12=0,0,D128/D$12)</f>
        <v>0</v>
      </c>
      <c r="G128" s="4"/>
      <c r="H128" s="4">
        <f>SUM(0)</f>
        <v>0</v>
      </c>
      <c r="I128" s="4"/>
      <c r="J128" s="12">
        <f>IF(H$12=0,0,H128/H$12)</f>
        <v>0</v>
      </c>
      <c r="K128" s="4"/>
      <c r="L128" s="4">
        <f>+D128-H128</f>
        <v>0</v>
      </c>
      <c r="M128" s="4"/>
      <c r="N128" s="12">
        <f>IF(H128=0,0,L128/H128)</f>
        <v>0</v>
      </c>
      <c r="O128" s="10"/>
      <c r="P128" s="4">
        <f>SUM(0)</f>
        <v>0</v>
      </c>
      <c r="Q128" s="4"/>
      <c r="R128" s="12">
        <f>IF(P$12=0,0,P128/P$12)</f>
        <v>0</v>
      </c>
      <c r="S128" s="4"/>
      <c r="T128" s="4">
        <f>SUM(0)</f>
        <v>0</v>
      </c>
      <c r="U128" s="4"/>
      <c r="V128" s="12">
        <f>IF(T$12=0,0,T128/T$12)</f>
        <v>0</v>
      </c>
      <c r="W128" s="4"/>
      <c r="X128" s="4">
        <f>+P128-T128</f>
        <v>0</v>
      </c>
      <c r="Y128" s="4"/>
      <c r="Z128" s="12">
        <f>IF(T128=0,0,X128/T128)</f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277</v>
      </c>
      <c r="C130" s="28"/>
      <c r="D130" s="20">
        <f>+D52-D54+D128</f>
        <v>122745.68</v>
      </c>
      <c r="E130" s="14"/>
      <c r="F130" s="22">
        <f>IF(D$12=0,0,D130/D$12)</f>
        <v>3.6492440224617018</v>
      </c>
      <c r="G130" s="14"/>
      <c r="H130" s="20">
        <f>+H52-H54+H128</f>
        <v>7301.0287101538488</v>
      </c>
      <c r="I130" s="14"/>
      <c r="J130" s="22">
        <f>IF(H$12=0,0,H130/H$12)</f>
        <v>0.12209894825998141</v>
      </c>
      <c r="K130" s="16"/>
      <c r="L130" s="20">
        <f>+D130-H130</f>
        <v>115444.65128984614</v>
      </c>
      <c r="M130" s="16"/>
      <c r="N130" s="22">
        <f>IF(H130=0,0,L130/H130)</f>
        <v>15.812107563594756</v>
      </c>
      <c r="O130" s="29"/>
      <c r="P130" s="20">
        <f>+P52-P54+P128</f>
        <v>41485.159999999887</v>
      </c>
      <c r="Q130" s="14"/>
      <c r="R130" s="22">
        <f>IF(P$12=0,0,P130/P$12)</f>
        <v>0.12978513377327741</v>
      </c>
      <c r="S130" s="14"/>
      <c r="T130" s="20">
        <f>+T52-T54+T128</f>
        <v>22045.71921999997</v>
      </c>
      <c r="U130" s="14"/>
      <c r="V130" s="22">
        <f>IF(T$12=0,0,T130/T$12)</f>
        <v>3.7339361669334228E-2</v>
      </c>
      <c r="W130" s="16"/>
      <c r="X130" s="20">
        <f>+P130-T130</f>
        <v>19439.440779999917</v>
      </c>
      <c r="Y130" s="16"/>
      <c r="Z130" s="22">
        <f>IF(T130=0,0,X130/T130)</f>
        <v>0.88177847980411428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128</v>
      </c>
      <c r="C132" s="10"/>
      <c r="D132" s="4">
        <v>27358.6</v>
      </c>
      <c r="E132" s="4"/>
      <c r="F132" s="12">
        <f>IF(D$12=0,0,D132/D$12)</f>
        <v>0.81337451153409812</v>
      </c>
      <c r="G132" s="4"/>
      <c r="H132" s="4">
        <v>1807</v>
      </c>
      <c r="I132" s="4"/>
      <c r="J132" s="12">
        <f>IF(H$12=0,0,H132/H$12)</f>
        <v>3.0219412669743796E-2</v>
      </c>
      <c r="K132" s="4"/>
      <c r="L132" s="4">
        <f>+D132-H132</f>
        <v>25551.599999999999</v>
      </c>
      <c r="M132" s="4"/>
      <c r="N132" s="12">
        <f>IF(H132=0,0,L132/H132)</f>
        <v>14.140343110127281</v>
      </c>
      <c r="O132" s="10"/>
      <c r="P132" s="4">
        <v>88476.01</v>
      </c>
      <c r="Q132" s="4"/>
      <c r="R132" s="12">
        <f>IF(P$12=0,0,P132/P$12)</f>
        <v>0.27679466087574112</v>
      </c>
      <c r="S132" s="4"/>
      <c r="T132" s="4">
        <v>99768</v>
      </c>
      <c r="U132" s="4"/>
      <c r="V132" s="12">
        <f>IF(T$12=0,0,T132/T$12)</f>
        <v>0.16897944666039988</v>
      </c>
      <c r="W132" s="4"/>
      <c r="X132" s="4">
        <f>+P132-T132</f>
        <v>-11291.990000000005</v>
      </c>
      <c r="Y132" s="4"/>
      <c r="Z132" s="12">
        <f>IF(T132=0,0,X132/T132)</f>
        <v>-0.11318248336139849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126</v>
      </c>
      <c r="C134" s="28"/>
      <c r="D134" s="34">
        <f>+D130-D132</f>
        <v>95387.079999999987</v>
      </c>
      <c r="E134" s="14"/>
      <c r="F134" s="35">
        <f>IF(D$12=0,0,D134/D$12)</f>
        <v>2.8358695109276035</v>
      </c>
      <c r="G134" s="14"/>
      <c r="H134" s="34">
        <f>+H130-H132</f>
        <v>5494.0287101538488</v>
      </c>
      <c r="I134" s="14"/>
      <c r="J134" s="35">
        <f>IF(H$12=0,0,H134/H$12)</f>
        <v>9.1879535590237621E-2</v>
      </c>
      <c r="K134" s="16"/>
      <c r="L134" s="34">
        <f>D134-H134</f>
        <v>89893.051289846131</v>
      </c>
      <c r="M134" s="16"/>
      <c r="N134" s="35">
        <f>IF(H134=0,0,L134/H134)</f>
        <v>16.361955139351441</v>
      </c>
      <c r="O134" s="29"/>
      <c r="P134" s="34">
        <f>+P130-P132</f>
        <v>-46990.850000000108</v>
      </c>
      <c r="Q134" s="14"/>
      <c r="R134" s="35">
        <f>IF(P$12=0,0,P134/P$12)</f>
        <v>-0.14700952710246371</v>
      </c>
      <c r="S134" s="14"/>
      <c r="T134" s="34">
        <f>+T130-T132</f>
        <v>-77722.28078000003</v>
      </c>
      <c r="U134" s="14"/>
      <c r="V134" s="35">
        <f>IF(T$12=0,0,T134/T$12)</f>
        <v>-0.13164008499106566</v>
      </c>
      <c r="W134" s="16"/>
      <c r="X134" s="34">
        <f>P134-T134</f>
        <v>30731.430779999922</v>
      </c>
      <c r="Y134" s="16"/>
      <c r="Z134" s="35">
        <f>IF(T134=0,0,X134/T134)</f>
        <v>-0.39540052699930445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294</v>
      </c>
      <c r="C137" s="28"/>
      <c r="D137" s="33">
        <f>SUM(D134:D136)</f>
        <v>95387.079999999987</v>
      </c>
      <c r="E137" s="14"/>
      <c r="F137" s="31">
        <f>IF(D$12=0,0,D137/D$12)</f>
        <v>2.8358695109276035</v>
      </c>
      <c r="G137" s="14"/>
      <c r="H137" s="33">
        <f>SUM(H134:H136)</f>
        <v>5494.0287101538488</v>
      </c>
      <c r="I137" s="14"/>
      <c r="J137" s="31">
        <f>IF(H$12=0,0,H137/H$12)</f>
        <v>9.1879535590237621E-2</v>
      </c>
      <c r="K137" s="16"/>
      <c r="L137" s="33">
        <f>+D137-H137</f>
        <v>89893.051289846131</v>
      </c>
      <c r="M137" s="16"/>
      <c r="N137" s="31">
        <f>IF(H137=0,0,L137/H137)</f>
        <v>16.361955139351441</v>
      </c>
      <c r="O137" s="29"/>
      <c r="P137" s="33">
        <f>SUM(P134:P136)</f>
        <v>-46990.850000000108</v>
      </c>
      <c r="Q137" s="14"/>
      <c r="R137" s="31">
        <f>IF(P$12=0,0,P137/P$12)</f>
        <v>-0.14700952710246371</v>
      </c>
      <c r="S137" s="14"/>
      <c r="T137" s="33">
        <f>SUM(T134:T136)</f>
        <v>-77722.28078000003</v>
      </c>
      <c r="U137" s="14"/>
      <c r="V137" s="31">
        <f>IF(T$12=0,0,T137/T$12)</f>
        <v>-0.13164008499106566</v>
      </c>
      <c r="W137" s="16"/>
      <c r="X137" s="33">
        <f>+P137-T137</f>
        <v>30731.430779999922</v>
      </c>
      <c r="Y137" s="16"/>
      <c r="Z137" s="31">
        <f>IF(T137=0,0,X137/T137)</f>
        <v>-0.39540052699930445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6">
        <v>44454.686112384261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5" t="s">
        <v>56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63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4812.4399999999996</v>
      </c>
      <c r="E12" s="4"/>
      <c r="F12" s="12"/>
      <c r="G12" s="4"/>
      <c r="H12" s="4">
        <f>SUM(OSRRefH13x_0)</f>
        <v>13000</v>
      </c>
      <c r="I12" s="4"/>
      <c r="J12" s="12"/>
      <c r="K12" s="4"/>
      <c r="L12" s="4">
        <f t="shared" ref="L12:L24" si="0">+D12-H12</f>
        <v>-8187.56</v>
      </c>
      <c r="M12" s="4"/>
      <c r="N12" s="12">
        <f t="shared" ref="N12:N24" si="1">IF(H12=0,0,L12/H12)</f>
        <v>-0.62981230769230767</v>
      </c>
      <c r="O12" s="10"/>
      <c r="P12" s="4">
        <f>SUM(OSRRefP13x_0)</f>
        <v>132456.04999999999</v>
      </c>
      <c r="Q12" s="4"/>
      <c r="R12" s="12"/>
      <c r="S12" s="4"/>
      <c r="T12" s="4">
        <f>SUM(OSRRefT13x_0)</f>
        <v>400713</v>
      </c>
      <c r="U12" s="4"/>
      <c r="V12" s="12"/>
      <c r="W12" s="4"/>
      <c r="X12" s="4">
        <f t="shared" ref="X12:X24" si="2">+P12-T12</f>
        <v>-268256.95</v>
      </c>
      <c r="Y12" s="4"/>
      <c r="Z12" s="12">
        <f t="shared" ref="Z12:Z24" si="3">IF(T12=0,0,X12/T12)</f>
        <v>-0.66944908201131481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-39.88</f>
        <v>-39.880000000000003</v>
      </c>
      <c r="E13" s="2"/>
      <c r="F13" s="19"/>
      <c r="G13" s="2"/>
      <c r="H13" s="2">
        <v>10000</v>
      </c>
      <c r="I13" s="2"/>
      <c r="J13" s="19"/>
      <c r="K13" s="2"/>
      <c r="L13" s="2">
        <f t="shared" si="0"/>
        <v>-10039.879999999999</v>
      </c>
      <c r="M13" s="2"/>
      <c r="N13" s="19">
        <f t="shared" si="1"/>
        <v>-1.0039879999999999</v>
      </c>
      <c r="O13" s="11"/>
      <c r="P13" s="2">
        <f>-50.16</f>
        <v>-50.16</v>
      </c>
      <c r="Q13" s="2"/>
      <c r="R13" s="19"/>
      <c r="S13" s="2"/>
      <c r="T13" s="2">
        <v>265213</v>
      </c>
      <c r="U13" s="2"/>
      <c r="V13" s="19"/>
      <c r="W13" s="2"/>
      <c r="X13" s="2">
        <f t="shared" si="2"/>
        <v>-265263.15999999997</v>
      </c>
      <c r="Y13" s="2"/>
      <c r="Z13" s="19">
        <f t="shared" si="3"/>
        <v>-1.0001891310003657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--252.85</f>
        <v>252.85</v>
      </c>
      <c r="E14" s="2"/>
      <c r="F14" s="19"/>
      <c r="G14" s="2"/>
      <c r="H14" s="2"/>
      <c r="I14" s="2"/>
      <c r="J14" s="19"/>
      <c r="K14" s="2"/>
      <c r="L14" s="2">
        <f t="shared" si="0"/>
        <v>252.85</v>
      </c>
      <c r="M14" s="2"/>
      <c r="N14" s="19">
        <f t="shared" si="1"/>
        <v>0</v>
      </c>
      <c r="O14" s="11"/>
      <c r="P14" s="2">
        <f>--93554.57</f>
        <v>93554.57</v>
      </c>
      <c r="Q14" s="2"/>
      <c r="R14" s="19"/>
      <c r="S14" s="2"/>
      <c r="T14" s="2"/>
      <c r="U14" s="2"/>
      <c r="V14" s="19"/>
      <c r="W14" s="2"/>
      <c r="X14" s="2">
        <f t="shared" si="2"/>
        <v>93554.57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--2580.95</f>
        <v>2580.9499999999998</v>
      </c>
      <c r="E15" s="2"/>
      <c r="F15" s="19"/>
      <c r="G15" s="2"/>
      <c r="H15" s="2"/>
      <c r="I15" s="2"/>
      <c r="J15" s="19"/>
      <c r="K15" s="2"/>
      <c r="L15" s="2">
        <f t="shared" si="0"/>
        <v>2580.9499999999998</v>
      </c>
      <c r="M15" s="2"/>
      <c r="N15" s="19">
        <f t="shared" si="1"/>
        <v>0</v>
      </c>
      <c r="O15" s="11"/>
      <c r="P15" s="2">
        <f>--20906.62</f>
        <v>20906.62</v>
      </c>
      <c r="Q15" s="2"/>
      <c r="R15" s="19"/>
      <c r="S15" s="2"/>
      <c r="T15" s="2"/>
      <c r="U15" s="2"/>
      <c r="V15" s="19"/>
      <c r="W15" s="2"/>
      <c r="X15" s="2">
        <f t="shared" si="2"/>
        <v>20906.62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--44.15</f>
        <v>44.15</v>
      </c>
      <c r="E16" s="2"/>
      <c r="F16" s="19"/>
      <c r="G16" s="2"/>
      <c r="H16" s="2"/>
      <c r="I16" s="2"/>
      <c r="J16" s="19"/>
      <c r="K16" s="2"/>
      <c r="L16" s="2">
        <f t="shared" si="0"/>
        <v>44.15</v>
      </c>
      <c r="M16" s="2"/>
      <c r="N16" s="19">
        <f t="shared" si="1"/>
        <v>0</v>
      </c>
      <c r="O16" s="11"/>
      <c r="P16" s="2">
        <f>--106.3</f>
        <v>106.3</v>
      </c>
      <c r="Q16" s="2"/>
      <c r="R16" s="19"/>
      <c r="S16" s="2"/>
      <c r="T16" s="2"/>
      <c r="U16" s="2"/>
      <c r="V16" s="19"/>
      <c r="W16" s="2"/>
      <c r="X16" s="2">
        <f t="shared" si="2"/>
        <v>106.3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--1688.17</f>
        <v>1688.17</v>
      </c>
      <c r="E17" s="2"/>
      <c r="F17" s="19"/>
      <c r="G17" s="2"/>
      <c r="H17" s="2"/>
      <c r="I17" s="2"/>
      <c r="J17" s="19"/>
      <c r="K17" s="2"/>
      <c r="L17" s="2">
        <f t="shared" si="0"/>
        <v>1688.17</v>
      </c>
      <c r="M17" s="2"/>
      <c r="N17" s="19">
        <f t="shared" si="1"/>
        <v>0</v>
      </c>
      <c r="O17" s="11"/>
      <c r="P17" s="2">
        <f>--15614</f>
        <v>15614</v>
      </c>
      <c r="Q17" s="2"/>
      <c r="R17" s="19"/>
      <c r="S17" s="2"/>
      <c r="T17" s="2"/>
      <c r="U17" s="2"/>
      <c r="V17" s="19"/>
      <c r="W17" s="2"/>
      <c r="X17" s="2">
        <f t="shared" si="2"/>
        <v>15614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20" si="4">0</f>
        <v>0</v>
      </c>
      <c r="E18" s="2"/>
      <c r="F18" s="19"/>
      <c r="G18" s="2"/>
      <c r="H18" s="2">
        <v>3000</v>
      </c>
      <c r="I18" s="2"/>
      <c r="J18" s="19"/>
      <c r="K18" s="2"/>
      <c r="L18" s="2">
        <f t="shared" si="0"/>
        <v>-3000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135500</v>
      </c>
      <c r="U18" s="2"/>
      <c r="V18" s="19"/>
      <c r="W18" s="2"/>
      <c r="X18" s="2">
        <f t="shared" si="2"/>
        <v>-135500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--1756.04</f>
        <v>1756.04</v>
      </c>
      <c r="Q19" s="2"/>
      <c r="R19" s="19"/>
      <c r="S19" s="2"/>
      <c r="T19" s="2"/>
      <c r="U19" s="2"/>
      <c r="V19" s="19"/>
      <c r="W19" s="2"/>
      <c r="X19" s="2">
        <f t="shared" si="2"/>
        <v>1756.04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--1137.08</f>
        <v>1137.08</v>
      </c>
      <c r="Q20" s="2"/>
      <c r="R20" s="19"/>
      <c r="S20" s="2"/>
      <c r="T20" s="2"/>
      <c r="U20" s="2"/>
      <c r="V20" s="19"/>
      <c r="W20" s="2"/>
      <c r="X20" s="2">
        <f t="shared" si="2"/>
        <v>1137.08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--282.2</f>
        <v>282.2</v>
      </c>
      <c r="E21" s="2"/>
      <c r="F21" s="19"/>
      <c r="G21" s="2"/>
      <c r="H21" s="2"/>
      <c r="I21" s="2"/>
      <c r="J21" s="19"/>
      <c r="K21" s="2"/>
      <c r="L21" s="2">
        <f t="shared" si="0"/>
        <v>282.2</v>
      </c>
      <c r="M21" s="2"/>
      <c r="N21" s="19">
        <f t="shared" si="1"/>
        <v>0</v>
      </c>
      <c r="O21" s="11"/>
      <c r="P21" s="2">
        <f>--668.1</f>
        <v>668.1</v>
      </c>
      <c r="Q21" s="2"/>
      <c r="R21" s="19"/>
      <c r="S21" s="2"/>
      <c r="T21" s="2"/>
      <c r="U21" s="2"/>
      <c r="V21" s="19"/>
      <c r="W21" s="2"/>
      <c r="X21" s="2">
        <f t="shared" si="2"/>
        <v>668.1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--4</f>
        <v>4</v>
      </c>
      <c r="E22" s="2"/>
      <c r="F22" s="19"/>
      <c r="G22" s="2"/>
      <c r="H22" s="2"/>
      <c r="I22" s="2"/>
      <c r="J22" s="19"/>
      <c r="K22" s="2"/>
      <c r="L22" s="2">
        <f t="shared" si="0"/>
        <v>4</v>
      </c>
      <c r="M22" s="2"/>
      <c r="N22" s="19">
        <f t="shared" si="1"/>
        <v>0</v>
      </c>
      <c r="O22" s="11"/>
      <c r="P22" s="2">
        <f>--172</f>
        <v>172</v>
      </c>
      <c r="Q22" s="2"/>
      <c r="R22" s="19"/>
      <c r="S22" s="2"/>
      <c r="T22" s="2"/>
      <c r="U22" s="2"/>
      <c r="V22" s="19"/>
      <c r="W22" s="2"/>
      <c r="X22" s="2">
        <f t="shared" si="2"/>
        <v>172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-1293</f>
        <v>-1293</v>
      </c>
      <c r="Q23" s="2"/>
      <c r="R23" s="19"/>
      <c r="S23" s="2"/>
      <c r="T23" s="2"/>
      <c r="U23" s="2"/>
      <c r="V23" s="19"/>
      <c r="W23" s="2"/>
      <c r="X23" s="2">
        <f t="shared" si="2"/>
        <v>-1293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-115.5</f>
        <v>-115.5</v>
      </c>
      <c r="Q24" s="2"/>
      <c r="R24" s="19"/>
      <c r="S24" s="2"/>
      <c r="T24" s="2"/>
      <c r="U24" s="2"/>
      <c r="V24" s="19"/>
      <c r="W24" s="2"/>
      <c r="X24" s="2">
        <f t="shared" si="2"/>
        <v>-115.5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257</v>
      </c>
      <c r="C26" s="10"/>
      <c r="D26" s="4">
        <f>SUM(OSRRefD16x_0)</f>
        <v>0</v>
      </c>
      <c r="E26" s="4"/>
      <c r="F26" s="12">
        <f t="shared" ref="F26:F28" si="6">IF(D$12=0,0,D26/D$12)</f>
        <v>0</v>
      </c>
      <c r="G26" s="4"/>
      <c r="H26" s="4">
        <f>SUM(OSRRefH16x_0)</f>
        <v>0</v>
      </c>
      <c r="I26" s="4"/>
      <c r="J26" s="12">
        <f t="shared" ref="J26:J28" si="7">IF(H$12=0,0,H26/H$12)</f>
        <v>0</v>
      </c>
      <c r="K26" s="4"/>
      <c r="L26" s="4">
        <f t="shared" ref="L26:L28" si="8">+D26-H26</f>
        <v>0</v>
      </c>
      <c r="M26" s="4"/>
      <c r="N26" s="12">
        <f t="shared" ref="N26:N28" si="9">IF(H26=0,0,L26/H26)</f>
        <v>0</v>
      </c>
      <c r="O26" s="10"/>
      <c r="P26" s="4">
        <f>SUM(OSRRefP16x_0)</f>
        <v>0</v>
      </c>
      <c r="Q26" s="4"/>
      <c r="R26" s="12">
        <f t="shared" ref="R26:R28" si="10">IF(P$12=0,0,P26/P$12)</f>
        <v>0</v>
      </c>
      <c r="S26" s="4"/>
      <c r="T26" s="4">
        <f>SUM(OSRRefT16x_0)</f>
        <v>0</v>
      </c>
      <c r="U26" s="4"/>
      <c r="V26" s="12">
        <f t="shared" ref="V26:V28" si="11">IF(T$12=0,0,T26/T$12)</f>
        <v>0</v>
      </c>
      <c r="W26" s="4"/>
      <c r="X26" s="4">
        <f t="shared" ref="X26:X28" si="12">+P26-T26</f>
        <v>0</v>
      </c>
      <c r="Y26" s="4"/>
      <c r="Z26" s="12">
        <f t="shared" ref="Z26:Z28" si="13">IF(T26=0,0,X26/T26)</f>
        <v>0</v>
      </c>
    </row>
    <row r="27" spans="1:26" s="24" customFormat="1" hidden="1" outlineLevel="1" x14ac:dyDescent="0.25">
      <c r="A27" s="44"/>
      <c r="B27" s="11" t="str">
        <f>CONCATENATE("          ", "5092", " - ", "PURCHASES @ COST-GRAD MERCH")</f>
        <v xml:space="preserve">          5092 - PURCHASES @ COST-GRAD MERCH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25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108</v>
      </c>
      <c r="C30" s="28"/>
      <c r="D30" s="20">
        <f>D12-D26</f>
        <v>4812.4399999999996</v>
      </c>
      <c r="E30" s="14"/>
      <c r="F30" s="22">
        <f>IF(D$12=0,0,D30/D$12)</f>
        <v>1</v>
      </c>
      <c r="G30" s="14"/>
      <c r="H30" s="20">
        <f>H12-H26</f>
        <v>13000</v>
      </c>
      <c r="I30" s="14"/>
      <c r="J30" s="22">
        <f>IF(H$12=0,0,H30/H$12)</f>
        <v>1</v>
      </c>
      <c r="K30" s="16"/>
      <c r="L30" s="20">
        <f>+D30-H30</f>
        <v>-8187.56</v>
      </c>
      <c r="M30" s="16"/>
      <c r="N30" s="22">
        <f>IF(H30=0,0,L30/H30)</f>
        <v>-0.62981230769230767</v>
      </c>
      <c r="O30" s="29"/>
      <c r="P30" s="20">
        <f>P12-P26</f>
        <v>132456.04999999999</v>
      </c>
      <c r="Q30" s="14"/>
      <c r="R30" s="22">
        <f>IF(P$12=0,0,P30/P$12)</f>
        <v>1</v>
      </c>
      <c r="S30" s="14"/>
      <c r="T30" s="20">
        <f>T12-T26</f>
        <v>400713</v>
      </c>
      <c r="U30" s="14"/>
      <c r="V30" s="22">
        <f>IF(T$12=0,0,T30/T$12)</f>
        <v>1</v>
      </c>
      <c r="W30" s="16"/>
      <c r="X30" s="20">
        <f>+P30-T30</f>
        <v>-268256.95</v>
      </c>
      <c r="Y30" s="16"/>
      <c r="Z30" s="22">
        <f>IF(T30=0,0,X30/T30)</f>
        <v>-0.66944908201131481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295</v>
      </c>
      <c r="C32" s="10"/>
      <c r="D32" s="21">
        <f>SUM(OSRRefD22x_0)</f>
        <v>32446.999999999996</v>
      </c>
      <c r="E32" s="21"/>
      <c r="F32" s="30">
        <f t="shared" ref="F32:F42" si="14">IF(D$12=0,0,D32/D$12)</f>
        <v>6.7423178263001722</v>
      </c>
      <c r="G32" s="21"/>
      <c r="H32" s="21">
        <f>SUM(OSRRefH22x_0)</f>
        <v>22426.324941242343</v>
      </c>
      <c r="I32" s="21"/>
      <c r="J32" s="30">
        <f t="shared" ref="J32:J42" si="15">IF(H$12=0,0,H32/H$12)</f>
        <v>1.7251019185571033</v>
      </c>
      <c r="K32" s="4"/>
      <c r="L32" s="21">
        <f t="shared" ref="L32:L42" si="16">+D32-H32</f>
        <v>10020.675058757653</v>
      </c>
      <c r="M32" s="4"/>
      <c r="N32" s="30">
        <f t="shared" ref="N32:N42" si="17">IF(H32=0,0,L32/H32)</f>
        <v>0.4468264454836951</v>
      </c>
      <c r="O32" s="10"/>
      <c r="P32" s="21">
        <f>SUM(OSRRefP22x_0)</f>
        <v>318006.93</v>
      </c>
      <c r="Q32" s="21"/>
      <c r="R32" s="30">
        <f t="shared" ref="R32:R42" si="18">IF(P$12=0,0,P32/P$12)</f>
        <v>2.4008486588570324</v>
      </c>
      <c r="S32" s="21"/>
      <c r="T32" s="21">
        <f>SUM(OSRRefT22x_0)</f>
        <v>372736.25570964999</v>
      </c>
      <c r="U32" s="21"/>
      <c r="V32" s="30">
        <f t="shared" ref="V32:V42" si="19">IF(T$12=0,0,T32/T$12)</f>
        <v>0.93018258880957194</v>
      </c>
      <c r="W32" s="4"/>
      <c r="X32" s="21">
        <f t="shared" ref="X32:X42" si="20">+P32-T32</f>
        <v>-54729.325709650002</v>
      </c>
      <c r="Y32" s="4"/>
      <c r="Z32" s="30">
        <f t="shared" ref="Z32:Z42" si="21">IF(T32=0,0,X32/T32)</f>
        <v>-0.14683123756086247</v>
      </c>
    </row>
    <row r="33" spans="1:26" s="27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9813.18</v>
      </c>
      <c r="E33" s="1"/>
      <c r="F33" s="5">
        <f t="shared" si="14"/>
        <v>2.0391277605538982</v>
      </c>
      <c r="G33" s="1"/>
      <c r="H33" s="1">
        <f>SUM(OSRRefH22_0x_0)</f>
        <v>6587.8163797038433</v>
      </c>
      <c r="I33" s="1"/>
      <c r="J33" s="5">
        <f t="shared" si="15"/>
        <v>0.50675510613106489</v>
      </c>
      <c r="K33" s="1"/>
      <c r="L33" s="1">
        <f t="shared" si="16"/>
        <v>3225.363620296157</v>
      </c>
      <c r="M33" s="1"/>
      <c r="N33" s="5">
        <f t="shared" si="17"/>
        <v>0.48959525196134168</v>
      </c>
      <c r="O33" s="13"/>
      <c r="P33" s="1">
        <f>SUM(OSRRefP22_0x_0)</f>
        <v>113804.90000000001</v>
      </c>
      <c r="Q33" s="1"/>
      <c r="R33" s="5">
        <f t="shared" si="18"/>
        <v>0.85918989732820827</v>
      </c>
      <c r="S33" s="1"/>
      <c r="T33" s="1">
        <f>SUM(OSRRefT22_0x_0)</f>
        <v>80708.644409650005</v>
      </c>
      <c r="U33" s="1"/>
      <c r="V33" s="5">
        <f t="shared" si="19"/>
        <v>0.20141259307696532</v>
      </c>
      <c r="W33" s="1"/>
      <c r="X33" s="1">
        <f t="shared" si="20"/>
        <v>33096.255590350003</v>
      </c>
      <c r="Y33" s="1"/>
      <c r="Z33" s="5">
        <f t="shared" si="21"/>
        <v>0.41007076543578791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1244.99</v>
      </c>
      <c r="E34" s="2"/>
      <c r="F34" s="7">
        <f t="shared" si="14"/>
        <v>0.25870244616036775</v>
      </c>
      <c r="G34" s="2"/>
      <c r="H34" s="6">
        <v>1214.49345312692</v>
      </c>
      <c r="I34" s="2"/>
      <c r="J34" s="7">
        <f t="shared" si="15"/>
        <v>9.342257331745539E-2</v>
      </c>
      <c r="K34" s="2"/>
      <c r="L34" s="6">
        <f t="shared" si="16"/>
        <v>30.496546873079978</v>
      </c>
      <c r="M34" s="2"/>
      <c r="N34" s="7">
        <f t="shared" si="17"/>
        <v>2.5110507425594952E-2</v>
      </c>
      <c r="O34" s="11"/>
      <c r="P34" s="6">
        <v>15776.77</v>
      </c>
      <c r="Q34" s="2"/>
      <c r="R34" s="7">
        <f t="shared" si="18"/>
        <v>0.11910947065083098</v>
      </c>
      <c r="S34" s="2"/>
      <c r="T34" s="6">
        <v>13770.72439965</v>
      </c>
      <c r="U34" s="2"/>
      <c r="V34" s="7">
        <f t="shared" si="19"/>
        <v>3.4365554398409832E-2</v>
      </c>
      <c r="W34" s="2"/>
      <c r="X34" s="6">
        <f t="shared" si="20"/>
        <v>2006.0456003500003</v>
      </c>
      <c r="Y34" s="2"/>
      <c r="Z34" s="7">
        <f t="shared" si="21"/>
        <v>0.14567466039774832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319.12</v>
      </c>
      <c r="E35" s="2"/>
      <c r="F35" s="7">
        <f t="shared" si="14"/>
        <v>6.63114760911305E-2</v>
      </c>
      <c r="G35" s="2"/>
      <c r="H35" s="6">
        <v>293.58589942307702</v>
      </c>
      <c r="I35" s="2"/>
      <c r="J35" s="7">
        <f t="shared" si="15"/>
        <v>2.2583530724852079E-2</v>
      </c>
      <c r="K35" s="2"/>
      <c r="L35" s="6">
        <f t="shared" si="16"/>
        <v>25.534100576922981</v>
      </c>
      <c r="M35" s="2"/>
      <c r="N35" s="7">
        <f t="shared" si="17"/>
        <v>8.697318443119989E-2</v>
      </c>
      <c r="O35" s="11"/>
      <c r="P35" s="6">
        <v>4131.79</v>
      </c>
      <c r="Q35" s="2"/>
      <c r="R35" s="7">
        <f t="shared" si="18"/>
        <v>3.1193667635415673E-2</v>
      </c>
      <c r="S35" s="2"/>
      <c r="T35" s="6">
        <v>3587.9688099999998</v>
      </c>
      <c r="U35" s="2"/>
      <c r="V35" s="7">
        <f t="shared" si="19"/>
        <v>8.953961588468555E-3</v>
      </c>
      <c r="W35" s="2"/>
      <c r="X35" s="6">
        <f t="shared" si="20"/>
        <v>543.82119000000012</v>
      </c>
      <c r="Y35" s="2"/>
      <c r="Z35" s="7">
        <f t="shared" si="21"/>
        <v>0.15156798143961572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3421.48</v>
      </c>
      <c r="E36" s="2"/>
      <c r="F36" s="7">
        <f t="shared" si="14"/>
        <v>0.71096574710541849</v>
      </c>
      <c r="G36" s="2"/>
      <c r="H36" s="6">
        <v>2645</v>
      </c>
      <c r="I36" s="2"/>
      <c r="J36" s="7">
        <f t="shared" si="15"/>
        <v>0.20346153846153847</v>
      </c>
      <c r="K36" s="2"/>
      <c r="L36" s="6">
        <f t="shared" si="16"/>
        <v>776.48</v>
      </c>
      <c r="M36" s="2"/>
      <c r="N36" s="7">
        <f t="shared" si="17"/>
        <v>0.29356521739130437</v>
      </c>
      <c r="O36" s="11"/>
      <c r="P36" s="6">
        <v>42900.21</v>
      </c>
      <c r="Q36" s="2"/>
      <c r="R36" s="7">
        <f t="shared" si="18"/>
        <v>0.3238826010589928</v>
      </c>
      <c r="S36" s="2"/>
      <c r="T36" s="6">
        <v>31740</v>
      </c>
      <c r="U36" s="2"/>
      <c r="V36" s="7">
        <f t="shared" si="19"/>
        <v>7.9208810295648011E-2</v>
      </c>
      <c r="W36" s="2"/>
      <c r="X36" s="6">
        <f t="shared" si="20"/>
        <v>11160.21</v>
      </c>
      <c r="Y36" s="2"/>
      <c r="Z36" s="7">
        <f t="shared" si="21"/>
        <v>0.35161342155009451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44.85</v>
      </c>
      <c r="E37" s="2"/>
      <c r="F37" s="7">
        <f t="shared" si="14"/>
        <v>9.3195967118551108E-3</v>
      </c>
      <c r="G37" s="2"/>
      <c r="H37" s="6">
        <v>41.260720999999997</v>
      </c>
      <c r="I37" s="2"/>
      <c r="J37" s="7">
        <f t="shared" si="15"/>
        <v>3.173901615384615E-3</v>
      </c>
      <c r="K37" s="2"/>
      <c r="L37" s="6">
        <f t="shared" si="16"/>
        <v>3.5892790000000048</v>
      </c>
      <c r="M37" s="2"/>
      <c r="N37" s="7">
        <f t="shared" si="17"/>
        <v>8.6990215221881481E-2</v>
      </c>
      <c r="O37" s="11"/>
      <c r="P37" s="6">
        <v>580.66999999999996</v>
      </c>
      <c r="Q37" s="2"/>
      <c r="R37" s="7">
        <f t="shared" si="18"/>
        <v>4.383869215486948E-3</v>
      </c>
      <c r="S37" s="2"/>
      <c r="T37" s="6">
        <v>549.50922000000003</v>
      </c>
      <c r="U37" s="2"/>
      <c r="V37" s="7">
        <f t="shared" si="19"/>
        <v>1.3713286566694868E-3</v>
      </c>
      <c r="W37" s="2"/>
      <c r="X37" s="6">
        <f t="shared" si="20"/>
        <v>31.160779999999932</v>
      </c>
      <c r="Y37" s="2"/>
      <c r="Z37" s="7">
        <f t="shared" si="21"/>
        <v>5.6706564450365239E-2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2421.6799999999998</v>
      </c>
      <c r="E38" s="2"/>
      <c r="F38" s="7">
        <f t="shared" si="14"/>
        <v>0.50321250758451019</v>
      </c>
      <c r="G38" s="2"/>
      <c r="H38" s="6">
        <v>991.92684461538499</v>
      </c>
      <c r="I38" s="2"/>
      <c r="J38" s="7">
        <f t="shared" si="15"/>
        <v>7.6302064970414224E-2</v>
      </c>
      <c r="K38" s="2"/>
      <c r="L38" s="6">
        <f t="shared" si="16"/>
        <v>1429.7531553846147</v>
      </c>
      <c r="M38" s="2"/>
      <c r="N38" s="7">
        <f t="shared" si="17"/>
        <v>1.4413897185522737</v>
      </c>
      <c r="O38" s="11"/>
      <c r="P38" s="6">
        <v>21347.57</v>
      </c>
      <c r="Q38" s="2"/>
      <c r="R38" s="7">
        <f t="shared" si="18"/>
        <v>0.1611671947034507</v>
      </c>
      <c r="S38" s="2"/>
      <c r="T38" s="6">
        <v>12895.04898</v>
      </c>
      <c r="U38" s="2"/>
      <c r="V38" s="7">
        <f t="shared" si="19"/>
        <v>3.2180261134527703E-2</v>
      </c>
      <c r="W38" s="2"/>
      <c r="X38" s="6">
        <f t="shared" si="20"/>
        <v>8452.5210200000001</v>
      </c>
      <c r="Y38" s="2"/>
      <c r="Z38" s="7">
        <f t="shared" si="21"/>
        <v>0.65548576303275119</v>
      </c>
    </row>
    <row r="39" spans="1:26" s="24" customFormat="1" hidden="1" outlineLevel="2" x14ac:dyDescent="0.25">
      <c r="A39" s="26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4"/>
        <v>0</v>
      </c>
      <c r="G39" s="2"/>
      <c r="H39" s="6">
        <v>0</v>
      </c>
      <c r="I39" s="2"/>
      <c r="J39" s="7">
        <f t="shared" si="15"/>
        <v>0</v>
      </c>
      <c r="K39" s="2"/>
      <c r="L39" s="6">
        <f t="shared" si="16"/>
        <v>0</v>
      </c>
      <c r="M39" s="2"/>
      <c r="N39" s="7">
        <f t="shared" si="17"/>
        <v>0</v>
      </c>
      <c r="O39" s="11"/>
      <c r="P39" s="6"/>
      <c r="Q39" s="2"/>
      <c r="R39" s="7">
        <f t="shared" si="18"/>
        <v>0</v>
      </c>
      <c r="S39" s="2"/>
      <c r="T39" s="6">
        <v>0</v>
      </c>
      <c r="U39" s="2"/>
      <c r="V39" s="7">
        <f t="shared" si="19"/>
        <v>0</v>
      </c>
      <c r="W39" s="2"/>
      <c r="X39" s="6">
        <f t="shared" si="20"/>
        <v>0</v>
      </c>
      <c r="Y39" s="2"/>
      <c r="Z39" s="7">
        <f t="shared" si="21"/>
        <v>0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1216.0999999999999</v>
      </c>
      <c r="E40" s="2"/>
      <c r="F40" s="7">
        <f t="shared" si="14"/>
        <v>0.25269925443226304</v>
      </c>
      <c r="G40" s="2"/>
      <c r="H40" s="6">
        <v>956.61308461538499</v>
      </c>
      <c r="I40" s="2"/>
      <c r="J40" s="7">
        <f t="shared" si="15"/>
        <v>7.358562189349116E-2</v>
      </c>
      <c r="K40" s="2"/>
      <c r="L40" s="6">
        <f t="shared" si="16"/>
        <v>259.48691538461492</v>
      </c>
      <c r="M40" s="2"/>
      <c r="N40" s="7">
        <f t="shared" si="17"/>
        <v>0.2712558709030663</v>
      </c>
      <c r="O40" s="11"/>
      <c r="P40" s="6">
        <v>15451.76</v>
      </c>
      <c r="Q40" s="2"/>
      <c r="R40" s="7">
        <f t="shared" si="18"/>
        <v>0.11665575109630705</v>
      </c>
      <c r="S40" s="2"/>
      <c r="T40" s="6">
        <v>12435.9701</v>
      </c>
      <c r="U40" s="2"/>
      <c r="V40" s="7">
        <f t="shared" si="19"/>
        <v>3.103460606468969E-2</v>
      </c>
      <c r="W40" s="2"/>
      <c r="X40" s="6">
        <f t="shared" si="20"/>
        <v>3015.7898999999998</v>
      </c>
      <c r="Y40" s="2"/>
      <c r="Z40" s="7">
        <f t="shared" si="21"/>
        <v>0.24250539971947985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738.5</v>
      </c>
      <c r="E41" s="2"/>
      <c r="F41" s="7">
        <f t="shared" si="14"/>
        <v>0.1534564586779264</v>
      </c>
      <c r="G41" s="2"/>
      <c r="H41" s="6">
        <v>444.93637692307698</v>
      </c>
      <c r="I41" s="2"/>
      <c r="J41" s="7">
        <f t="shared" si="15"/>
        <v>3.4225875147928998E-2</v>
      </c>
      <c r="K41" s="2"/>
      <c r="L41" s="6">
        <f t="shared" si="16"/>
        <v>293.56362307692302</v>
      </c>
      <c r="M41" s="2"/>
      <c r="N41" s="7">
        <f t="shared" si="17"/>
        <v>0.65978786699132019</v>
      </c>
      <c r="O41" s="11"/>
      <c r="P41" s="6">
        <v>9494.52</v>
      </c>
      <c r="Q41" s="2"/>
      <c r="R41" s="7">
        <f t="shared" si="18"/>
        <v>7.1680531013872159E-2</v>
      </c>
      <c r="S41" s="2"/>
      <c r="T41" s="6">
        <v>5729.4228999999996</v>
      </c>
      <c r="U41" s="2"/>
      <c r="V41" s="7">
        <f t="shared" si="19"/>
        <v>1.4298070938552031E-2</v>
      </c>
      <c r="W41" s="2"/>
      <c r="X41" s="6">
        <f t="shared" si="20"/>
        <v>3765.0971000000009</v>
      </c>
      <c r="Y41" s="2"/>
      <c r="Z41" s="7">
        <f t="shared" si="21"/>
        <v>0.6571511940583058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406.46</v>
      </c>
      <c r="E42" s="2"/>
      <c r="F42" s="7">
        <f t="shared" si="14"/>
        <v>8.4460273790426477E-2</v>
      </c>
      <c r="G42" s="2"/>
      <c r="H42" s="6"/>
      <c r="I42" s="2"/>
      <c r="J42" s="7">
        <f t="shared" si="15"/>
        <v>0</v>
      </c>
      <c r="K42" s="2"/>
      <c r="L42" s="6">
        <f t="shared" si="16"/>
        <v>406.46</v>
      </c>
      <c r="M42" s="2"/>
      <c r="N42" s="7">
        <f t="shared" si="17"/>
        <v>0</v>
      </c>
      <c r="O42" s="11"/>
      <c r="P42" s="6">
        <v>4121.6099999999997</v>
      </c>
      <c r="Q42" s="2"/>
      <c r="R42" s="7">
        <f t="shared" si="18"/>
        <v>3.1116811953851863E-2</v>
      </c>
      <c r="S42" s="2"/>
      <c r="T42" s="6"/>
      <c r="U42" s="2"/>
      <c r="V42" s="7">
        <f t="shared" si="19"/>
        <v>0</v>
      </c>
      <c r="W42" s="2"/>
      <c r="X42" s="6">
        <f t="shared" si="20"/>
        <v>4121.6099999999997</v>
      </c>
      <c r="Y42" s="2"/>
      <c r="Z42" s="7">
        <f t="shared" si="21"/>
        <v>0</v>
      </c>
    </row>
    <row r="43" spans="1:26" s="27" customFormat="1" outlineLevel="1" collapsed="1" x14ac:dyDescent="0.25">
      <c r="A43" s="25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14325.42</v>
      </c>
      <c r="E43" s="1"/>
      <c r="F43" s="5">
        <f t="shared" ref="F43:F53" si="22">IF(D$12=0,0,D43/D$12)</f>
        <v>2.9767477620500205</v>
      </c>
      <c r="G43" s="1"/>
      <c r="H43" s="1">
        <f>SUM(OSRRefH22_1x_0)</f>
        <v>10197.5085615385</v>
      </c>
      <c r="I43" s="1"/>
      <c r="J43" s="5">
        <f t="shared" ref="J43:J53" si="23">IF(H$12=0,0,H43/H$12)</f>
        <v>0.78442373550296152</v>
      </c>
      <c r="K43" s="1"/>
      <c r="L43" s="1">
        <f t="shared" ref="L43:L53" si="24">+D43-H43</f>
        <v>4127.9114384615004</v>
      </c>
      <c r="M43" s="1"/>
      <c r="N43" s="5">
        <f t="shared" ref="N43:N53" si="25">IF(H43=0,0,L43/H43)</f>
        <v>0.40479607480111024</v>
      </c>
      <c r="O43" s="13"/>
      <c r="P43" s="1">
        <f>SUM(OSRRefP22_1x_0)</f>
        <v>184511.34</v>
      </c>
      <c r="Q43" s="1"/>
      <c r="R43" s="5">
        <f t="shared" ref="R43:R53" si="26">IF(P$12=0,0,P43/P$12)</f>
        <v>1.3930004707221755</v>
      </c>
      <c r="S43" s="1"/>
      <c r="T43" s="1">
        <f>SUM(OSRRefT22_1x_0)</f>
        <v>132567.61129999999</v>
      </c>
      <c r="U43" s="1"/>
      <c r="V43" s="5">
        <f t="shared" ref="V43:V53" si="27">IF(T$12=0,0,T43/T$12)</f>
        <v>0.33082932497822626</v>
      </c>
      <c r="W43" s="1"/>
      <c r="X43" s="1">
        <f t="shared" ref="X43:X53" si="28">+P43-T43</f>
        <v>51943.728700000007</v>
      </c>
      <c r="Y43" s="1"/>
      <c r="Z43" s="5">
        <f t="shared" ref="Z43:Z53" si="29">IF(T43=0,0,X43/T43)</f>
        <v>0.39182820140321872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6"/>
      <c r="E44" s="2"/>
      <c r="F44" s="7">
        <f t="shared" si="22"/>
        <v>0</v>
      </c>
      <c r="G44" s="2"/>
      <c r="H44" s="6">
        <v>0</v>
      </c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1"/>
      <c r="P44" s="6"/>
      <c r="Q44" s="2"/>
      <c r="R44" s="7">
        <f t="shared" si="26"/>
        <v>0</v>
      </c>
      <c r="S44" s="2"/>
      <c r="T44" s="6">
        <v>0</v>
      </c>
      <c r="U44" s="2"/>
      <c r="V44" s="7">
        <f t="shared" si="27"/>
        <v>0</v>
      </c>
      <c r="W44" s="2"/>
      <c r="X44" s="6">
        <f t="shared" si="28"/>
        <v>0</v>
      </c>
      <c r="Y44" s="2"/>
      <c r="Z44" s="7">
        <f t="shared" si="29"/>
        <v>0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13915.64</v>
      </c>
      <c r="E45" s="2"/>
      <c r="F45" s="7">
        <f t="shared" si="22"/>
        <v>2.8915976095286382</v>
      </c>
      <c r="G45" s="2"/>
      <c r="H45" s="6">
        <v>10197.5085615385</v>
      </c>
      <c r="I45" s="2"/>
      <c r="J45" s="7">
        <f t="shared" si="23"/>
        <v>0.78442373550296152</v>
      </c>
      <c r="K45" s="2"/>
      <c r="L45" s="6">
        <f t="shared" si="24"/>
        <v>3718.1314384614998</v>
      </c>
      <c r="M45" s="2"/>
      <c r="N45" s="7">
        <f t="shared" si="25"/>
        <v>0.36461174962725845</v>
      </c>
      <c r="O45" s="11"/>
      <c r="P45" s="6">
        <v>176389.94</v>
      </c>
      <c r="Q45" s="2"/>
      <c r="R45" s="7">
        <f t="shared" si="26"/>
        <v>1.3316865481040694</v>
      </c>
      <c r="S45" s="2"/>
      <c r="T45" s="6">
        <v>132567.61129999999</v>
      </c>
      <c r="U45" s="2"/>
      <c r="V45" s="7">
        <f t="shared" si="27"/>
        <v>0.33082932497822626</v>
      </c>
      <c r="W45" s="2"/>
      <c r="X45" s="6">
        <f t="shared" si="28"/>
        <v>43822.328700000013</v>
      </c>
      <c r="Y45" s="2"/>
      <c r="Z45" s="7">
        <f t="shared" si="29"/>
        <v>0.33056587706653517</v>
      </c>
    </row>
    <row r="46" spans="1:26" s="24" customFormat="1" hidden="1" outlineLevel="2" x14ac:dyDescent="0.25">
      <c r="A46" s="26"/>
      <c r="B46" s="11" t="str">
        <f>CONCATENATE("          ", "6003", " - ", "STAFF HOURLY-9 MONTH")</f>
        <v xml:space="preserve">          6003 - STAFF HOURLY-9 MONTH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4" customFormat="1" hidden="1" outlineLevel="2" x14ac:dyDescent="0.25">
      <c r="A47" s="26"/>
      <c r="B47" s="11" t="str">
        <f>CONCATENATE("          ", "6004", " - ", "STAFF HOURLY")</f>
        <v xml:space="preserve">          6004 - STAFF HOURLY</v>
      </c>
      <c r="C47" s="11"/>
      <c r="D47" s="6"/>
      <c r="E47" s="2"/>
      <c r="F47" s="7">
        <f t="shared" si="22"/>
        <v>0</v>
      </c>
      <c r="G47" s="2"/>
      <c r="H47" s="6">
        <v>0</v>
      </c>
      <c r="I47" s="2"/>
      <c r="J47" s="7">
        <f t="shared" si="23"/>
        <v>0</v>
      </c>
      <c r="K47" s="2"/>
      <c r="L47" s="6">
        <f t="shared" si="24"/>
        <v>0</v>
      </c>
      <c r="M47" s="2"/>
      <c r="N47" s="7">
        <f t="shared" si="25"/>
        <v>0</v>
      </c>
      <c r="O47" s="11"/>
      <c r="P47" s="6"/>
      <c r="Q47" s="2"/>
      <c r="R47" s="7">
        <f t="shared" si="26"/>
        <v>0</v>
      </c>
      <c r="S47" s="2"/>
      <c r="T47" s="6">
        <v>0</v>
      </c>
      <c r="U47" s="2"/>
      <c r="V47" s="7">
        <f t="shared" si="27"/>
        <v>0</v>
      </c>
      <c r="W47" s="2"/>
      <c r="X47" s="6">
        <f t="shared" si="28"/>
        <v>0</v>
      </c>
      <c r="Y47" s="2"/>
      <c r="Z47" s="7">
        <f t="shared" si="29"/>
        <v>0</v>
      </c>
    </row>
    <row r="48" spans="1:26" s="24" customFormat="1" hidden="1" outlineLevel="2" x14ac:dyDescent="0.25">
      <c r="A48" s="26"/>
      <c r="B48" s="11" t="str">
        <f>CONCATENATE("          ", "6005", " - ", "TEMPORARY WAGES-HOURLY")</f>
        <v xml:space="preserve">          6005 - TEMPORARY WAGES-HOURLY</v>
      </c>
      <c r="C48" s="11"/>
      <c r="D48" s="6"/>
      <c r="E48" s="2"/>
      <c r="F48" s="7">
        <f t="shared" si="22"/>
        <v>0</v>
      </c>
      <c r="G48" s="2"/>
      <c r="H48" s="6">
        <v>0</v>
      </c>
      <c r="I48" s="2"/>
      <c r="J48" s="7">
        <f t="shared" si="23"/>
        <v>0</v>
      </c>
      <c r="K48" s="2"/>
      <c r="L48" s="6">
        <f t="shared" si="24"/>
        <v>0</v>
      </c>
      <c r="M48" s="2"/>
      <c r="N48" s="7">
        <f t="shared" si="25"/>
        <v>0</v>
      </c>
      <c r="O48" s="11"/>
      <c r="P48" s="6">
        <v>383.25</v>
      </c>
      <c r="Q48" s="2"/>
      <c r="R48" s="7">
        <f t="shared" si="26"/>
        <v>2.8934125696787731E-3</v>
      </c>
      <c r="S48" s="2"/>
      <c r="T48" s="6">
        <v>0</v>
      </c>
      <c r="U48" s="2"/>
      <c r="V48" s="7">
        <f t="shared" si="27"/>
        <v>0</v>
      </c>
      <c r="W48" s="2"/>
      <c r="X48" s="6">
        <f t="shared" si="28"/>
        <v>383.25</v>
      </c>
      <c r="Y48" s="2"/>
      <c r="Z48" s="7">
        <f t="shared" si="29"/>
        <v>0</v>
      </c>
    </row>
    <row r="49" spans="1:26" s="24" customFormat="1" hidden="1" outlineLevel="2" x14ac:dyDescent="0.25">
      <c r="A49" s="26"/>
      <c r="B49" s="11" t="str">
        <f>CONCATENATE("          ", "6006", " - ", "TEMPORARY PART TIME")</f>
        <v xml:space="preserve">          6006 - TEMPORARY PART TIME</v>
      </c>
      <c r="C49" s="11"/>
      <c r="D49" s="6"/>
      <c r="E49" s="2"/>
      <c r="F49" s="7">
        <f t="shared" si="22"/>
        <v>0</v>
      </c>
      <c r="G49" s="2"/>
      <c r="H49" s="6">
        <v>0</v>
      </c>
      <c r="I49" s="2"/>
      <c r="J49" s="7">
        <f t="shared" si="23"/>
        <v>0</v>
      </c>
      <c r="K49" s="2"/>
      <c r="L49" s="6">
        <f t="shared" si="24"/>
        <v>0</v>
      </c>
      <c r="M49" s="2"/>
      <c r="N49" s="7">
        <f t="shared" si="25"/>
        <v>0</v>
      </c>
      <c r="O49" s="11"/>
      <c r="P49" s="6"/>
      <c r="Q49" s="2"/>
      <c r="R49" s="7">
        <f t="shared" si="26"/>
        <v>0</v>
      </c>
      <c r="S49" s="2"/>
      <c r="T49" s="6">
        <v>0</v>
      </c>
      <c r="U49" s="2"/>
      <c r="V49" s="7">
        <f t="shared" si="27"/>
        <v>0</v>
      </c>
      <c r="W49" s="2"/>
      <c r="X49" s="6">
        <f t="shared" si="28"/>
        <v>0</v>
      </c>
      <c r="Y49" s="2"/>
      <c r="Z49" s="7">
        <f t="shared" si="29"/>
        <v>0</v>
      </c>
    </row>
    <row r="50" spans="1:26" s="24" customFormat="1" hidden="1" outlineLevel="2" x14ac:dyDescent="0.25">
      <c r="A50" s="26"/>
      <c r="B50" s="11" t="str">
        <f>CONCATENATE("          ", "6007", " - ", "STUDENT HOURLY")</f>
        <v xml:space="preserve">          6007 - STUDENT HOURLY</v>
      </c>
      <c r="C50" s="11"/>
      <c r="D50" s="6">
        <v>409.78</v>
      </c>
      <c r="E50" s="2"/>
      <c r="F50" s="7">
        <f t="shared" si="22"/>
        <v>8.5150152521382083E-2</v>
      </c>
      <c r="G50" s="2"/>
      <c r="H50" s="6">
        <v>0</v>
      </c>
      <c r="I50" s="2"/>
      <c r="J50" s="7">
        <f t="shared" si="23"/>
        <v>0</v>
      </c>
      <c r="K50" s="2"/>
      <c r="L50" s="6">
        <f t="shared" si="24"/>
        <v>409.78</v>
      </c>
      <c r="M50" s="2"/>
      <c r="N50" s="7">
        <f t="shared" si="25"/>
        <v>0</v>
      </c>
      <c r="O50" s="11"/>
      <c r="P50" s="6">
        <v>7738.15</v>
      </c>
      <c r="Q50" s="2"/>
      <c r="R50" s="7">
        <f t="shared" si="26"/>
        <v>5.8420510048427389E-2</v>
      </c>
      <c r="S50" s="2"/>
      <c r="T50" s="6">
        <v>0</v>
      </c>
      <c r="U50" s="2"/>
      <c r="V50" s="7">
        <f t="shared" si="27"/>
        <v>0</v>
      </c>
      <c r="W50" s="2"/>
      <c r="X50" s="6">
        <f t="shared" si="28"/>
        <v>7738.15</v>
      </c>
      <c r="Y50" s="2"/>
      <c r="Z50" s="7">
        <f t="shared" si="29"/>
        <v>0</v>
      </c>
    </row>
    <row r="51" spans="1:26" s="24" customFormat="1" hidden="1" outlineLevel="2" x14ac:dyDescent="0.25">
      <c r="A51" s="26"/>
      <c r="B51" s="11" t="str">
        <f>CONCATENATE("          ", "6008", " - ", "STUDENT HOURLY-FICA EXEMPT")</f>
        <v xml:space="preserve">          6008 - STUDENT HOURLY-FICA EXEMPT</v>
      </c>
      <c r="C51" s="11"/>
      <c r="D51" s="6"/>
      <c r="E51" s="2"/>
      <c r="F51" s="7">
        <f t="shared" si="22"/>
        <v>0</v>
      </c>
      <c r="G51" s="2"/>
      <c r="H51" s="6">
        <v>0</v>
      </c>
      <c r="I51" s="2"/>
      <c r="J51" s="7">
        <f t="shared" si="23"/>
        <v>0</v>
      </c>
      <c r="K51" s="2"/>
      <c r="L51" s="6">
        <f t="shared" si="24"/>
        <v>0</v>
      </c>
      <c r="M51" s="2"/>
      <c r="N51" s="7">
        <f t="shared" si="25"/>
        <v>0</v>
      </c>
      <c r="O51" s="11"/>
      <c r="P51" s="6"/>
      <c r="Q51" s="2"/>
      <c r="R51" s="7">
        <f t="shared" si="26"/>
        <v>0</v>
      </c>
      <c r="S51" s="2"/>
      <c r="T51" s="6">
        <v>0</v>
      </c>
      <c r="U51" s="2"/>
      <c r="V51" s="7">
        <f t="shared" si="27"/>
        <v>0</v>
      </c>
      <c r="W51" s="2"/>
      <c r="X51" s="6">
        <f t="shared" si="28"/>
        <v>0</v>
      </c>
      <c r="Y51" s="2"/>
      <c r="Z51" s="7">
        <f t="shared" si="29"/>
        <v>0</v>
      </c>
    </row>
    <row r="52" spans="1:26" s="24" customFormat="1" hidden="1" outlineLevel="2" x14ac:dyDescent="0.25">
      <c r="A52" s="26"/>
      <c r="B52" s="11" t="str">
        <f>CONCATENATE("          ", "6009", " - ", "TEMPORARY-SEASONAL")</f>
        <v xml:space="preserve">          6009 - TEMPORARY-SEASONAL</v>
      </c>
      <c r="C52" s="11"/>
      <c r="D52" s="6"/>
      <c r="E52" s="2"/>
      <c r="F52" s="7">
        <f t="shared" si="22"/>
        <v>0</v>
      </c>
      <c r="G52" s="2"/>
      <c r="H52" s="6">
        <v>0</v>
      </c>
      <c r="I52" s="2"/>
      <c r="J52" s="7">
        <f t="shared" si="23"/>
        <v>0</v>
      </c>
      <c r="K52" s="2"/>
      <c r="L52" s="6">
        <f t="shared" si="24"/>
        <v>0</v>
      </c>
      <c r="M52" s="2"/>
      <c r="N52" s="7">
        <f t="shared" si="25"/>
        <v>0</v>
      </c>
      <c r="O52" s="11"/>
      <c r="P52" s="6"/>
      <c r="Q52" s="2"/>
      <c r="R52" s="7">
        <f t="shared" si="26"/>
        <v>0</v>
      </c>
      <c r="S52" s="2"/>
      <c r="T52" s="6">
        <v>0</v>
      </c>
      <c r="U52" s="2"/>
      <c r="V52" s="7">
        <f t="shared" si="27"/>
        <v>0</v>
      </c>
      <c r="W52" s="2"/>
      <c r="X52" s="6">
        <f t="shared" si="28"/>
        <v>0</v>
      </c>
      <c r="Y52" s="2"/>
      <c r="Z52" s="7">
        <f t="shared" si="29"/>
        <v>0</v>
      </c>
    </row>
    <row r="53" spans="1:26" s="24" customFormat="1" hidden="1" outlineLevel="2" x14ac:dyDescent="0.25">
      <c r="A53" s="26"/>
      <c r="B53" s="11" t="str">
        <f>CONCATENATE("          ", "6010", " - ", "GRATUITY")</f>
        <v xml:space="preserve">          6010 - GRATUITY</v>
      </c>
      <c r="C53" s="11"/>
      <c r="D53" s="6"/>
      <c r="E53" s="2"/>
      <c r="F53" s="7">
        <f t="shared" si="22"/>
        <v>0</v>
      </c>
      <c r="G53" s="2"/>
      <c r="H53" s="6">
        <v>0</v>
      </c>
      <c r="I53" s="2"/>
      <c r="J53" s="7">
        <f t="shared" si="23"/>
        <v>0</v>
      </c>
      <c r="K53" s="2"/>
      <c r="L53" s="6">
        <f t="shared" si="24"/>
        <v>0</v>
      </c>
      <c r="M53" s="2"/>
      <c r="N53" s="7">
        <f t="shared" si="25"/>
        <v>0</v>
      </c>
      <c r="O53" s="11"/>
      <c r="P53" s="6"/>
      <c r="Q53" s="2"/>
      <c r="R53" s="7">
        <f t="shared" si="26"/>
        <v>0</v>
      </c>
      <c r="S53" s="2"/>
      <c r="T53" s="6">
        <v>0</v>
      </c>
      <c r="U53" s="2"/>
      <c r="V53" s="7">
        <f t="shared" si="27"/>
        <v>0</v>
      </c>
      <c r="W53" s="2"/>
      <c r="X53" s="6">
        <f t="shared" si="28"/>
        <v>0</v>
      </c>
      <c r="Y53" s="2"/>
      <c r="Z53" s="7">
        <f t="shared" si="29"/>
        <v>0</v>
      </c>
    </row>
    <row r="54" spans="1:26" s="27" customFormat="1" outlineLevel="1" collapsed="1" x14ac:dyDescent="0.25">
      <c r="A54" s="25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4" si="30">IF(D$12=0,0,D54/D$12)</f>
        <v>0</v>
      </c>
      <c r="G54" s="1"/>
      <c r="H54" s="1">
        <f>SUM(OSRRefH22_2x_0)</f>
        <v>50</v>
      </c>
      <c r="I54" s="1"/>
      <c r="J54" s="5">
        <f t="shared" ref="J54:J64" si="31">IF(H$12=0,0,H54/H$12)</f>
        <v>3.8461538461538464E-3</v>
      </c>
      <c r="K54" s="1"/>
      <c r="L54" s="1">
        <f t="shared" ref="L54:L64" si="32">+D54-H54</f>
        <v>-50</v>
      </c>
      <c r="M54" s="1"/>
      <c r="N54" s="5">
        <f t="shared" ref="N54:N64" si="33">IF(H54=0,0,L54/H54)</f>
        <v>-1</v>
      </c>
      <c r="O54" s="13"/>
      <c r="P54" s="1">
        <f>SUM(OSRRefP22_2x_0)</f>
        <v>0</v>
      </c>
      <c r="Q54" s="1"/>
      <c r="R54" s="5">
        <f t="shared" ref="R54:R64" si="34">IF(P$12=0,0,P54/P$12)</f>
        <v>0</v>
      </c>
      <c r="S54" s="1"/>
      <c r="T54" s="1">
        <f>SUM(OSRRefT22_2x_0)</f>
        <v>600</v>
      </c>
      <c r="U54" s="1"/>
      <c r="V54" s="5">
        <f t="shared" ref="V54:V64" si="35">IF(T$12=0,0,T54/T$12)</f>
        <v>1.4973310074791683E-3</v>
      </c>
      <c r="W54" s="1"/>
      <c r="X54" s="1">
        <f t="shared" ref="X54:X64" si="36">+P54-T54</f>
        <v>-600</v>
      </c>
      <c r="Y54" s="1"/>
      <c r="Z54" s="5">
        <f t="shared" ref="Z54:Z64" si="37">IF(T54=0,0,X54/T54)</f>
        <v>-1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6"/>
      <c r="E55" s="2"/>
      <c r="F55" s="7">
        <f t="shared" si="30"/>
        <v>0</v>
      </c>
      <c r="G55" s="2"/>
      <c r="H55" s="6">
        <v>50</v>
      </c>
      <c r="I55" s="2"/>
      <c r="J55" s="7">
        <f t="shared" si="31"/>
        <v>3.8461538461538464E-3</v>
      </c>
      <c r="K55" s="2"/>
      <c r="L55" s="6">
        <f t="shared" si="32"/>
        <v>-50</v>
      </c>
      <c r="M55" s="2"/>
      <c r="N55" s="7">
        <f t="shared" si="33"/>
        <v>-1</v>
      </c>
      <c r="O55" s="11"/>
      <c r="P55" s="6"/>
      <c r="Q55" s="2"/>
      <c r="R55" s="7">
        <f t="shared" si="34"/>
        <v>0</v>
      </c>
      <c r="S55" s="2"/>
      <c r="T55" s="6">
        <v>600</v>
      </c>
      <c r="U55" s="2"/>
      <c r="V55" s="7">
        <f t="shared" si="35"/>
        <v>1.4973310074791683E-3</v>
      </c>
      <c r="W55" s="2"/>
      <c r="X55" s="6">
        <f t="shared" si="36"/>
        <v>-600</v>
      </c>
      <c r="Y55" s="2"/>
      <c r="Z55" s="7">
        <f t="shared" si="37"/>
        <v>-1</v>
      </c>
    </row>
    <row r="56" spans="1:26" s="27" customFormat="1" outlineLevel="1" collapsed="1" x14ac:dyDescent="0.25">
      <c r="A56" s="25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169.92</v>
      </c>
      <c r="E56" s="1"/>
      <c r="F56" s="5">
        <f t="shared" si="30"/>
        <v>3.5308492157824306E-2</v>
      </c>
      <c r="G56" s="1"/>
      <c r="H56" s="1">
        <f>SUM(OSRRefH22_3x_0)</f>
        <v>170</v>
      </c>
      <c r="I56" s="1"/>
      <c r="J56" s="5">
        <f t="shared" si="31"/>
        <v>1.3076923076923076E-2</v>
      </c>
      <c r="K56" s="1"/>
      <c r="L56" s="1">
        <f t="shared" si="32"/>
        <v>-8.0000000000012506E-2</v>
      </c>
      <c r="M56" s="1"/>
      <c r="N56" s="5">
        <f t="shared" si="33"/>
        <v>-4.7058823529419122E-4</v>
      </c>
      <c r="O56" s="13"/>
      <c r="P56" s="1">
        <f>SUM(OSRRefP22_3x_0)</f>
        <v>2038.6</v>
      </c>
      <c r="Q56" s="1"/>
      <c r="R56" s="5">
        <f t="shared" si="34"/>
        <v>1.5390765465224126E-2</v>
      </c>
      <c r="S56" s="1"/>
      <c r="T56" s="1">
        <f>SUM(OSRRefT22_3x_0)</f>
        <v>2040</v>
      </c>
      <c r="U56" s="1"/>
      <c r="V56" s="5">
        <f t="shared" si="35"/>
        <v>5.0909254254291724E-3</v>
      </c>
      <c r="W56" s="1"/>
      <c r="X56" s="1">
        <f t="shared" si="36"/>
        <v>-1.4000000000000909</v>
      </c>
      <c r="Y56" s="1"/>
      <c r="Z56" s="5">
        <f t="shared" si="37"/>
        <v>-6.8627450980396614E-4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169.92</v>
      </c>
      <c r="E57" s="2"/>
      <c r="F57" s="7">
        <f t="shared" si="30"/>
        <v>3.5308492157824306E-2</v>
      </c>
      <c r="G57" s="2"/>
      <c r="H57" s="6">
        <v>170</v>
      </c>
      <c r="I57" s="2"/>
      <c r="J57" s="7">
        <f t="shared" si="31"/>
        <v>1.3076923076923076E-2</v>
      </c>
      <c r="K57" s="2"/>
      <c r="L57" s="6">
        <f t="shared" si="32"/>
        <v>-8.0000000000012506E-2</v>
      </c>
      <c r="M57" s="2"/>
      <c r="N57" s="7">
        <f t="shared" si="33"/>
        <v>-4.7058823529419122E-4</v>
      </c>
      <c r="O57" s="11"/>
      <c r="P57" s="6">
        <v>2038.6</v>
      </c>
      <c r="Q57" s="2"/>
      <c r="R57" s="7">
        <f t="shared" si="34"/>
        <v>1.5390765465224126E-2</v>
      </c>
      <c r="S57" s="2"/>
      <c r="T57" s="6">
        <v>2040</v>
      </c>
      <c r="U57" s="2"/>
      <c r="V57" s="7">
        <f t="shared" si="35"/>
        <v>5.0909254254291724E-3</v>
      </c>
      <c r="W57" s="2"/>
      <c r="X57" s="6">
        <f t="shared" si="36"/>
        <v>-1.4000000000000909</v>
      </c>
      <c r="Y57" s="2"/>
      <c r="Z57" s="7">
        <f t="shared" si="37"/>
        <v>-6.8627450980396614E-4</v>
      </c>
    </row>
    <row r="58" spans="1:26" s="27" customFormat="1" outlineLevel="1" collapsed="1" x14ac:dyDescent="0.25">
      <c r="A58" s="25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0</v>
      </c>
      <c r="E58" s="1"/>
      <c r="F58" s="5">
        <f t="shared" si="30"/>
        <v>0</v>
      </c>
      <c r="G58" s="1"/>
      <c r="H58" s="1">
        <f>SUM(OSRRefH22_4x_0)</f>
        <v>50</v>
      </c>
      <c r="I58" s="1"/>
      <c r="J58" s="5">
        <f t="shared" si="31"/>
        <v>3.8461538461538464E-3</v>
      </c>
      <c r="K58" s="1"/>
      <c r="L58" s="1">
        <f t="shared" si="32"/>
        <v>-50</v>
      </c>
      <c r="M58" s="1"/>
      <c r="N58" s="5">
        <f t="shared" si="33"/>
        <v>-1</v>
      </c>
      <c r="O58" s="13"/>
      <c r="P58" s="1">
        <f>SUM(OSRRefP22_4x_0)</f>
        <v>0</v>
      </c>
      <c r="Q58" s="1"/>
      <c r="R58" s="5">
        <f t="shared" si="34"/>
        <v>0</v>
      </c>
      <c r="S58" s="1"/>
      <c r="T58" s="1">
        <f>SUM(OSRRefT22_4x_0)</f>
        <v>600</v>
      </c>
      <c r="U58" s="1"/>
      <c r="V58" s="5">
        <f t="shared" si="35"/>
        <v>1.4973310074791683E-3</v>
      </c>
      <c r="W58" s="1"/>
      <c r="X58" s="1">
        <f t="shared" si="36"/>
        <v>-600</v>
      </c>
      <c r="Y58" s="1"/>
      <c r="Z58" s="5">
        <f t="shared" si="37"/>
        <v>-1</v>
      </c>
    </row>
    <row r="59" spans="1:26" s="24" customFormat="1" hidden="1" outlineLevel="2" x14ac:dyDescent="0.25">
      <c r="A59" s="26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30"/>
        <v>0</v>
      </c>
      <c r="G59" s="2"/>
      <c r="H59" s="6">
        <v>50</v>
      </c>
      <c r="I59" s="2"/>
      <c r="J59" s="7">
        <f t="shared" si="31"/>
        <v>3.8461538461538464E-3</v>
      </c>
      <c r="K59" s="2"/>
      <c r="L59" s="6">
        <f t="shared" si="32"/>
        <v>-50</v>
      </c>
      <c r="M59" s="2"/>
      <c r="N59" s="7">
        <f t="shared" si="33"/>
        <v>-1</v>
      </c>
      <c r="O59" s="11"/>
      <c r="P59" s="6">
        <v>0</v>
      </c>
      <c r="Q59" s="2"/>
      <c r="R59" s="7">
        <f t="shared" si="34"/>
        <v>0</v>
      </c>
      <c r="S59" s="2"/>
      <c r="T59" s="6">
        <v>600</v>
      </c>
      <c r="U59" s="2"/>
      <c r="V59" s="7">
        <f t="shared" si="35"/>
        <v>1.4973310074791683E-3</v>
      </c>
      <c r="W59" s="2"/>
      <c r="X59" s="6">
        <f t="shared" si="36"/>
        <v>-600</v>
      </c>
      <c r="Y59" s="2"/>
      <c r="Z59" s="7">
        <f t="shared" si="37"/>
        <v>-1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SUM(OSRRefD22_5x_0)</f>
        <v>1205.6400000000001</v>
      </c>
      <c r="E60" s="1"/>
      <c r="F60" s="5">
        <f t="shared" si="30"/>
        <v>0.25052572084015595</v>
      </c>
      <c r="G60" s="1"/>
      <c r="H60" s="1">
        <f>SUM(OSRRefH22_5x_0)</f>
        <v>1206</v>
      </c>
      <c r="I60" s="1"/>
      <c r="J60" s="5">
        <f t="shared" si="31"/>
        <v>9.276923076923077E-2</v>
      </c>
      <c r="K60" s="1"/>
      <c r="L60" s="1">
        <f t="shared" si="32"/>
        <v>-0.35999999999989996</v>
      </c>
      <c r="M60" s="1"/>
      <c r="N60" s="5">
        <f t="shared" si="33"/>
        <v>-2.9850746268648423E-4</v>
      </c>
      <c r="O60" s="13"/>
      <c r="P60" s="1">
        <f>SUM(OSRRefP22_5x_0)</f>
        <v>14467.68</v>
      </c>
      <c r="Q60" s="1"/>
      <c r="R60" s="5">
        <f t="shared" si="34"/>
        <v>0.1092262678828185</v>
      </c>
      <c r="S60" s="1"/>
      <c r="T60" s="1">
        <f>SUM(OSRRefT22_5x_0)</f>
        <v>14472</v>
      </c>
      <c r="U60" s="1"/>
      <c r="V60" s="5">
        <f t="shared" si="35"/>
        <v>3.6115623900397541E-2</v>
      </c>
      <c r="W60" s="1"/>
      <c r="X60" s="1">
        <f t="shared" si="36"/>
        <v>-4.319999999999709</v>
      </c>
      <c r="Y60" s="1"/>
      <c r="Z60" s="5">
        <f t="shared" si="37"/>
        <v>-2.9850746268654706E-4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1205.6400000000001</v>
      </c>
      <c r="E61" s="2"/>
      <c r="F61" s="7">
        <f t="shared" si="30"/>
        <v>0.25052572084015595</v>
      </c>
      <c r="G61" s="2"/>
      <c r="H61" s="6">
        <v>1206</v>
      </c>
      <c r="I61" s="2"/>
      <c r="J61" s="7">
        <f t="shared" si="31"/>
        <v>9.276923076923077E-2</v>
      </c>
      <c r="K61" s="2"/>
      <c r="L61" s="6">
        <f t="shared" si="32"/>
        <v>-0.35999999999989996</v>
      </c>
      <c r="M61" s="2"/>
      <c r="N61" s="7">
        <f t="shared" si="33"/>
        <v>-2.9850746268648423E-4</v>
      </c>
      <c r="O61" s="11"/>
      <c r="P61" s="6">
        <v>14467.68</v>
      </c>
      <c r="Q61" s="2"/>
      <c r="R61" s="7">
        <f t="shared" si="34"/>
        <v>0.1092262678828185</v>
      </c>
      <c r="S61" s="2"/>
      <c r="T61" s="6">
        <v>14472</v>
      </c>
      <c r="U61" s="2"/>
      <c r="V61" s="7">
        <f t="shared" si="35"/>
        <v>3.6115623900397541E-2</v>
      </c>
      <c r="W61" s="2"/>
      <c r="X61" s="6">
        <f t="shared" si="36"/>
        <v>-4.319999999999709</v>
      </c>
      <c r="Y61" s="2"/>
      <c r="Z61" s="7">
        <f t="shared" si="37"/>
        <v>-2.9850746268654706E-4</v>
      </c>
    </row>
    <row r="62" spans="1:26" s="27" customFormat="1" outlineLevel="1" collapsed="1" x14ac:dyDescent="0.25">
      <c r="A62" s="25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SUM(OSRRefD22_6x_0)</f>
        <v>-7826.5199999999995</v>
      </c>
      <c r="E62" s="1"/>
      <c r="F62" s="5">
        <f t="shared" si="30"/>
        <v>-1.6263101462044203</v>
      </c>
      <c r="G62" s="1"/>
      <c r="H62" s="1">
        <f>SUM(OSRRefH22_6x_0)</f>
        <v>-1000</v>
      </c>
      <c r="I62" s="1"/>
      <c r="J62" s="5">
        <f t="shared" si="31"/>
        <v>-7.6923076923076927E-2</v>
      </c>
      <c r="K62" s="1"/>
      <c r="L62" s="1">
        <f t="shared" si="32"/>
        <v>-6826.5199999999995</v>
      </c>
      <c r="M62" s="1"/>
      <c r="N62" s="5">
        <f t="shared" si="33"/>
        <v>6.8265199999999995</v>
      </c>
      <c r="O62" s="13"/>
      <c r="P62" s="1">
        <f>SUM(OSRRefP22_6x_0)</f>
        <v>-104296.18999999997</v>
      </c>
      <c r="Q62" s="1"/>
      <c r="R62" s="5">
        <f t="shared" si="34"/>
        <v>-0.78740223643993601</v>
      </c>
      <c r="S62" s="1"/>
      <c r="T62" s="1">
        <f>SUM(OSRRefT22_6x_0)</f>
        <v>7168</v>
      </c>
      <c r="U62" s="1"/>
      <c r="V62" s="5">
        <f t="shared" si="35"/>
        <v>1.7888114436017798E-2</v>
      </c>
      <c r="W62" s="1"/>
      <c r="X62" s="1">
        <f t="shared" si="36"/>
        <v>-111464.18999999997</v>
      </c>
      <c r="Y62" s="1"/>
      <c r="Z62" s="5">
        <f t="shared" si="37"/>
        <v>-15.550249720982139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6">
        <v>7003.44</v>
      </c>
      <c r="E63" s="2"/>
      <c r="F63" s="7">
        <f t="shared" si="30"/>
        <v>1.4552784034710045</v>
      </c>
      <c r="G63" s="2"/>
      <c r="H63" s="6">
        <v>1000</v>
      </c>
      <c r="I63" s="2"/>
      <c r="J63" s="7">
        <f t="shared" si="31"/>
        <v>7.6923076923076927E-2</v>
      </c>
      <c r="K63" s="2"/>
      <c r="L63" s="6">
        <f t="shared" si="32"/>
        <v>6003.44</v>
      </c>
      <c r="M63" s="2"/>
      <c r="N63" s="7">
        <f t="shared" si="33"/>
        <v>6.0034399999999994</v>
      </c>
      <c r="O63" s="11"/>
      <c r="P63" s="6">
        <v>204791.35</v>
      </c>
      <c r="Q63" s="2"/>
      <c r="R63" s="7">
        <f t="shared" si="34"/>
        <v>1.5461079354246183</v>
      </c>
      <c r="S63" s="2"/>
      <c r="T63" s="6">
        <v>38710</v>
      </c>
      <c r="U63" s="2"/>
      <c r="V63" s="7">
        <f t="shared" si="35"/>
        <v>9.6602805499197683E-2</v>
      </c>
      <c r="W63" s="2"/>
      <c r="X63" s="6">
        <f t="shared" si="36"/>
        <v>166081.35</v>
      </c>
      <c r="Y63" s="2"/>
      <c r="Z63" s="7">
        <f t="shared" si="37"/>
        <v>4.2903991216739863</v>
      </c>
    </row>
    <row r="64" spans="1:26" s="24" customFormat="1" hidden="1" outlineLevel="2" x14ac:dyDescent="0.25">
      <c r="A64" s="26"/>
      <c r="B64" s="11" t="str">
        <f>CONCATENATE("          ", "6307", " - ", "POSTAGE")</f>
        <v xml:space="preserve">          6307 - POSTAGE</v>
      </c>
      <c r="C64" s="11"/>
      <c r="D64" s="6">
        <v>-14829.96</v>
      </c>
      <c r="E64" s="2"/>
      <c r="F64" s="7">
        <f t="shared" si="30"/>
        <v>-3.0815885496754247</v>
      </c>
      <c r="G64" s="2"/>
      <c r="H64" s="6">
        <v>-2000</v>
      </c>
      <c r="I64" s="2"/>
      <c r="J64" s="7">
        <f t="shared" si="31"/>
        <v>-0.15384615384615385</v>
      </c>
      <c r="K64" s="2"/>
      <c r="L64" s="6">
        <f t="shared" si="32"/>
        <v>-12829.96</v>
      </c>
      <c r="M64" s="2"/>
      <c r="N64" s="7">
        <f t="shared" si="33"/>
        <v>6.4149799999999999</v>
      </c>
      <c r="O64" s="11"/>
      <c r="P64" s="6">
        <v>-309087.53999999998</v>
      </c>
      <c r="Q64" s="2"/>
      <c r="R64" s="7">
        <f t="shared" si="34"/>
        <v>-2.3335101718645546</v>
      </c>
      <c r="S64" s="2"/>
      <c r="T64" s="6">
        <v>-31542</v>
      </c>
      <c r="U64" s="2"/>
      <c r="V64" s="7">
        <f t="shared" si="35"/>
        <v>-7.8714691063179881E-2</v>
      </c>
      <c r="W64" s="2"/>
      <c r="X64" s="6">
        <f t="shared" si="36"/>
        <v>-277545.53999999998</v>
      </c>
      <c r="Y64" s="2"/>
      <c r="Z64" s="7">
        <f t="shared" si="37"/>
        <v>8.799237207532812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SUM(OSRRefD22_7x_0)</f>
        <v>2435.08</v>
      </c>
      <c r="E65" s="1"/>
      <c r="F65" s="5">
        <f t="shared" ref="F65:F68" si="38">IF(D$12=0,0,D65/D$12)</f>
        <v>0.50599695788415022</v>
      </c>
      <c r="G65" s="1"/>
      <c r="H65" s="1">
        <f>SUM(OSRRefH22_7x_0)</f>
        <v>2500</v>
      </c>
      <c r="I65" s="1"/>
      <c r="J65" s="5">
        <f t="shared" ref="J65:J68" si="39">IF(H$12=0,0,H65/H$12)</f>
        <v>0.19230769230769232</v>
      </c>
      <c r="K65" s="1"/>
      <c r="L65" s="1">
        <f t="shared" ref="L65:L68" si="40">+D65-H65</f>
        <v>-64.920000000000073</v>
      </c>
      <c r="M65" s="1"/>
      <c r="N65" s="5">
        <f t="shared" ref="N65:N68" si="41">IF(H65=0,0,L65/H65)</f>
        <v>-2.5968000000000029E-2</v>
      </c>
      <c r="O65" s="13"/>
      <c r="P65" s="1">
        <f>SUM(OSRRefP22_7x_0)</f>
        <v>37311.89</v>
      </c>
      <c r="Q65" s="1"/>
      <c r="R65" s="5">
        <f t="shared" ref="R65:R68" si="42">IF(P$12=0,0,P65/P$12)</f>
        <v>0.28169260671747348</v>
      </c>
      <c r="S65" s="1"/>
      <c r="T65" s="1">
        <f>SUM(OSRRefT22_7x_0)</f>
        <v>65000</v>
      </c>
      <c r="U65" s="1"/>
      <c r="V65" s="5">
        <f t="shared" ref="V65:V68" si="43">IF(T$12=0,0,T65/T$12)</f>
        <v>0.16221085914357658</v>
      </c>
      <c r="W65" s="1"/>
      <c r="X65" s="1">
        <f t="shared" ref="X65:X68" si="44">+P65-T65</f>
        <v>-27688.11</v>
      </c>
      <c r="Y65" s="1"/>
      <c r="Z65" s="5">
        <f t="shared" ref="Z65:Z68" si="45">IF(T65=0,0,X65/T65)</f>
        <v>-0.42597092307692308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1"/>
      <c r="P66" s="6">
        <v>7.69</v>
      </c>
      <c r="Q66" s="2"/>
      <c r="R66" s="7">
        <f t="shared" si="42"/>
        <v>5.8056993244174205E-5</v>
      </c>
      <c r="S66" s="2"/>
      <c r="T66" s="6"/>
      <c r="U66" s="2"/>
      <c r="V66" s="7">
        <f t="shared" si="43"/>
        <v>0</v>
      </c>
      <c r="W66" s="2"/>
      <c r="X66" s="6">
        <f t="shared" si="44"/>
        <v>7.69</v>
      </c>
      <c r="Y66" s="2"/>
      <c r="Z66" s="7">
        <f t="shared" si="45"/>
        <v>0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720.33</v>
      </c>
      <c r="E67" s="2"/>
      <c r="F67" s="7">
        <f t="shared" si="38"/>
        <v>0.14968082718953382</v>
      </c>
      <c r="G67" s="2"/>
      <c r="H67" s="6">
        <v>2500</v>
      </c>
      <c r="I67" s="2"/>
      <c r="J67" s="7">
        <f t="shared" si="39"/>
        <v>0.19230769230769232</v>
      </c>
      <c r="K67" s="2"/>
      <c r="L67" s="6">
        <f t="shared" si="40"/>
        <v>-1779.67</v>
      </c>
      <c r="M67" s="2"/>
      <c r="N67" s="7">
        <f t="shared" si="41"/>
        <v>-0.71186800000000006</v>
      </c>
      <c r="O67" s="11"/>
      <c r="P67" s="6">
        <v>32072.67</v>
      </c>
      <c r="Q67" s="2"/>
      <c r="R67" s="7">
        <f t="shared" si="42"/>
        <v>0.24213820357771504</v>
      </c>
      <c r="S67" s="2"/>
      <c r="T67" s="6">
        <v>65000</v>
      </c>
      <c r="U67" s="2"/>
      <c r="V67" s="7">
        <f t="shared" si="43"/>
        <v>0.16221085914357658</v>
      </c>
      <c r="W67" s="2"/>
      <c r="X67" s="6">
        <f t="shared" si="44"/>
        <v>-32927.33</v>
      </c>
      <c r="Y67" s="2"/>
      <c r="Z67" s="7">
        <f t="shared" si="45"/>
        <v>-0.50657430769230771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1714.75</v>
      </c>
      <c r="E68" s="2"/>
      <c r="F68" s="7">
        <f t="shared" si="38"/>
        <v>0.35631613069461648</v>
      </c>
      <c r="G68" s="2"/>
      <c r="H68" s="6"/>
      <c r="I68" s="2"/>
      <c r="J68" s="7">
        <f t="shared" si="39"/>
        <v>0</v>
      </c>
      <c r="K68" s="2"/>
      <c r="L68" s="6">
        <f t="shared" si="40"/>
        <v>1714.75</v>
      </c>
      <c r="M68" s="2"/>
      <c r="N68" s="7">
        <f t="shared" si="41"/>
        <v>0</v>
      </c>
      <c r="O68" s="11"/>
      <c r="P68" s="6">
        <v>5231.53</v>
      </c>
      <c r="Q68" s="2"/>
      <c r="R68" s="7">
        <f t="shared" si="42"/>
        <v>3.9496346146514261E-2</v>
      </c>
      <c r="S68" s="2"/>
      <c r="T68" s="6"/>
      <c r="U68" s="2"/>
      <c r="V68" s="7">
        <f t="shared" si="43"/>
        <v>0</v>
      </c>
      <c r="W68" s="2"/>
      <c r="X68" s="6">
        <f t="shared" si="44"/>
        <v>5231.53</v>
      </c>
      <c r="Y68" s="2"/>
      <c r="Z68" s="7">
        <f t="shared" si="45"/>
        <v>0</v>
      </c>
    </row>
    <row r="69" spans="1:26" s="27" customFormat="1" outlineLevel="1" collapsed="1" x14ac:dyDescent="0.25">
      <c r="A69" s="25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SUM(OSRRefD22_8x_0)</f>
        <v>2549.25</v>
      </c>
      <c r="E69" s="1"/>
      <c r="F69" s="5">
        <f t="shared" ref="F69:F78" si="46">IF(D$12=0,0,D69/D$12)</f>
        <v>0.52972089002668088</v>
      </c>
      <c r="G69" s="1"/>
      <c r="H69" s="1">
        <f>SUM(OSRRefH22_8x_0)</f>
        <v>900</v>
      </c>
      <c r="I69" s="1"/>
      <c r="J69" s="5">
        <f t="shared" ref="J69:J78" si="47">IF(H$12=0,0,H69/H$12)</f>
        <v>6.9230769230769235E-2</v>
      </c>
      <c r="K69" s="1"/>
      <c r="L69" s="1">
        <f t="shared" ref="L69:L78" si="48">+D69-H69</f>
        <v>1649.25</v>
      </c>
      <c r="M69" s="1"/>
      <c r="N69" s="5">
        <f t="shared" ref="N69:N78" si="49">IF(H69=0,0,L69/H69)</f>
        <v>1.8325</v>
      </c>
      <c r="O69" s="13"/>
      <c r="P69" s="1">
        <f>SUM(OSRRefP22_8x_0)</f>
        <v>16177.12</v>
      </c>
      <c r="Q69" s="1"/>
      <c r="R69" s="5">
        <f t="shared" ref="R69:R78" si="50">IF(P$12=0,0,P69/P$12)</f>
        <v>0.1221319826463193</v>
      </c>
      <c r="S69" s="1"/>
      <c r="T69" s="1">
        <f>SUM(OSRRefT22_8x_0)</f>
        <v>36150</v>
      </c>
      <c r="U69" s="1"/>
      <c r="V69" s="5">
        <f t="shared" ref="V69:V78" si="51">IF(T$12=0,0,T69/T$12)</f>
        <v>9.0214193200619894E-2</v>
      </c>
      <c r="W69" s="1"/>
      <c r="X69" s="1">
        <f t="shared" ref="X69:X78" si="52">+P69-T69</f>
        <v>-19972.879999999997</v>
      </c>
      <c r="Y69" s="1"/>
      <c r="Z69" s="5">
        <f t="shared" ref="Z69:Z78" si="53">IF(T69=0,0,X69/T69)</f>
        <v>-0.55250013831258638</v>
      </c>
    </row>
    <row r="70" spans="1:26" s="24" customFormat="1" hidden="1" outlineLevel="2" x14ac:dyDescent="0.25">
      <c r="A70" s="26"/>
      <c r="B70" s="11" t="str">
        <f>CONCATENATE("          ", "6259", " - ", "ROYALTY &amp; COMMISSIONS")</f>
        <v xml:space="preserve">          6259 - ROYALTY &amp; COMMISSIONS</v>
      </c>
      <c r="C70" s="11"/>
      <c r="D70" s="6">
        <v>2549.25</v>
      </c>
      <c r="E70" s="2"/>
      <c r="F70" s="7">
        <f t="shared" si="46"/>
        <v>0.52972089002668088</v>
      </c>
      <c r="G70" s="2"/>
      <c r="H70" s="6">
        <v>900</v>
      </c>
      <c r="I70" s="2"/>
      <c r="J70" s="7">
        <f t="shared" si="47"/>
        <v>6.9230769230769235E-2</v>
      </c>
      <c r="K70" s="2"/>
      <c r="L70" s="6">
        <f t="shared" si="48"/>
        <v>1649.25</v>
      </c>
      <c r="M70" s="2"/>
      <c r="N70" s="7">
        <f t="shared" si="49"/>
        <v>1.8325</v>
      </c>
      <c r="O70" s="11"/>
      <c r="P70" s="6">
        <v>16177.12</v>
      </c>
      <c r="Q70" s="2"/>
      <c r="R70" s="7">
        <f t="shared" si="50"/>
        <v>0.1221319826463193</v>
      </c>
      <c r="S70" s="2"/>
      <c r="T70" s="6">
        <v>36150</v>
      </c>
      <c r="U70" s="2"/>
      <c r="V70" s="7">
        <f t="shared" si="51"/>
        <v>9.0214193200619894E-2</v>
      </c>
      <c r="W70" s="2"/>
      <c r="X70" s="6">
        <f t="shared" si="52"/>
        <v>-19972.879999999997</v>
      </c>
      <c r="Y70" s="2"/>
      <c r="Z70" s="7">
        <f t="shared" si="53"/>
        <v>-0.55250013831258638</v>
      </c>
    </row>
    <row r="71" spans="1:26" s="27" customFormat="1" outlineLevel="1" collapsed="1" x14ac:dyDescent="0.25">
      <c r="A71" s="25"/>
      <c r="B71" s="13" t="str">
        <f>CONCATENATE("     ","Subscriptions &amp; Dues                              ")</f>
        <v xml:space="preserve">     Subscriptions &amp; Dues                              </v>
      </c>
      <c r="C71" s="13"/>
      <c r="D71" s="1">
        <f>SUM(OSRRefD22_9x_0)</f>
        <v>0</v>
      </c>
      <c r="E71" s="1"/>
      <c r="F71" s="5">
        <f t="shared" si="46"/>
        <v>0</v>
      </c>
      <c r="G71" s="1"/>
      <c r="H71" s="1">
        <f>SUM(OSRRefH22_9x_0)</f>
        <v>0</v>
      </c>
      <c r="I71" s="1"/>
      <c r="J71" s="5">
        <f t="shared" si="47"/>
        <v>0</v>
      </c>
      <c r="K71" s="1"/>
      <c r="L71" s="1">
        <f t="shared" si="48"/>
        <v>0</v>
      </c>
      <c r="M71" s="1"/>
      <c r="N71" s="5">
        <f t="shared" si="49"/>
        <v>0</v>
      </c>
      <c r="O71" s="13"/>
      <c r="P71" s="1">
        <f>SUM(OSRRefP22_9x_0)</f>
        <v>31.75</v>
      </c>
      <c r="Q71" s="1"/>
      <c r="R71" s="5">
        <f t="shared" si="50"/>
        <v>2.3970215026040715E-4</v>
      </c>
      <c r="S71" s="1"/>
      <c r="T71" s="1">
        <f>SUM(OSRRefT22_9x_0)</f>
        <v>0</v>
      </c>
      <c r="U71" s="1"/>
      <c r="V71" s="5">
        <f t="shared" si="51"/>
        <v>0</v>
      </c>
      <c r="W71" s="1"/>
      <c r="X71" s="1">
        <f t="shared" si="52"/>
        <v>31.75</v>
      </c>
      <c r="Y71" s="1"/>
      <c r="Z71" s="5">
        <f t="shared" si="53"/>
        <v>0</v>
      </c>
    </row>
    <row r="72" spans="1:26" s="24" customFormat="1" hidden="1" outlineLevel="2" x14ac:dyDescent="0.25">
      <c r="A72" s="26"/>
      <c r="B72" s="11" t="str">
        <f>CONCATENATE("          ", "6258", " - ", "MEMBERSHIP DUES")</f>
        <v xml:space="preserve">          6258 - MEMBERSHIP DUES</v>
      </c>
      <c r="C72" s="11"/>
      <c r="D72" s="6"/>
      <c r="E72" s="2"/>
      <c r="F72" s="7">
        <f t="shared" si="46"/>
        <v>0</v>
      </c>
      <c r="G72" s="2"/>
      <c r="H72" s="6"/>
      <c r="I72" s="2"/>
      <c r="J72" s="7">
        <f t="shared" si="47"/>
        <v>0</v>
      </c>
      <c r="K72" s="2"/>
      <c r="L72" s="6">
        <f t="shared" si="48"/>
        <v>0</v>
      </c>
      <c r="M72" s="2"/>
      <c r="N72" s="7">
        <f t="shared" si="49"/>
        <v>0</v>
      </c>
      <c r="O72" s="11"/>
      <c r="P72" s="6">
        <v>31.75</v>
      </c>
      <c r="Q72" s="2"/>
      <c r="R72" s="7">
        <f t="shared" si="50"/>
        <v>2.3970215026040715E-4</v>
      </c>
      <c r="S72" s="2"/>
      <c r="T72" s="6"/>
      <c r="U72" s="2"/>
      <c r="V72" s="7">
        <f t="shared" si="51"/>
        <v>0</v>
      </c>
      <c r="W72" s="2"/>
      <c r="X72" s="6">
        <f t="shared" si="52"/>
        <v>31.75</v>
      </c>
      <c r="Y72" s="2"/>
      <c r="Z72" s="7">
        <f t="shared" si="53"/>
        <v>0</v>
      </c>
    </row>
    <row r="73" spans="1:26" s="27" customFormat="1" outlineLevel="1" collapsed="1" x14ac:dyDescent="0.25">
      <c r="A73" s="25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SUM(OSRRefD22_10x_0)</f>
        <v>9540.7799999999988</v>
      </c>
      <c r="E73" s="1"/>
      <c r="F73" s="5">
        <f t="shared" si="46"/>
        <v>1.9825244574477812</v>
      </c>
      <c r="G73" s="1"/>
      <c r="H73" s="1">
        <f>SUM(OSRRefH22_10x_0)</f>
        <v>1600</v>
      </c>
      <c r="I73" s="1"/>
      <c r="J73" s="5">
        <f t="shared" si="47"/>
        <v>0.12307692307692308</v>
      </c>
      <c r="K73" s="1"/>
      <c r="L73" s="1">
        <f t="shared" si="48"/>
        <v>7940.7799999999988</v>
      </c>
      <c r="M73" s="1"/>
      <c r="N73" s="5">
        <f t="shared" si="49"/>
        <v>4.9629874999999997</v>
      </c>
      <c r="O73" s="13"/>
      <c r="P73" s="1">
        <f>SUM(OSRRefP22_10x_0)</f>
        <v>51967.22</v>
      </c>
      <c r="Q73" s="1"/>
      <c r="R73" s="5">
        <f t="shared" si="50"/>
        <v>0.39233557093088617</v>
      </c>
      <c r="S73" s="1"/>
      <c r="T73" s="1">
        <f>SUM(OSRRefT22_10x_0)</f>
        <v>31450</v>
      </c>
      <c r="U73" s="1"/>
      <c r="V73" s="5">
        <f t="shared" si="51"/>
        <v>7.8485100308699748E-2</v>
      </c>
      <c r="W73" s="1"/>
      <c r="X73" s="1">
        <f t="shared" si="52"/>
        <v>20517.22</v>
      </c>
      <c r="Y73" s="1"/>
      <c r="Z73" s="5">
        <f t="shared" si="53"/>
        <v>0.6523758346581876</v>
      </c>
    </row>
    <row r="74" spans="1:26" s="24" customFormat="1" hidden="1" outlineLevel="2" x14ac:dyDescent="0.25">
      <c r="A74" s="26"/>
      <c r="B74" s="11" t="str">
        <f>CONCATENATE("          ", "6235", " - ", "COVID-19 EXPENSES")</f>
        <v xml:space="preserve">          6235 - COVID-19 EXPENSES</v>
      </c>
      <c r="C74" s="11"/>
      <c r="D74" s="6"/>
      <c r="E74" s="2"/>
      <c r="F74" s="7">
        <f t="shared" si="46"/>
        <v>0</v>
      </c>
      <c r="G74" s="2"/>
      <c r="H74" s="6"/>
      <c r="I74" s="2"/>
      <c r="J74" s="7">
        <f t="shared" si="47"/>
        <v>0</v>
      </c>
      <c r="K74" s="2"/>
      <c r="L74" s="6">
        <f t="shared" si="48"/>
        <v>0</v>
      </c>
      <c r="M74" s="2"/>
      <c r="N74" s="7">
        <f t="shared" si="49"/>
        <v>0</v>
      </c>
      <c r="O74" s="11"/>
      <c r="P74" s="6">
        <v>310.91000000000003</v>
      </c>
      <c r="Q74" s="2"/>
      <c r="R74" s="7">
        <f t="shared" si="50"/>
        <v>2.3472691507862424E-3</v>
      </c>
      <c r="S74" s="2"/>
      <c r="T74" s="6"/>
      <c r="U74" s="2"/>
      <c r="V74" s="7">
        <f t="shared" si="51"/>
        <v>0</v>
      </c>
      <c r="W74" s="2"/>
      <c r="X74" s="6">
        <f t="shared" si="52"/>
        <v>310.91000000000003</v>
      </c>
      <c r="Y74" s="2"/>
      <c r="Z74" s="7">
        <f t="shared" si="53"/>
        <v>0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6">
        <v>56.39</v>
      </c>
      <c r="E75" s="2"/>
      <c r="F75" s="7">
        <f t="shared" si="46"/>
        <v>1.1717548686321286E-2</v>
      </c>
      <c r="G75" s="2"/>
      <c r="H75" s="6"/>
      <c r="I75" s="2"/>
      <c r="J75" s="7">
        <f t="shared" si="47"/>
        <v>0</v>
      </c>
      <c r="K75" s="2"/>
      <c r="L75" s="6">
        <f t="shared" si="48"/>
        <v>56.39</v>
      </c>
      <c r="M75" s="2"/>
      <c r="N75" s="7">
        <f t="shared" si="49"/>
        <v>0</v>
      </c>
      <c r="O75" s="11"/>
      <c r="P75" s="6">
        <v>4732.3999999999996</v>
      </c>
      <c r="Q75" s="2"/>
      <c r="R75" s="7">
        <f t="shared" si="50"/>
        <v>3.5728077350940184E-2</v>
      </c>
      <c r="S75" s="2"/>
      <c r="T75" s="6"/>
      <c r="U75" s="2"/>
      <c r="V75" s="7">
        <f t="shared" si="51"/>
        <v>0</v>
      </c>
      <c r="W75" s="2"/>
      <c r="X75" s="6">
        <f t="shared" si="52"/>
        <v>4732.3999999999996</v>
      </c>
      <c r="Y75" s="2"/>
      <c r="Z75" s="7">
        <f t="shared" si="53"/>
        <v>0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6">
        <v>548.02</v>
      </c>
      <c r="E76" s="2"/>
      <c r="F76" s="7">
        <f t="shared" si="46"/>
        <v>0.11387570546334085</v>
      </c>
      <c r="G76" s="2"/>
      <c r="H76" s="6">
        <v>1300</v>
      </c>
      <c r="I76" s="2"/>
      <c r="J76" s="7">
        <f t="shared" si="47"/>
        <v>0.1</v>
      </c>
      <c r="K76" s="2"/>
      <c r="L76" s="6">
        <f t="shared" si="48"/>
        <v>-751.98</v>
      </c>
      <c r="M76" s="2"/>
      <c r="N76" s="7">
        <f t="shared" si="49"/>
        <v>-0.57844615384615383</v>
      </c>
      <c r="O76" s="11"/>
      <c r="P76" s="6">
        <v>7230.6</v>
      </c>
      <c r="Q76" s="2"/>
      <c r="R76" s="7">
        <f t="shared" si="50"/>
        <v>5.4588672997571655E-2</v>
      </c>
      <c r="S76" s="2"/>
      <c r="T76" s="6">
        <v>27700</v>
      </c>
      <c r="U76" s="2"/>
      <c r="V76" s="7">
        <f t="shared" si="51"/>
        <v>6.9126781511954935E-2</v>
      </c>
      <c r="W76" s="2"/>
      <c r="X76" s="6">
        <f t="shared" si="52"/>
        <v>-20469.400000000001</v>
      </c>
      <c r="Y76" s="2"/>
      <c r="Z76" s="7">
        <f t="shared" si="53"/>
        <v>-0.73896750902527086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>
        <v>2921.89</v>
      </c>
      <c r="E77" s="2"/>
      <c r="F77" s="7">
        <f t="shared" si="46"/>
        <v>0.60715354373249331</v>
      </c>
      <c r="G77" s="2"/>
      <c r="H77" s="6">
        <v>200</v>
      </c>
      <c r="I77" s="2"/>
      <c r="J77" s="7">
        <f t="shared" si="47"/>
        <v>1.5384615384615385E-2</v>
      </c>
      <c r="K77" s="2"/>
      <c r="L77" s="6">
        <f t="shared" si="48"/>
        <v>2721.89</v>
      </c>
      <c r="M77" s="2"/>
      <c r="N77" s="7">
        <f t="shared" si="49"/>
        <v>13.609449999999999</v>
      </c>
      <c r="O77" s="11"/>
      <c r="P77" s="6">
        <v>11937.61</v>
      </c>
      <c r="Q77" s="2"/>
      <c r="R77" s="7">
        <f t="shared" si="50"/>
        <v>9.0125064125043758E-2</v>
      </c>
      <c r="S77" s="2"/>
      <c r="T77" s="6">
        <v>2500</v>
      </c>
      <c r="U77" s="2"/>
      <c r="V77" s="7">
        <f t="shared" si="51"/>
        <v>6.2388791978298681E-3</v>
      </c>
      <c r="W77" s="2"/>
      <c r="X77" s="6">
        <f t="shared" si="52"/>
        <v>9437.61</v>
      </c>
      <c r="Y77" s="2"/>
      <c r="Z77" s="7">
        <f t="shared" si="53"/>
        <v>3.7750440000000003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>
        <v>6014.48</v>
      </c>
      <c r="E78" s="2"/>
      <c r="F78" s="7">
        <f t="shared" si="46"/>
        <v>1.2497776595656258</v>
      </c>
      <c r="G78" s="2"/>
      <c r="H78" s="6">
        <v>100</v>
      </c>
      <c r="I78" s="2"/>
      <c r="J78" s="7">
        <f t="shared" si="47"/>
        <v>7.6923076923076927E-3</v>
      </c>
      <c r="K78" s="2"/>
      <c r="L78" s="6">
        <f t="shared" si="48"/>
        <v>5914.48</v>
      </c>
      <c r="M78" s="2"/>
      <c r="N78" s="7">
        <f t="shared" si="49"/>
        <v>59.144799999999996</v>
      </c>
      <c r="O78" s="11"/>
      <c r="P78" s="6">
        <v>27755.7</v>
      </c>
      <c r="Q78" s="2"/>
      <c r="R78" s="7">
        <f t="shared" si="50"/>
        <v>0.20954648730654435</v>
      </c>
      <c r="S78" s="2"/>
      <c r="T78" s="6">
        <v>1250</v>
      </c>
      <c r="U78" s="2"/>
      <c r="V78" s="7">
        <f t="shared" si="51"/>
        <v>3.119439598914934E-3</v>
      </c>
      <c r="W78" s="2"/>
      <c r="X78" s="6">
        <f t="shared" si="52"/>
        <v>26505.7</v>
      </c>
      <c r="Y78" s="2"/>
      <c r="Z78" s="7">
        <f t="shared" si="53"/>
        <v>21.204560000000001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SUM(OSRRefD22_11x_0)</f>
        <v>234.25</v>
      </c>
      <c r="E79" s="1"/>
      <c r="F79" s="5">
        <f t="shared" ref="F79:F82" si="54">IF(D$12=0,0,D79/D$12)</f>
        <v>4.8675931544081591E-2</v>
      </c>
      <c r="G79" s="1"/>
      <c r="H79" s="1">
        <f>SUM(OSRRefH22_11x_0)</f>
        <v>165</v>
      </c>
      <c r="I79" s="1"/>
      <c r="J79" s="5">
        <f t="shared" ref="J79:J82" si="55">IF(H$12=0,0,H79/H$12)</f>
        <v>1.2692307692307692E-2</v>
      </c>
      <c r="K79" s="1"/>
      <c r="L79" s="1">
        <f t="shared" ref="L79:L82" si="56">+D79-H79</f>
        <v>69.25</v>
      </c>
      <c r="M79" s="1"/>
      <c r="N79" s="5">
        <f t="shared" ref="N79:N82" si="57">IF(H79=0,0,L79/H79)</f>
        <v>0.41969696969696968</v>
      </c>
      <c r="O79" s="13"/>
      <c r="P79" s="1">
        <f>SUM(OSRRefP22_11x_0)</f>
        <v>1977.6</v>
      </c>
      <c r="Q79" s="1"/>
      <c r="R79" s="5">
        <f t="shared" ref="R79:R82" si="58">IF(P$12=0,0,P79/P$12)</f>
        <v>1.4930235349763185E-2</v>
      </c>
      <c r="S79" s="1"/>
      <c r="T79" s="1">
        <f>SUM(OSRRefT22_11x_0)</f>
        <v>1980</v>
      </c>
      <c r="U79" s="1"/>
      <c r="V79" s="5">
        <f t="shared" ref="V79:V82" si="59">IF(T$12=0,0,T79/T$12)</f>
        <v>4.9411923246812555E-3</v>
      </c>
      <c r="W79" s="1"/>
      <c r="X79" s="1">
        <f t="shared" ref="X79:X82" si="60">+P79-T79</f>
        <v>-2.4000000000000909</v>
      </c>
      <c r="Y79" s="1"/>
      <c r="Z79" s="5">
        <f t="shared" ref="Z79:Z82" si="61">IF(T79=0,0,X79/T79)</f>
        <v>-1.2121212121212581E-3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234.25</v>
      </c>
      <c r="E80" s="2"/>
      <c r="F80" s="7">
        <f t="shared" si="54"/>
        <v>4.8675931544081591E-2</v>
      </c>
      <c r="G80" s="2"/>
      <c r="H80" s="6">
        <v>165</v>
      </c>
      <c r="I80" s="2"/>
      <c r="J80" s="7">
        <f t="shared" si="55"/>
        <v>1.2692307692307692E-2</v>
      </c>
      <c r="K80" s="2"/>
      <c r="L80" s="6">
        <f t="shared" si="56"/>
        <v>69.25</v>
      </c>
      <c r="M80" s="2"/>
      <c r="N80" s="7">
        <f t="shared" si="57"/>
        <v>0.41969696969696968</v>
      </c>
      <c r="O80" s="11"/>
      <c r="P80" s="6">
        <v>1977.6</v>
      </c>
      <c r="Q80" s="2"/>
      <c r="R80" s="7">
        <f t="shared" si="58"/>
        <v>1.4930235349763185E-2</v>
      </c>
      <c r="S80" s="2"/>
      <c r="T80" s="6">
        <v>1980</v>
      </c>
      <c r="U80" s="2"/>
      <c r="V80" s="7">
        <f t="shared" si="59"/>
        <v>4.9411923246812555E-3</v>
      </c>
      <c r="W80" s="2"/>
      <c r="X80" s="6">
        <f t="shared" si="60"/>
        <v>-2.4000000000000909</v>
      </c>
      <c r="Y80" s="2"/>
      <c r="Z80" s="7">
        <f t="shared" si="61"/>
        <v>-1.2121212121212581E-3</v>
      </c>
    </row>
    <row r="81" spans="1:26" s="27" customFormat="1" outlineLevel="1" collapsed="1" x14ac:dyDescent="0.25">
      <c r="A81" s="25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SUM(OSRRefD22_12x_0)</f>
        <v>0</v>
      </c>
      <c r="E81" s="1"/>
      <c r="F81" s="5">
        <f t="shared" si="54"/>
        <v>0</v>
      </c>
      <c r="G81" s="1"/>
      <c r="H81" s="1">
        <f>SUM(OSRRefH22_12x_0)</f>
        <v>0</v>
      </c>
      <c r="I81" s="1"/>
      <c r="J81" s="5">
        <f t="shared" si="55"/>
        <v>0</v>
      </c>
      <c r="K81" s="1"/>
      <c r="L81" s="1">
        <f t="shared" si="56"/>
        <v>0</v>
      </c>
      <c r="M81" s="1"/>
      <c r="N81" s="5">
        <f t="shared" si="57"/>
        <v>0</v>
      </c>
      <c r="O81" s="13"/>
      <c r="P81" s="1">
        <f>SUM(OSRRefP22_12x_0)</f>
        <v>15.02</v>
      </c>
      <c r="Q81" s="1"/>
      <c r="R81" s="5">
        <f t="shared" si="58"/>
        <v>1.1339610383972647E-4</v>
      </c>
      <c r="S81" s="1"/>
      <c r="T81" s="1">
        <f>SUM(OSRRefT22_12x_0)</f>
        <v>0</v>
      </c>
      <c r="U81" s="1"/>
      <c r="V81" s="5">
        <f t="shared" si="59"/>
        <v>0</v>
      </c>
      <c r="W81" s="1"/>
      <c r="X81" s="1">
        <f t="shared" si="60"/>
        <v>15.02</v>
      </c>
      <c r="Y81" s="1"/>
      <c r="Z81" s="5">
        <f t="shared" si="61"/>
        <v>0</v>
      </c>
    </row>
    <row r="82" spans="1:26" s="24" customFormat="1" hidden="1" outlineLevel="2" x14ac:dyDescent="0.25">
      <c r="A82" s="26"/>
      <c r="B82" s="11" t="str">
        <f>CONCATENATE("          ", "6274", " - ", "UTILITIES")</f>
        <v xml:space="preserve">          6274 - UTILITIES</v>
      </c>
      <c r="C82" s="11"/>
      <c r="D82" s="6"/>
      <c r="E82" s="2"/>
      <c r="F82" s="7">
        <f t="shared" si="54"/>
        <v>0</v>
      </c>
      <c r="G82" s="2"/>
      <c r="H82" s="6"/>
      <c r="I82" s="2"/>
      <c r="J82" s="7">
        <f t="shared" si="55"/>
        <v>0</v>
      </c>
      <c r="K82" s="2"/>
      <c r="L82" s="6">
        <f t="shared" si="56"/>
        <v>0</v>
      </c>
      <c r="M82" s="2"/>
      <c r="N82" s="7">
        <f t="shared" si="57"/>
        <v>0</v>
      </c>
      <c r="O82" s="11"/>
      <c r="P82" s="6">
        <v>15.02</v>
      </c>
      <c r="Q82" s="2"/>
      <c r="R82" s="7">
        <f t="shared" si="58"/>
        <v>1.1339610383972647E-4</v>
      </c>
      <c r="S82" s="2"/>
      <c r="T82" s="6"/>
      <c r="U82" s="2"/>
      <c r="V82" s="7">
        <f t="shared" si="59"/>
        <v>0</v>
      </c>
      <c r="W82" s="2"/>
      <c r="X82" s="6">
        <f t="shared" si="60"/>
        <v>15.02</v>
      </c>
      <c r="Y82" s="2"/>
      <c r="Z82" s="7">
        <f t="shared" si="61"/>
        <v>0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9" t="s">
        <v>293</v>
      </c>
      <c r="C84" s="10"/>
      <c r="D84" s="4">
        <f>SUM(OSRRefD25x_0)</f>
        <v>16577.560000000001</v>
      </c>
      <c r="E84" s="4"/>
      <c r="F84" s="12">
        <f t="shared" ref="F84:F86" si="62">IF(D$12=0,0,D84/D$12)</f>
        <v>3.4447307395001294</v>
      </c>
      <c r="G84" s="4"/>
      <c r="H84" s="4">
        <f>SUM(OSRRefH25x_0)</f>
        <v>6875</v>
      </c>
      <c r="I84" s="4"/>
      <c r="J84" s="12">
        <f t="shared" ref="J84:J86" si="63">IF(H$12=0,0,H84/H$12)</f>
        <v>0.52884615384615385</v>
      </c>
      <c r="K84" s="4"/>
      <c r="L84" s="4">
        <f t="shared" ref="L84:L86" si="64">+D84-H84</f>
        <v>9702.5600000000013</v>
      </c>
      <c r="M84" s="4"/>
      <c r="N84" s="12">
        <f t="shared" ref="N84:N86" si="65">IF(H84=0,0,L84/H84)</f>
        <v>1.4112814545454548</v>
      </c>
      <c r="O84" s="10"/>
      <c r="P84" s="4">
        <f>SUM(OSRRefP25x_0)</f>
        <v>91179.56</v>
      </c>
      <c r="Q84" s="4"/>
      <c r="R84" s="12">
        <f t="shared" ref="R84:R86" si="66">IF(P$12=0,0,P84/P$12)</f>
        <v>0.68837595564717513</v>
      </c>
      <c r="S84" s="4"/>
      <c r="T84" s="4">
        <f>SUM(OSRRefT25x_0)</f>
        <v>82500</v>
      </c>
      <c r="U84" s="4"/>
      <c r="V84" s="12">
        <f t="shared" ref="V84:V86" si="67">IF(T$12=0,0,T84/T$12)</f>
        <v>0.20588301352838564</v>
      </c>
      <c r="W84" s="4"/>
      <c r="X84" s="4">
        <f t="shared" ref="X84:X86" si="68">+P84-T84</f>
        <v>8679.5599999999977</v>
      </c>
      <c r="Y84" s="4"/>
      <c r="Z84" s="12">
        <f t="shared" ref="Z84:Z86" si="69">IF(T84=0,0,X84/T84)</f>
        <v>0.10520678787878784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--16577.56</f>
        <v>16577.560000000001</v>
      </c>
      <c r="E85" s="2"/>
      <c r="F85" s="19">
        <f t="shared" si="62"/>
        <v>3.4447307395001294</v>
      </c>
      <c r="G85" s="2"/>
      <c r="H85" s="2">
        <v>6875</v>
      </c>
      <c r="I85" s="2"/>
      <c r="J85" s="19">
        <f t="shared" si="63"/>
        <v>0.52884615384615385</v>
      </c>
      <c r="K85" s="2"/>
      <c r="L85" s="2">
        <f t="shared" si="64"/>
        <v>9702.5600000000013</v>
      </c>
      <c r="M85" s="2"/>
      <c r="N85" s="19">
        <f t="shared" si="65"/>
        <v>1.4112814545454548</v>
      </c>
      <c r="O85" s="11"/>
      <c r="P85" s="2">
        <f>--91179.56</f>
        <v>91179.56</v>
      </c>
      <c r="Q85" s="2"/>
      <c r="R85" s="19">
        <f t="shared" si="66"/>
        <v>0.68837595564717513</v>
      </c>
      <c r="S85" s="2"/>
      <c r="T85" s="2">
        <v>82500</v>
      </c>
      <c r="U85" s="2"/>
      <c r="V85" s="19">
        <f t="shared" si="67"/>
        <v>0.20588301352838564</v>
      </c>
      <c r="W85" s="2"/>
      <c r="X85" s="2">
        <f t="shared" si="68"/>
        <v>8679.5599999999977</v>
      </c>
      <c r="Y85" s="2"/>
      <c r="Z85" s="19">
        <f t="shared" si="69"/>
        <v>0.10520678787878784</v>
      </c>
    </row>
    <row r="86" spans="1:26" s="24" customFormat="1" hidden="1" outlineLevel="1" x14ac:dyDescent="0.25">
      <c r="A86" s="44"/>
      <c r="B86" s="11" t="str">
        <f>CONCATENATE("          ", "9163", " - ", "MISC. INCOME")</f>
        <v xml:space="preserve">          9163 - MISC. INCOME</v>
      </c>
      <c r="C86" s="11"/>
      <c r="D86" s="2">
        <f>0</f>
        <v>0</v>
      </c>
      <c r="E86" s="2"/>
      <c r="F86" s="19">
        <f t="shared" si="62"/>
        <v>0</v>
      </c>
      <c r="G86" s="2"/>
      <c r="H86" s="2"/>
      <c r="I86" s="2"/>
      <c r="J86" s="19">
        <f t="shared" si="63"/>
        <v>0</v>
      </c>
      <c r="K86" s="2"/>
      <c r="L86" s="2">
        <f t="shared" si="64"/>
        <v>0</v>
      </c>
      <c r="M86" s="2"/>
      <c r="N86" s="19">
        <f t="shared" si="65"/>
        <v>0</v>
      </c>
      <c r="O86" s="11"/>
      <c r="P86" s="2">
        <f>0</f>
        <v>0</v>
      </c>
      <c r="Q86" s="2"/>
      <c r="R86" s="19">
        <f t="shared" si="66"/>
        <v>0</v>
      </c>
      <c r="S86" s="2"/>
      <c r="T86" s="2"/>
      <c r="U86" s="2"/>
      <c r="V86" s="19">
        <f t="shared" si="67"/>
        <v>0</v>
      </c>
      <c r="W86" s="2"/>
      <c r="X86" s="2">
        <f t="shared" si="68"/>
        <v>0</v>
      </c>
      <c r="Y86" s="2"/>
      <c r="Z86" s="19">
        <f t="shared" si="69"/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8" t="s">
        <v>277</v>
      </c>
      <c r="C88" s="28"/>
      <c r="D88" s="20">
        <f>+D30-D32+D84</f>
        <v>-11056.999999999996</v>
      </c>
      <c r="E88" s="14"/>
      <c r="F88" s="22">
        <f>IF(D$12=0,0,D88/D$12)</f>
        <v>-2.2975870868000428</v>
      </c>
      <c r="G88" s="14"/>
      <c r="H88" s="20">
        <f>+H30-H32+H84</f>
        <v>-2551.3249412423429</v>
      </c>
      <c r="I88" s="14"/>
      <c r="J88" s="22">
        <f>IF(H$12=0,0,H88/H$12)</f>
        <v>-0.19625576471094947</v>
      </c>
      <c r="K88" s="16"/>
      <c r="L88" s="20">
        <f>+D88-H88</f>
        <v>-8505.6750587576535</v>
      </c>
      <c r="M88" s="16"/>
      <c r="N88" s="22">
        <f>IF(H88=0,0,L88/H88)</f>
        <v>3.3338266409201087</v>
      </c>
      <c r="O88" s="29"/>
      <c r="P88" s="20">
        <f>+P30-P32+P84</f>
        <v>-94371.32</v>
      </c>
      <c r="Q88" s="14"/>
      <c r="R88" s="22">
        <f>IF(P$12=0,0,P88/P$12)</f>
        <v>-0.71247270320985723</v>
      </c>
      <c r="S88" s="14"/>
      <c r="T88" s="20">
        <f>+T30-T32+T84</f>
        <v>110476.74429035001</v>
      </c>
      <c r="U88" s="14"/>
      <c r="V88" s="22">
        <f>IF(T$12=0,0,T88/T$12)</f>
        <v>0.27570042471881373</v>
      </c>
      <c r="W88" s="16"/>
      <c r="X88" s="20">
        <f>+P88-T88</f>
        <v>-204848.06429035001</v>
      </c>
      <c r="Y88" s="16"/>
      <c r="Z88" s="22">
        <f>IF(T88=0,0,X88/T88)</f>
        <v>-1.854218872996271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128</v>
      </c>
      <c r="C90" s="10"/>
      <c r="D90" s="4">
        <v>9386.9</v>
      </c>
      <c r="E90" s="4"/>
      <c r="F90" s="12">
        <f>IF(D$12=0,0,D90/D$12)</f>
        <v>1.9505489938575857</v>
      </c>
      <c r="G90" s="4"/>
      <c r="H90" s="4">
        <v>-3866</v>
      </c>
      <c r="I90" s="4"/>
      <c r="J90" s="12">
        <f>IF(H$12=0,0,H90/H$12)</f>
        <v>-0.29738461538461536</v>
      </c>
      <c r="K90" s="4"/>
      <c r="L90" s="4">
        <f>+D90-H90</f>
        <v>13252.9</v>
      </c>
      <c r="M90" s="4"/>
      <c r="N90" s="12">
        <f>IF(H90=0,0,L90/H90)</f>
        <v>-3.4280651836523539</v>
      </c>
      <c r="O90" s="10"/>
      <c r="P90" s="4">
        <v>36663.129999999997</v>
      </c>
      <c r="Q90" s="4"/>
      <c r="R90" s="12">
        <f>IF(P$12=0,0,P90/P$12)</f>
        <v>0.27679468019769576</v>
      </c>
      <c r="S90" s="4"/>
      <c r="T90" s="4">
        <v>67710</v>
      </c>
      <c r="U90" s="4"/>
      <c r="V90" s="12">
        <f>IF(T$12=0,0,T90/T$12)</f>
        <v>0.16897380419402416</v>
      </c>
      <c r="W90" s="4"/>
      <c r="X90" s="4">
        <f>+P90-T90</f>
        <v>-31046.870000000003</v>
      </c>
      <c r="Y90" s="4"/>
      <c r="Z90" s="12">
        <f>IF(T90=0,0,X90/T90)</f>
        <v>-0.45852710087136322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126</v>
      </c>
      <c r="C92" s="28"/>
      <c r="D92" s="34">
        <f>+D88-D90</f>
        <v>-20443.899999999994</v>
      </c>
      <c r="E92" s="14"/>
      <c r="F92" s="35">
        <f>IF(D$12=0,0,D92/D$12)</f>
        <v>-4.2481360806576278</v>
      </c>
      <c r="G92" s="14"/>
      <c r="H92" s="34">
        <f>+H88-H90</f>
        <v>1314.6750587576571</v>
      </c>
      <c r="I92" s="14"/>
      <c r="J92" s="35">
        <f>IF(H$12=0,0,H92/H$12)</f>
        <v>0.10112885067366593</v>
      </c>
      <c r="K92" s="16"/>
      <c r="L92" s="34">
        <f>D92-H92</f>
        <v>-21758.575058757651</v>
      </c>
      <c r="M92" s="16"/>
      <c r="N92" s="35">
        <f>IF(H92=0,0,L92/H92)</f>
        <v>-16.550534608391438</v>
      </c>
      <c r="O92" s="29"/>
      <c r="P92" s="34">
        <f>+P88-P90</f>
        <v>-131034.45000000001</v>
      </c>
      <c r="Q92" s="14"/>
      <c r="R92" s="35">
        <f>IF(P$12=0,0,P92/P$12)</f>
        <v>-0.98926738340755305</v>
      </c>
      <c r="S92" s="14"/>
      <c r="T92" s="34">
        <f>+T88-T90</f>
        <v>42766.744290350005</v>
      </c>
      <c r="U92" s="14"/>
      <c r="V92" s="35">
        <f>IF(T$12=0,0,T92/T$12)</f>
        <v>0.10672662052478958</v>
      </c>
      <c r="W92" s="16"/>
      <c r="X92" s="34">
        <f>P92-T92</f>
        <v>-173801.19429035002</v>
      </c>
      <c r="Y92" s="16"/>
      <c r="Z92" s="35">
        <f>IF(T92=0,0,X92/T92)</f>
        <v>-4.0639332540814186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294</v>
      </c>
      <c r="C95" s="28"/>
      <c r="D95" s="33">
        <f>SUM(D92:D94)</f>
        <v>-20443.899999999994</v>
      </c>
      <c r="E95" s="14"/>
      <c r="F95" s="31">
        <f>IF(D$12=0,0,D95/D$12)</f>
        <v>-4.2481360806576278</v>
      </c>
      <c r="G95" s="14"/>
      <c r="H95" s="33">
        <f>SUM(H92:H94)</f>
        <v>1314.6750587576571</v>
      </c>
      <c r="I95" s="14"/>
      <c r="J95" s="31">
        <f>IF(H$12=0,0,H95/H$12)</f>
        <v>0.10112885067366593</v>
      </c>
      <c r="K95" s="16"/>
      <c r="L95" s="33">
        <f>+D95-H95</f>
        <v>-21758.575058757651</v>
      </c>
      <c r="M95" s="16"/>
      <c r="N95" s="31">
        <f>IF(H95=0,0,L95/H95)</f>
        <v>-16.550534608391438</v>
      </c>
      <c r="O95" s="29"/>
      <c r="P95" s="33">
        <f>SUM(P92:P94)</f>
        <v>-131034.45000000001</v>
      </c>
      <c r="Q95" s="14"/>
      <c r="R95" s="31">
        <f>IF(P$12=0,0,P95/P$12)</f>
        <v>-0.98926738340755305</v>
      </c>
      <c r="S95" s="14"/>
      <c r="T95" s="33">
        <f>SUM(T92:T94)</f>
        <v>42766.744290350005</v>
      </c>
      <c r="U95" s="14"/>
      <c r="V95" s="31">
        <f>IF(T$12=0,0,T95/T$12)</f>
        <v>0.10672662052478958</v>
      </c>
      <c r="W95" s="16"/>
      <c r="X95" s="33">
        <f>+P95-T95</f>
        <v>-173801.19429035002</v>
      </c>
      <c r="Y95" s="16"/>
      <c r="Z95" s="31">
        <f>IF(T95=0,0,X95/T95)</f>
        <v>-4.0639332540814186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6">
        <v>44454.686057905092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5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3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4812.4399999999996</v>
      </c>
      <c r="E12" s="4"/>
      <c r="F12" s="12"/>
      <c r="G12" s="4"/>
      <c r="H12" s="4">
        <f>SUM(OSRRefH13x_0)</f>
        <v>13000</v>
      </c>
      <c r="I12" s="4"/>
      <c r="J12" s="12"/>
      <c r="K12" s="4"/>
      <c r="L12" s="4">
        <f t="shared" ref="L12:L24" si="0">+D12-H12</f>
        <v>-8187.56</v>
      </c>
      <c r="M12" s="4"/>
      <c r="N12" s="12">
        <f t="shared" ref="N12:N24" si="1">IF(H12=0,0,L12/H12)</f>
        <v>-0.62981230769230767</v>
      </c>
      <c r="O12" s="10"/>
      <c r="P12" s="4">
        <f>SUM(OSRRefP13x_0)</f>
        <v>132456.04999999999</v>
      </c>
      <c r="Q12" s="4"/>
      <c r="R12" s="12"/>
      <c r="S12" s="4"/>
      <c r="T12" s="4">
        <f>SUM(OSRRefT13x_0)</f>
        <v>400713</v>
      </c>
      <c r="U12" s="4"/>
      <c r="V12" s="12"/>
      <c r="W12" s="4"/>
      <c r="X12" s="4">
        <f t="shared" ref="X12:X24" si="2">+P12-T12</f>
        <v>-268256.95</v>
      </c>
      <c r="Y12" s="4"/>
      <c r="Z12" s="12">
        <f t="shared" ref="Z12:Z24" si="3">IF(T12=0,0,X12/T12)</f>
        <v>-0.66944908201131481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-39.88</f>
        <v>-39.880000000000003</v>
      </c>
      <c r="E13" s="2"/>
      <c r="F13" s="19"/>
      <c r="G13" s="2"/>
      <c r="H13" s="2">
        <v>10000</v>
      </c>
      <c r="I13" s="2"/>
      <c r="J13" s="19"/>
      <c r="K13" s="2"/>
      <c r="L13" s="2">
        <f t="shared" si="0"/>
        <v>-10039.879999999999</v>
      </c>
      <c r="M13" s="2"/>
      <c r="N13" s="19">
        <f t="shared" si="1"/>
        <v>-1.0039879999999999</v>
      </c>
      <c r="O13" s="11"/>
      <c r="P13" s="2">
        <f>-50.16</f>
        <v>-50.16</v>
      </c>
      <c r="Q13" s="2"/>
      <c r="R13" s="19"/>
      <c r="S13" s="2"/>
      <c r="T13" s="2">
        <v>265213</v>
      </c>
      <c r="U13" s="2"/>
      <c r="V13" s="19"/>
      <c r="W13" s="2"/>
      <c r="X13" s="2">
        <f t="shared" si="2"/>
        <v>-265263.15999999997</v>
      </c>
      <c r="Y13" s="2"/>
      <c r="Z13" s="19">
        <f t="shared" si="3"/>
        <v>-1.0001891310003657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--252.85</f>
        <v>252.85</v>
      </c>
      <c r="E14" s="2"/>
      <c r="F14" s="19"/>
      <c r="G14" s="2"/>
      <c r="H14" s="2"/>
      <c r="I14" s="2"/>
      <c r="J14" s="19"/>
      <c r="K14" s="2"/>
      <c r="L14" s="2">
        <f t="shared" si="0"/>
        <v>252.85</v>
      </c>
      <c r="M14" s="2"/>
      <c r="N14" s="19">
        <f t="shared" si="1"/>
        <v>0</v>
      </c>
      <c r="O14" s="11"/>
      <c r="P14" s="2">
        <f>--93554.57</f>
        <v>93554.57</v>
      </c>
      <c r="Q14" s="2"/>
      <c r="R14" s="19"/>
      <c r="S14" s="2"/>
      <c r="T14" s="2"/>
      <c r="U14" s="2"/>
      <c r="V14" s="19"/>
      <c r="W14" s="2"/>
      <c r="X14" s="2">
        <f t="shared" si="2"/>
        <v>93554.57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--2580.95</f>
        <v>2580.9499999999998</v>
      </c>
      <c r="E15" s="2"/>
      <c r="F15" s="19"/>
      <c r="G15" s="2"/>
      <c r="H15" s="2"/>
      <c r="I15" s="2"/>
      <c r="J15" s="19"/>
      <c r="K15" s="2"/>
      <c r="L15" s="2">
        <f t="shared" si="0"/>
        <v>2580.9499999999998</v>
      </c>
      <c r="M15" s="2"/>
      <c r="N15" s="19">
        <f t="shared" si="1"/>
        <v>0</v>
      </c>
      <c r="O15" s="11"/>
      <c r="P15" s="2">
        <f>--20906.62</f>
        <v>20906.62</v>
      </c>
      <c r="Q15" s="2"/>
      <c r="R15" s="19"/>
      <c r="S15" s="2"/>
      <c r="T15" s="2"/>
      <c r="U15" s="2"/>
      <c r="V15" s="19"/>
      <c r="W15" s="2"/>
      <c r="X15" s="2">
        <f t="shared" si="2"/>
        <v>20906.62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--44.15</f>
        <v>44.15</v>
      </c>
      <c r="E16" s="2"/>
      <c r="F16" s="19"/>
      <c r="G16" s="2"/>
      <c r="H16" s="2"/>
      <c r="I16" s="2"/>
      <c r="J16" s="19"/>
      <c r="K16" s="2"/>
      <c r="L16" s="2">
        <f t="shared" si="0"/>
        <v>44.15</v>
      </c>
      <c r="M16" s="2"/>
      <c r="N16" s="19">
        <f t="shared" si="1"/>
        <v>0</v>
      </c>
      <c r="O16" s="11"/>
      <c r="P16" s="2">
        <f>--106.3</f>
        <v>106.3</v>
      </c>
      <c r="Q16" s="2"/>
      <c r="R16" s="19"/>
      <c r="S16" s="2"/>
      <c r="T16" s="2"/>
      <c r="U16" s="2"/>
      <c r="V16" s="19"/>
      <c r="W16" s="2"/>
      <c r="X16" s="2">
        <f t="shared" si="2"/>
        <v>106.3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--1688.17</f>
        <v>1688.17</v>
      </c>
      <c r="E17" s="2"/>
      <c r="F17" s="19"/>
      <c r="G17" s="2"/>
      <c r="H17" s="2"/>
      <c r="I17" s="2"/>
      <c r="J17" s="19"/>
      <c r="K17" s="2"/>
      <c r="L17" s="2">
        <f t="shared" si="0"/>
        <v>1688.17</v>
      </c>
      <c r="M17" s="2"/>
      <c r="N17" s="19">
        <f t="shared" si="1"/>
        <v>0</v>
      </c>
      <c r="O17" s="11"/>
      <c r="P17" s="2">
        <f>--15614</f>
        <v>15614</v>
      </c>
      <c r="Q17" s="2"/>
      <c r="R17" s="19"/>
      <c r="S17" s="2"/>
      <c r="T17" s="2"/>
      <c r="U17" s="2"/>
      <c r="V17" s="19"/>
      <c r="W17" s="2"/>
      <c r="X17" s="2">
        <f t="shared" si="2"/>
        <v>15614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20" si="4">0</f>
        <v>0</v>
      </c>
      <c r="E18" s="2"/>
      <c r="F18" s="19"/>
      <c r="G18" s="2"/>
      <c r="H18" s="2">
        <v>3000</v>
      </c>
      <c r="I18" s="2"/>
      <c r="J18" s="19"/>
      <c r="K18" s="2"/>
      <c r="L18" s="2">
        <f t="shared" si="0"/>
        <v>-3000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135500</v>
      </c>
      <c r="U18" s="2"/>
      <c r="V18" s="19"/>
      <c r="W18" s="2"/>
      <c r="X18" s="2">
        <f t="shared" si="2"/>
        <v>-135500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--1756.04</f>
        <v>1756.04</v>
      </c>
      <c r="Q19" s="2"/>
      <c r="R19" s="19"/>
      <c r="S19" s="2"/>
      <c r="T19" s="2"/>
      <c r="U19" s="2"/>
      <c r="V19" s="19"/>
      <c r="W19" s="2"/>
      <c r="X19" s="2">
        <f t="shared" si="2"/>
        <v>1756.04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--1137.08</f>
        <v>1137.08</v>
      </c>
      <c r="Q20" s="2"/>
      <c r="R20" s="19"/>
      <c r="S20" s="2"/>
      <c r="T20" s="2"/>
      <c r="U20" s="2"/>
      <c r="V20" s="19"/>
      <c r="W20" s="2"/>
      <c r="X20" s="2">
        <f t="shared" si="2"/>
        <v>1137.08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--282.2</f>
        <v>282.2</v>
      </c>
      <c r="E21" s="2"/>
      <c r="F21" s="19"/>
      <c r="G21" s="2"/>
      <c r="H21" s="2"/>
      <c r="I21" s="2"/>
      <c r="J21" s="19"/>
      <c r="K21" s="2"/>
      <c r="L21" s="2">
        <f t="shared" si="0"/>
        <v>282.2</v>
      </c>
      <c r="M21" s="2"/>
      <c r="N21" s="19">
        <f t="shared" si="1"/>
        <v>0</v>
      </c>
      <c r="O21" s="11"/>
      <c r="P21" s="2">
        <f>--668.1</f>
        <v>668.1</v>
      </c>
      <c r="Q21" s="2"/>
      <c r="R21" s="19"/>
      <c r="S21" s="2"/>
      <c r="T21" s="2"/>
      <c r="U21" s="2"/>
      <c r="V21" s="19"/>
      <c r="W21" s="2"/>
      <c r="X21" s="2">
        <f t="shared" si="2"/>
        <v>668.1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--4</f>
        <v>4</v>
      </c>
      <c r="E22" s="2"/>
      <c r="F22" s="19"/>
      <c r="G22" s="2"/>
      <c r="H22" s="2"/>
      <c r="I22" s="2"/>
      <c r="J22" s="19"/>
      <c r="K22" s="2"/>
      <c r="L22" s="2">
        <f t="shared" si="0"/>
        <v>4</v>
      </c>
      <c r="M22" s="2"/>
      <c r="N22" s="19">
        <f t="shared" si="1"/>
        <v>0</v>
      </c>
      <c r="O22" s="11"/>
      <c r="P22" s="2">
        <f>--172</f>
        <v>172</v>
      </c>
      <c r="Q22" s="2"/>
      <c r="R22" s="19"/>
      <c r="S22" s="2"/>
      <c r="T22" s="2"/>
      <c r="U22" s="2"/>
      <c r="V22" s="19"/>
      <c r="W22" s="2"/>
      <c r="X22" s="2">
        <f t="shared" si="2"/>
        <v>172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-1293</f>
        <v>-1293</v>
      </c>
      <c r="Q23" s="2"/>
      <c r="R23" s="19"/>
      <c r="S23" s="2"/>
      <c r="T23" s="2"/>
      <c r="U23" s="2"/>
      <c r="V23" s="19"/>
      <c r="W23" s="2"/>
      <c r="X23" s="2">
        <f t="shared" si="2"/>
        <v>-1293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-115.5</f>
        <v>-115.5</v>
      </c>
      <c r="Q24" s="2"/>
      <c r="R24" s="19"/>
      <c r="S24" s="2"/>
      <c r="T24" s="2"/>
      <c r="U24" s="2"/>
      <c r="V24" s="19"/>
      <c r="W24" s="2"/>
      <c r="X24" s="2">
        <f t="shared" si="2"/>
        <v>-115.5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257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0">
        <f>D12-D26</f>
        <v>4812.4399999999996</v>
      </c>
      <c r="E28" s="14"/>
      <c r="F28" s="22">
        <f>IF(D$12=0,0,D28/D$12)</f>
        <v>1</v>
      </c>
      <c r="G28" s="14"/>
      <c r="H28" s="20">
        <f>H12-H26</f>
        <v>13000</v>
      </c>
      <c r="I28" s="14"/>
      <c r="J28" s="22">
        <f>IF(H$12=0,0,H28/H$12)</f>
        <v>1</v>
      </c>
      <c r="K28" s="16"/>
      <c r="L28" s="20">
        <f>+D28-H28</f>
        <v>-8187.56</v>
      </c>
      <c r="M28" s="16"/>
      <c r="N28" s="22">
        <f>IF(H28=0,0,L28/H28)</f>
        <v>-0.62981230769230767</v>
      </c>
      <c r="O28" s="29"/>
      <c r="P28" s="20">
        <f>P12-P26</f>
        <v>132456.04999999999</v>
      </c>
      <c r="Q28" s="14"/>
      <c r="R28" s="22">
        <f>IF(P$12=0,0,P28/P$12)</f>
        <v>1</v>
      </c>
      <c r="S28" s="14"/>
      <c r="T28" s="20">
        <f>T12-T26</f>
        <v>400713</v>
      </c>
      <c r="U28" s="14"/>
      <c r="V28" s="22">
        <f>IF(T$12=0,0,T28/T$12)</f>
        <v>1</v>
      </c>
      <c r="W28" s="16"/>
      <c r="X28" s="20">
        <f>+P28-T28</f>
        <v>-268256.95</v>
      </c>
      <c r="Y28" s="16"/>
      <c r="Z28" s="22">
        <f>IF(T28=0,0,X28/T28)</f>
        <v>-0.66944908201131481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1">
        <f>SUM(OSRRefD22x_0)</f>
        <v>32446.999999999996</v>
      </c>
      <c r="E30" s="21"/>
      <c r="F30" s="30">
        <f t="shared" ref="F30:F40" si="6">IF(D$12=0,0,D30/D$12)</f>
        <v>6.7423178263001722</v>
      </c>
      <c r="G30" s="21"/>
      <c r="H30" s="21">
        <f>SUM(OSRRefH22x_0)</f>
        <v>22426.324941242343</v>
      </c>
      <c r="I30" s="21"/>
      <c r="J30" s="30">
        <f t="shared" ref="J30:J40" si="7">IF(H$12=0,0,H30/H$12)</f>
        <v>1.7251019185571033</v>
      </c>
      <c r="K30" s="4"/>
      <c r="L30" s="21">
        <f t="shared" ref="L30:L40" si="8">+D30-H30</f>
        <v>10020.675058757653</v>
      </c>
      <c r="M30" s="4"/>
      <c r="N30" s="30">
        <f t="shared" ref="N30:N40" si="9">IF(H30=0,0,L30/H30)</f>
        <v>0.4468264454836951</v>
      </c>
      <c r="O30" s="10"/>
      <c r="P30" s="21">
        <f>SUM(OSRRefP22x_0)</f>
        <v>318006.93</v>
      </c>
      <c r="Q30" s="21"/>
      <c r="R30" s="30">
        <f t="shared" ref="R30:R40" si="10">IF(P$12=0,0,P30/P$12)</f>
        <v>2.4008486588570324</v>
      </c>
      <c r="S30" s="21"/>
      <c r="T30" s="21">
        <f>SUM(OSRRefT22x_0)</f>
        <v>372736.25570964999</v>
      </c>
      <c r="U30" s="21"/>
      <c r="V30" s="30">
        <f t="shared" ref="V30:V40" si="11">IF(T$12=0,0,T30/T$12)</f>
        <v>0.93018258880957194</v>
      </c>
      <c r="W30" s="4"/>
      <c r="X30" s="21">
        <f t="shared" ref="X30:X40" si="12">+P30-T30</f>
        <v>-54729.325709650002</v>
      </c>
      <c r="Y30" s="4"/>
      <c r="Z30" s="30">
        <f t="shared" ref="Z30:Z40" si="13">IF(T30=0,0,X30/T30)</f>
        <v>-0.14683123756086247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9813.18</v>
      </c>
      <c r="E31" s="1"/>
      <c r="F31" s="5">
        <f t="shared" si="6"/>
        <v>2.0391277605538982</v>
      </c>
      <c r="G31" s="1"/>
      <c r="H31" s="1">
        <f>SUM(OSRRefH22_0x_0)</f>
        <v>6587.8163797038433</v>
      </c>
      <c r="I31" s="1"/>
      <c r="J31" s="5">
        <f t="shared" si="7"/>
        <v>0.50675510613106489</v>
      </c>
      <c r="K31" s="1"/>
      <c r="L31" s="1">
        <f t="shared" si="8"/>
        <v>3225.363620296157</v>
      </c>
      <c r="M31" s="1"/>
      <c r="N31" s="5">
        <f t="shared" si="9"/>
        <v>0.48959525196134168</v>
      </c>
      <c r="O31" s="13"/>
      <c r="P31" s="1">
        <f>SUM(OSRRefP22_0x_0)</f>
        <v>113804.90000000001</v>
      </c>
      <c r="Q31" s="1"/>
      <c r="R31" s="5">
        <f t="shared" si="10"/>
        <v>0.85918989732820827</v>
      </c>
      <c r="S31" s="1"/>
      <c r="T31" s="1">
        <f>SUM(OSRRefT22_0x_0)</f>
        <v>80708.644409650005</v>
      </c>
      <c r="U31" s="1"/>
      <c r="V31" s="5">
        <f t="shared" si="11"/>
        <v>0.20141259307696532</v>
      </c>
      <c r="W31" s="1"/>
      <c r="X31" s="1">
        <f t="shared" si="12"/>
        <v>33096.255590350003</v>
      </c>
      <c r="Y31" s="1"/>
      <c r="Z31" s="5">
        <f t="shared" si="13"/>
        <v>0.41007076543578791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1244.99</v>
      </c>
      <c r="E32" s="2"/>
      <c r="F32" s="7">
        <f t="shared" si="6"/>
        <v>0.25870244616036775</v>
      </c>
      <c r="G32" s="2"/>
      <c r="H32" s="6">
        <v>1214.49345312692</v>
      </c>
      <c r="I32" s="2"/>
      <c r="J32" s="7">
        <f t="shared" si="7"/>
        <v>9.342257331745539E-2</v>
      </c>
      <c r="K32" s="2"/>
      <c r="L32" s="6">
        <f t="shared" si="8"/>
        <v>30.496546873079978</v>
      </c>
      <c r="M32" s="2"/>
      <c r="N32" s="7">
        <f t="shared" si="9"/>
        <v>2.5110507425594952E-2</v>
      </c>
      <c r="O32" s="11"/>
      <c r="P32" s="6">
        <v>15776.77</v>
      </c>
      <c r="Q32" s="2"/>
      <c r="R32" s="7">
        <f t="shared" si="10"/>
        <v>0.11910947065083098</v>
      </c>
      <c r="S32" s="2"/>
      <c r="T32" s="6">
        <v>13770.72439965</v>
      </c>
      <c r="U32" s="2"/>
      <c r="V32" s="7">
        <f t="shared" si="11"/>
        <v>3.4365554398409832E-2</v>
      </c>
      <c r="W32" s="2"/>
      <c r="X32" s="6">
        <f t="shared" si="12"/>
        <v>2006.0456003500003</v>
      </c>
      <c r="Y32" s="2"/>
      <c r="Z32" s="7">
        <f t="shared" si="13"/>
        <v>0.14567466039774832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319.12</v>
      </c>
      <c r="E33" s="2"/>
      <c r="F33" s="7">
        <f t="shared" si="6"/>
        <v>6.63114760911305E-2</v>
      </c>
      <c r="G33" s="2"/>
      <c r="H33" s="6">
        <v>293.58589942307702</v>
      </c>
      <c r="I33" s="2"/>
      <c r="J33" s="7">
        <f t="shared" si="7"/>
        <v>2.2583530724852079E-2</v>
      </c>
      <c r="K33" s="2"/>
      <c r="L33" s="6">
        <f t="shared" si="8"/>
        <v>25.534100576922981</v>
      </c>
      <c r="M33" s="2"/>
      <c r="N33" s="7">
        <f t="shared" si="9"/>
        <v>8.697318443119989E-2</v>
      </c>
      <c r="O33" s="11"/>
      <c r="P33" s="6">
        <v>4131.79</v>
      </c>
      <c r="Q33" s="2"/>
      <c r="R33" s="7">
        <f t="shared" si="10"/>
        <v>3.1193667635415673E-2</v>
      </c>
      <c r="S33" s="2"/>
      <c r="T33" s="6">
        <v>3587.9688099999998</v>
      </c>
      <c r="U33" s="2"/>
      <c r="V33" s="7">
        <f t="shared" si="11"/>
        <v>8.953961588468555E-3</v>
      </c>
      <c r="W33" s="2"/>
      <c r="X33" s="6">
        <f t="shared" si="12"/>
        <v>543.82119000000012</v>
      </c>
      <c r="Y33" s="2"/>
      <c r="Z33" s="7">
        <f t="shared" si="13"/>
        <v>0.15156798143961572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3421.48</v>
      </c>
      <c r="E34" s="2"/>
      <c r="F34" s="7">
        <f t="shared" si="6"/>
        <v>0.71096574710541849</v>
      </c>
      <c r="G34" s="2"/>
      <c r="H34" s="6">
        <v>2645</v>
      </c>
      <c r="I34" s="2"/>
      <c r="J34" s="7">
        <f t="shared" si="7"/>
        <v>0.20346153846153847</v>
      </c>
      <c r="K34" s="2"/>
      <c r="L34" s="6">
        <f t="shared" si="8"/>
        <v>776.48</v>
      </c>
      <c r="M34" s="2"/>
      <c r="N34" s="7">
        <f t="shared" si="9"/>
        <v>0.29356521739130437</v>
      </c>
      <c r="O34" s="11"/>
      <c r="P34" s="6">
        <v>42900.21</v>
      </c>
      <c r="Q34" s="2"/>
      <c r="R34" s="7">
        <f t="shared" si="10"/>
        <v>0.3238826010589928</v>
      </c>
      <c r="S34" s="2"/>
      <c r="T34" s="6">
        <v>31740</v>
      </c>
      <c r="U34" s="2"/>
      <c r="V34" s="7">
        <f t="shared" si="11"/>
        <v>7.9208810295648011E-2</v>
      </c>
      <c r="W34" s="2"/>
      <c r="X34" s="6">
        <f t="shared" si="12"/>
        <v>11160.21</v>
      </c>
      <c r="Y34" s="2"/>
      <c r="Z34" s="7">
        <f t="shared" si="13"/>
        <v>0.35161342155009451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44.85</v>
      </c>
      <c r="E35" s="2"/>
      <c r="F35" s="7">
        <f t="shared" si="6"/>
        <v>9.3195967118551108E-3</v>
      </c>
      <c r="G35" s="2"/>
      <c r="H35" s="6">
        <v>41.260720999999997</v>
      </c>
      <c r="I35" s="2"/>
      <c r="J35" s="7">
        <f t="shared" si="7"/>
        <v>3.173901615384615E-3</v>
      </c>
      <c r="K35" s="2"/>
      <c r="L35" s="6">
        <f t="shared" si="8"/>
        <v>3.5892790000000048</v>
      </c>
      <c r="M35" s="2"/>
      <c r="N35" s="7">
        <f t="shared" si="9"/>
        <v>8.6990215221881481E-2</v>
      </c>
      <c r="O35" s="11"/>
      <c r="P35" s="6">
        <v>580.66999999999996</v>
      </c>
      <c r="Q35" s="2"/>
      <c r="R35" s="7">
        <f t="shared" si="10"/>
        <v>4.383869215486948E-3</v>
      </c>
      <c r="S35" s="2"/>
      <c r="T35" s="6">
        <v>549.50922000000003</v>
      </c>
      <c r="U35" s="2"/>
      <c r="V35" s="7">
        <f t="shared" si="11"/>
        <v>1.3713286566694868E-3</v>
      </c>
      <c r="W35" s="2"/>
      <c r="X35" s="6">
        <f t="shared" si="12"/>
        <v>31.160779999999932</v>
      </c>
      <c r="Y35" s="2"/>
      <c r="Z35" s="7">
        <f t="shared" si="13"/>
        <v>5.6706564450365239E-2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2421.6799999999998</v>
      </c>
      <c r="E36" s="2"/>
      <c r="F36" s="7">
        <f t="shared" si="6"/>
        <v>0.50321250758451019</v>
      </c>
      <c r="G36" s="2"/>
      <c r="H36" s="6">
        <v>991.92684461538499</v>
      </c>
      <c r="I36" s="2"/>
      <c r="J36" s="7">
        <f t="shared" si="7"/>
        <v>7.6302064970414224E-2</v>
      </c>
      <c r="K36" s="2"/>
      <c r="L36" s="6">
        <f t="shared" si="8"/>
        <v>1429.7531553846147</v>
      </c>
      <c r="M36" s="2"/>
      <c r="N36" s="7">
        <f t="shared" si="9"/>
        <v>1.4413897185522737</v>
      </c>
      <c r="O36" s="11"/>
      <c r="P36" s="6">
        <v>21347.57</v>
      </c>
      <c r="Q36" s="2"/>
      <c r="R36" s="7">
        <f t="shared" si="10"/>
        <v>0.1611671947034507</v>
      </c>
      <c r="S36" s="2"/>
      <c r="T36" s="6">
        <v>12895.04898</v>
      </c>
      <c r="U36" s="2"/>
      <c r="V36" s="7">
        <f t="shared" si="11"/>
        <v>3.2180261134527703E-2</v>
      </c>
      <c r="W36" s="2"/>
      <c r="X36" s="6">
        <f t="shared" si="12"/>
        <v>8452.5210200000001</v>
      </c>
      <c r="Y36" s="2"/>
      <c r="Z36" s="7">
        <f t="shared" si="13"/>
        <v>0.65548576303275119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6"/>
      <c r="E37" s="2"/>
      <c r="F37" s="7">
        <f t="shared" si="6"/>
        <v>0</v>
      </c>
      <c r="G37" s="2"/>
      <c r="H37" s="6">
        <v>0</v>
      </c>
      <c r="I37" s="2"/>
      <c r="J37" s="7">
        <f t="shared" si="7"/>
        <v>0</v>
      </c>
      <c r="K37" s="2"/>
      <c r="L37" s="6">
        <f t="shared" si="8"/>
        <v>0</v>
      </c>
      <c r="M37" s="2"/>
      <c r="N37" s="7">
        <f t="shared" si="9"/>
        <v>0</v>
      </c>
      <c r="O37" s="11"/>
      <c r="P37" s="6"/>
      <c r="Q37" s="2"/>
      <c r="R37" s="7">
        <f t="shared" si="10"/>
        <v>0</v>
      </c>
      <c r="S37" s="2"/>
      <c r="T37" s="6">
        <v>0</v>
      </c>
      <c r="U37" s="2"/>
      <c r="V37" s="7">
        <f t="shared" si="11"/>
        <v>0</v>
      </c>
      <c r="W37" s="2"/>
      <c r="X37" s="6">
        <f t="shared" si="12"/>
        <v>0</v>
      </c>
      <c r="Y37" s="2"/>
      <c r="Z37" s="7">
        <f t="shared" si="13"/>
        <v>0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6">
        <v>1216.0999999999999</v>
      </c>
      <c r="E38" s="2"/>
      <c r="F38" s="7">
        <f t="shared" si="6"/>
        <v>0.25269925443226304</v>
      </c>
      <c r="G38" s="2"/>
      <c r="H38" s="6">
        <v>956.61308461538499</v>
      </c>
      <c r="I38" s="2"/>
      <c r="J38" s="7">
        <f t="shared" si="7"/>
        <v>7.358562189349116E-2</v>
      </c>
      <c r="K38" s="2"/>
      <c r="L38" s="6">
        <f t="shared" si="8"/>
        <v>259.48691538461492</v>
      </c>
      <c r="M38" s="2"/>
      <c r="N38" s="7">
        <f t="shared" si="9"/>
        <v>0.2712558709030663</v>
      </c>
      <c r="O38" s="11"/>
      <c r="P38" s="6">
        <v>15451.76</v>
      </c>
      <c r="Q38" s="2"/>
      <c r="R38" s="7">
        <f t="shared" si="10"/>
        <v>0.11665575109630705</v>
      </c>
      <c r="S38" s="2"/>
      <c r="T38" s="6">
        <v>12435.9701</v>
      </c>
      <c r="U38" s="2"/>
      <c r="V38" s="7">
        <f t="shared" si="11"/>
        <v>3.103460606468969E-2</v>
      </c>
      <c r="W38" s="2"/>
      <c r="X38" s="6">
        <f t="shared" si="12"/>
        <v>3015.7898999999998</v>
      </c>
      <c r="Y38" s="2"/>
      <c r="Z38" s="7">
        <f t="shared" si="13"/>
        <v>0.24250539971947985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6">
        <v>738.5</v>
      </c>
      <c r="E39" s="2"/>
      <c r="F39" s="7">
        <f t="shared" si="6"/>
        <v>0.1534564586779264</v>
      </c>
      <c r="G39" s="2"/>
      <c r="H39" s="6">
        <v>444.93637692307698</v>
      </c>
      <c r="I39" s="2"/>
      <c r="J39" s="7">
        <f t="shared" si="7"/>
        <v>3.4225875147928998E-2</v>
      </c>
      <c r="K39" s="2"/>
      <c r="L39" s="6">
        <f t="shared" si="8"/>
        <v>293.56362307692302</v>
      </c>
      <c r="M39" s="2"/>
      <c r="N39" s="7">
        <f t="shared" si="9"/>
        <v>0.65978786699132019</v>
      </c>
      <c r="O39" s="11"/>
      <c r="P39" s="6">
        <v>9494.52</v>
      </c>
      <c r="Q39" s="2"/>
      <c r="R39" s="7">
        <f t="shared" si="10"/>
        <v>7.1680531013872159E-2</v>
      </c>
      <c r="S39" s="2"/>
      <c r="T39" s="6">
        <v>5729.4228999999996</v>
      </c>
      <c r="U39" s="2"/>
      <c r="V39" s="7">
        <f t="shared" si="11"/>
        <v>1.4298070938552031E-2</v>
      </c>
      <c r="W39" s="2"/>
      <c r="X39" s="6">
        <f t="shared" si="12"/>
        <v>3765.0971000000009</v>
      </c>
      <c r="Y39" s="2"/>
      <c r="Z39" s="7">
        <f t="shared" si="13"/>
        <v>0.6571511940583058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6">
        <v>406.46</v>
      </c>
      <c r="E40" s="2"/>
      <c r="F40" s="7">
        <f t="shared" si="6"/>
        <v>8.4460273790426477E-2</v>
      </c>
      <c r="G40" s="2"/>
      <c r="H40" s="6"/>
      <c r="I40" s="2"/>
      <c r="J40" s="7">
        <f t="shared" si="7"/>
        <v>0</v>
      </c>
      <c r="K40" s="2"/>
      <c r="L40" s="6">
        <f t="shared" si="8"/>
        <v>406.46</v>
      </c>
      <c r="M40" s="2"/>
      <c r="N40" s="7">
        <f t="shared" si="9"/>
        <v>0</v>
      </c>
      <c r="O40" s="11"/>
      <c r="P40" s="6">
        <v>4121.6099999999997</v>
      </c>
      <c r="Q40" s="2"/>
      <c r="R40" s="7">
        <f t="shared" si="10"/>
        <v>3.1116811953851863E-2</v>
      </c>
      <c r="S40" s="2"/>
      <c r="T40" s="6"/>
      <c r="U40" s="2"/>
      <c r="V40" s="7">
        <f t="shared" si="11"/>
        <v>0</v>
      </c>
      <c r="W40" s="2"/>
      <c r="X40" s="6">
        <f t="shared" si="12"/>
        <v>4121.6099999999997</v>
      </c>
      <c r="Y40" s="2"/>
      <c r="Z40" s="7">
        <f t="shared" si="13"/>
        <v>0</v>
      </c>
    </row>
    <row r="41" spans="1:26" s="27" customFormat="1" outlineLevel="1" collapsed="1" x14ac:dyDescent="0.25">
      <c r="A41" s="25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14325.42</v>
      </c>
      <c r="E41" s="1"/>
      <c r="F41" s="5">
        <f t="shared" ref="F41:F51" si="14">IF(D$12=0,0,D41/D$12)</f>
        <v>2.9767477620500205</v>
      </c>
      <c r="G41" s="1"/>
      <c r="H41" s="1">
        <f>SUM(OSRRefH22_1x_0)</f>
        <v>10197.5085615385</v>
      </c>
      <c r="I41" s="1"/>
      <c r="J41" s="5">
        <f t="shared" ref="J41:J51" si="15">IF(H$12=0,0,H41/H$12)</f>
        <v>0.78442373550296152</v>
      </c>
      <c r="K41" s="1"/>
      <c r="L41" s="1">
        <f t="shared" ref="L41:L51" si="16">+D41-H41</f>
        <v>4127.9114384615004</v>
      </c>
      <c r="M41" s="1"/>
      <c r="N41" s="5">
        <f t="shared" ref="N41:N51" si="17">IF(H41=0,0,L41/H41)</f>
        <v>0.40479607480111024</v>
      </c>
      <c r="O41" s="13"/>
      <c r="P41" s="1">
        <f>SUM(OSRRefP22_1x_0)</f>
        <v>184511.34</v>
      </c>
      <c r="Q41" s="1"/>
      <c r="R41" s="5">
        <f t="shared" ref="R41:R51" si="18">IF(P$12=0,0,P41/P$12)</f>
        <v>1.3930004707221755</v>
      </c>
      <c r="S41" s="1"/>
      <c r="T41" s="1">
        <f>SUM(OSRRefT22_1x_0)</f>
        <v>132567.61129999999</v>
      </c>
      <c r="U41" s="1"/>
      <c r="V41" s="5">
        <f t="shared" ref="V41:V51" si="19">IF(T$12=0,0,T41/T$12)</f>
        <v>0.33082932497822626</v>
      </c>
      <c r="W41" s="1"/>
      <c r="X41" s="1">
        <f t="shared" ref="X41:X51" si="20">+P41-T41</f>
        <v>51943.728700000007</v>
      </c>
      <c r="Y41" s="1"/>
      <c r="Z41" s="5">
        <f t="shared" ref="Z41:Z51" si="21">IF(T41=0,0,X41/T41)</f>
        <v>0.39182820140321872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6"/>
      <c r="E42" s="2"/>
      <c r="F42" s="7">
        <f t="shared" si="14"/>
        <v>0</v>
      </c>
      <c r="G42" s="2"/>
      <c r="H42" s="6">
        <v>0</v>
      </c>
      <c r="I42" s="2"/>
      <c r="J42" s="7">
        <f t="shared" si="15"/>
        <v>0</v>
      </c>
      <c r="K42" s="2"/>
      <c r="L42" s="6">
        <f t="shared" si="16"/>
        <v>0</v>
      </c>
      <c r="M42" s="2"/>
      <c r="N42" s="7">
        <f t="shared" si="17"/>
        <v>0</v>
      </c>
      <c r="O42" s="11"/>
      <c r="P42" s="6"/>
      <c r="Q42" s="2"/>
      <c r="R42" s="7">
        <f t="shared" si="18"/>
        <v>0</v>
      </c>
      <c r="S42" s="2"/>
      <c r="T42" s="6">
        <v>0</v>
      </c>
      <c r="U42" s="2"/>
      <c r="V42" s="7">
        <f t="shared" si="19"/>
        <v>0</v>
      </c>
      <c r="W42" s="2"/>
      <c r="X42" s="6">
        <f t="shared" si="20"/>
        <v>0</v>
      </c>
      <c r="Y42" s="2"/>
      <c r="Z42" s="7">
        <f t="shared" si="21"/>
        <v>0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6">
        <v>13915.64</v>
      </c>
      <c r="E43" s="2"/>
      <c r="F43" s="7">
        <f t="shared" si="14"/>
        <v>2.8915976095286382</v>
      </c>
      <c r="G43" s="2"/>
      <c r="H43" s="6">
        <v>10197.5085615385</v>
      </c>
      <c r="I43" s="2"/>
      <c r="J43" s="7">
        <f t="shared" si="15"/>
        <v>0.78442373550296152</v>
      </c>
      <c r="K43" s="2"/>
      <c r="L43" s="6">
        <f t="shared" si="16"/>
        <v>3718.1314384614998</v>
      </c>
      <c r="M43" s="2"/>
      <c r="N43" s="7">
        <f t="shared" si="17"/>
        <v>0.36461174962725845</v>
      </c>
      <c r="O43" s="11"/>
      <c r="P43" s="6">
        <v>176389.94</v>
      </c>
      <c r="Q43" s="2"/>
      <c r="R43" s="7">
        <f t="shared" si="18"/>
        <v>1.3316865481040694</v>
      </c>
      <c r="S43" s="2"/>
      <c r="T43" s="6">
        <v>132567.61129999999</v>
      </c>
      <c r="U43" s="2"/>
      <c r="V43" s="7">
        <f t="shared" si="19"/>
        <v>0.33082932497822626</v>
      </c>
      <c r="W43" s="2"/>
      <c r="X43" s="6">
        <f t="shared" si="20"/>
        <v>43822.328700000013</v>
      </c>
      <c r="Y43" s="2"/>
      <c r="Z43" s="7">
        <f t="shared" si="21"/>
        <v>0.33056587706653517</v>
      </c>
    </row>
    <row r="44" spans="1:26" s="24" customFormat="1" hidden="1" outlineLevel="2" x14ac:dyDescent="0.25">
      <c r="A44" s="26"/>
      <c r="B44" s="11" t="str">
        <f>CONCATENATE("          ", "6003", " - ", "STAFF HOURLY-9 MONTH")</f>
        <v xml:space="preserve">          6003 - STAFF HOURLY-9 MONTH</v>
      </c>
      <c r="C44" s="11"/>
      <c r="D44" s="6"/>
      <c r="E44" s="2"/>
      <c r="F44" s="7">
        <f t="shared" si="14"/>
        <v>0</v>
      </c>
      <c r="G44" s="2"/>
      <c r="H44" s="6">
        <v>0</v>
      </c>
      <c r="I44" s="2"/>
      <c r="J44" s="7">
        <f t="shared" si="15"/>
        <v>0</v>
      </c>
      <c r="K44" s="2"/>
      <c r="L44" s="6">
        <f t="shared" si="16"/>
        <v>0</v>
      </c>
      <c r="M44" s="2"/>
      <c r="N44" s="7">
        <f t="shared" si="17"/>
        <v>0</v>
      </c>
      <c r="O44" s="11"/>
      <c r="P44" s="6"/>
      <c r="Q44" s="2"/>
      <c r="R44" s="7">
        <f t="shared" si="18"/>
        <v>0</v>
      </c>
      <c r="S44" s="2"/>
      <c r="T44" s="6">
        <v>0</v>
      </c>
      <c r="U44" s="2"/>
      <c r="V44" s="7">
        <f t="shared" si="19"/>
        <v>0</v>
      </c>
      <c r="W44" s="2"/>
      <c r="X44" s="6">
        <f t="shared" si="20"/>
        <v>0</v>
      </c>
      <c r="Y44" s="2"/>
      <c r="Z44" s="7">
        <f t="shared" si="21"/>
        <v>0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6"/>
      <c r="E45" s="2"/>
      <c r="F45" s="7">
        <f t="shared" si="14"/>
        <v>0</v>
      </c>
      <c r="G45" s="2"/>
      <c r="H45" s="6">
        <v>0</v>
      </c>
      <c r="I45" s="2"/>
      <c r="J45" s="7">
        <f t="shared" si="15"/>
        <v>0</v>
      </c>
      <c r="K45" s="2"/>
      <c r="L45" s="6">
        <f t="shared" si="16"/>
        <v>0</v>
      </c>
      <c r="M45" s="2"/>
      <c r="N45" s="7">
        <f t="shared" si="17"/>
        <v>0</v>
      </c>
      <c r="O45" s="11"/>
      <c r="P45" s="6"/>
      <c r="Q45" s="2"/>
      <c r="R45" s="7">
        <f t="shared" si="18"/>
        <v>0</v>
      </c>
      <c r="S45" s="2"/>
      <c r="T45" s="6">
        <v>0</v>
      </c>
      <c r="U45" s="2"/>
      <c r="V45" s="7">
        <f t="shared" si="19"/>
        <v>0</v>
      </c>
      <c r="W45" s="2"/>
      <c r="X45" s="6">
        <f t="shared" si="20"/>
        <v>0</v>
      </c>
      <c r="Y45" s="2"/>
      <c r="Z45" s="7">
        <f t="shared" si="21"/>
        <v>0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6"/>
      <c r="E46" s="2"/>
      <c r="F46" s="7">
        <f t="shared" si="14"/>
        <v>0</v>
      </c>
      <c r="G46" s="2"/>
      <c r="H46" s="6">
        <v>0</v>
      </c>
      <c r="I46" s="2"/>
      <c r="J46" s="7">
        <f t="shared" si="15"/>
        <v>0</v>
      </c>
      <c r="K46" s="2"/>
      <c r="L46" s="6">
        <f t="shared" si="16"/>
        <v>0</v>
      </c>
      <c r="M46" s="2"/>
      <c r="N46" s="7">
        <f t="shared" si="17"/>
        <v>0</v>
      </c>
      <c r="O46" s="11"/>
      <c r="P46" s="6">
        <v>383.25</v>
      </c>
      <c r="Q46" s="2"/>
      <c r="R46" s="7">
        <f t="shared" si="18"/>
        <v>2.8934125696787731E-3</v>
      </c>
      <c r="S46" s="2"/>
      <c r="T46" s="6">
        <v>0</v>
      </c>
      <c r="U46" s="2"/>
      <c r="V46" s="7">
        <f t="shared" si="19"/>
        <v>0</v>
      </c>
      <c r="W46" s="2"/>
      <c r="X46" s="6">
        <f t="shared" si="20"/>
        <v>383.25</v>
      </c>
      <c r="Y46" s="2"/>
      <c r="Z46" s="7">
        <f t="shared" si="21"/>
        <v>0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14"/>
        <v>0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0</v>
      </c>
      <c r="M47" s="2"/>
      <c r="N47" s="7">
        <f t="shared" si="17"/>
        <v>0</v>
      </c>
      <c r="O47" s="11"/>
      <c r="P47" s="6"/>
      <c r="Q47" s="2"/>
      <c r="R47" s="7">
        <f t="shared" si="18"/>
        <v>0</v>
      </c>
      <c r="S47" s="2"/>
      <c r="T47" s="6">
        <v>0</v>
      </c>
      <c r="U47" s="2"/>
      <c r="V47" s="7">
        <f t="shared" si="19"/>
        <v>0</v>
      </c>
      <c r="W47" s="2"/>
      <c r="X47" s="6">
        <f t="shared" si="20"/>
        <v>0</v>
      </c>
      <c r="Y47" s="2"/>
      <c r="Z47" s="7">
        <f t="shared" si="21"/>
        <v>0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6">
        <v>409.78</v>
      </c>
      <c r="E48" s="2"/>
      <c r="F48" s="7">
        <f t="shared" si="14"/>
        <v>8.5150152521382083E-2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409.78</v>
      </c>
      <c r="M48" s="2"/>
      <c r="N48" s="7">
        <f t="shared" si="17"/>
        <v>0</v>
      </c>
      <c r="O48" s="11"/>
      <c r="P48" s="6">
        <v>7738.15</v>
      </c>
      <c r="Q48" s="2"/>
      <c r="R48" s="7">
        <f t="shared" si="18"/>
        <v>5.8420510048427389E-2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7738.15</v>
      </c>
      <c r="Y48" s="2"/>
      <c r="Z48" s="7">
        <f t="shared" si="21"/>
        <v>0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6"/>
      <c r="E49" s="2"/>
      <c r="F49" s="7">
        <f t="shared" si="14"/>
        <v>0</v>
      </c>
      <c r="G49" s="2"/>
      <c r="H49" s="6">
        <v>0</v>
      </c>
      <c r="I49" s="2"/>
      <c r="J49" s="7">
        <f t="shared" si="15"/>
        <v>0</v>
      </c>
      <c r="K49" s="2"/>
      <c r="L49" s="6">
        <f t="shared" si="16"/>
        <v>0</v>
      </c>
      <c r="M49" s="2"/>
      <c r="N49" s="7">
        <f t="shared" si="17"/>
        <v>0</v>
      </c>
      <c r="O49" s="11"/>
      <c r="P49" s="6"/>
      <c r="Q49" s="2"/>
      <c r="R49" s="7">
        <f t="shared" si="18"/>
        <v>0</v>
      </c>
      <c r="S49" s="2"/>
      <c r="T49" s="6">
        <v>0</v>
      </c>
      <c r="U49" s="2"/>
      <c r="V49" s="7">
        <f t="shared" si="19"/>
        <v>0</v>
      </c>
      <c r="W49" s="2"/>
      <c r="X49" s="6">
        <f t="shared" si="20"/>
        <v>0</v>
      </c>
      <c r="Y49" s="2"/>
      <c r="Z49" s="7">
        <f t="shared" si="21"/>
        <v>0</v>
      </c>
    </row>
    <row r="50" spans="1:26" s="24" customFormat="1" hidden="1" outlineLevel="2" x14ac:dyDescent="0.25">
      <c r="A50" s="26"/>
      <c r="B50" s="11" t="str">
        <f>CONCATENATE("          ", "6009", " - ", "TEMPORARY-SEASONAL")</f>
        <v xml:space="preserve">          6009 - TEMPORARY-SEASONAL</v>
      </c>
      <c r="C50" s="11"/>
      <c r="D50" s="6"/>
      <c r="E50" s="2"/>
      <c r="F50" s="7">
        <f t="shared" si="14"/>
        <v>0</v>
      </c>
      <c r="G50" s="2"/>
      <c r="H50" s="6">
        <v>0</v>
      </c>
      <c r="I50" s="2"/>
      <c r="J50" s="7">
        <f t="shared" si="15"/>
        <v>0</v>
      </c>
      <c r="K50" s="2"/>
      <c r="L50" s="6">
        <f t="shared" si="16"/>
        <v>0</v>
      </c>
      <c r="M50" s="2"/>
      <c r="N50" s="7">
        <f t="shared" si="17"/>
        <v>0</v>
      </c>
      <c r="O50" s="11"/>
      <c r="P50" s="6"/>
      <c r="Q50" s="2"/>
      <c r="R50" s="7">
        <f t="shared" si="18"/>
        <v>0</v>
      </c>
      <c r="S50" s="2"/>
      <c r="T50" s="6">
        <v>0</v>
      </c>
      <c r="U50" s="2"/>
      <c r="V50" s="7">
        <f t="shared" si="19"/>
        <v>0</v>
      </c>
      <c r="W50" s="2"/>
      <c r="X50" s="6">
        <f t="shared" si="20"/>
        <v>0</v>
      </c>
      <c r="Y50" s="2"/>
      <c r="Z50" s="7">
        <f t="shared" si="21"/>
        <v>0</v>
      </c>
    </row>
    <row r="51" spans="1:26" s="24" customFormat="1" hidden="1" outlineLevel="2" x14ac:dyDescent="0.25">
      <c r="A51" s="26"/>
      <c r="B51" s="11" t="str">
        <f>CONCATENATE("          ", "6010", " - ", "GRATUITY")</f>
        <v xml:space="preserve">          6010 - GRATUITY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/>
      <c r="Q51" s="2"/>
      <c r="R51" s="7">
        <f t="shared" si="18"/>
        <v>0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0</v>
      </c>
      <c r="Y51" s="2"/>
      <c r="Z51" s="7">
        <f t="shared" si="21"/>
        <v>0</v>
      </c>
    </row>
    <row r="52" spans="1:26" s="27" customFormat="1" outlineLevel="1" collapsed="1" x14ac:dyDescent="0.25">
      <c r="A52" s="25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0</v>
      </c>
      <c r="E52" s="1"/>
      <c r="F52" s="5">
        <f t="shared" ref="F52:F62" si="22">IF(D$12=0,0,D52/D$12)</f>
        <v>0</v>
      </c>
      <c r="G52" s="1"/>
      <c r="H52" s="1">
        <f>SUM(OSRRefH22_2x_0)</f>
        <v>50</v>
      </c>
      <c r="I52" s="1"/>
      <c r="J52" s="5">
        <f t="shared" ref="J52:J62" si="23">IF(H$12=0,0,H52/H$12)</f>
        <v>3.8461538461538464E-3</v>
      </c>
      <c r="K52" s="1"/>
      <c r="L52" s="1">
        <f t="shared" ref="L52:L62" si="24">+D52-H52</f>
        <v>-50</v>
      </c>
      <c r="M52" s="1"/>
      <c r="N52" s="5">
        <f t="shared" ref="N52:N62" si="25">IF(H52=0,0,L52/H52)</f>
        <v>-1</v>
      </c>
      <c r="O52" s="13"/>
      <c r="P52" s="1">
        <f>SUM(OSRRefP22_2x_0)</f>
        <v>0</v>
      </c>
      <c r="Q52" s="1"/>
      <c r="R52" s="5">
        <f t="shared" ref="R52:R62" si="26">IF(P$12=0,0,P52/P$12)</f>
        <v>0</v>
      </c>
      <c r="S52" s="1"/>
      <c r="T52" s="1">
        <f>SUM(OSRRefT22_2x_0)</f>
        <v>600</v>
      </c>
      <c r="U52" s="1"/>
      <c r="V52" s="5">
        <f t="shared" ref="V52:V62" si="27">IF(T$12=0,0,T52/T$12)</f>
        <v>1.4973310074791683E-3</v>
      </c>
      <c r="W52" s="1"/>
      <c r="X52" s="1">
        <f t="shared" ref="X52:X62" si="28">+P52-T52</f>
        <v>-600</v>
      </c>
      <c r="Y52" s="1"/>
      <c r="Z52" s="5">
        <f t="shared" ref="Z52:Z62" si="29">IF(T52=0,0,X52/T52)</f>
        <v>-1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6"/>
      <c r="E53" s="2"/>
      <c r="F53" s="7">
        <f t="shared" si="22"/>
        <v>0</v>
      </c>
      <c r="G53" s="2"/>
      <c r="H53" s="6">
        <v>50</v>
      </c>
      <c r="I53" s="2"/>
      <c r="J53" s="7">
        <f t="shared" si="23"/>
        <v>3.8461538461538464E-3</v>
      </c>
      <c r="K53" s="2"/>
      <c r="L53" s="6">
        <f t="shared" si="24"/>
        <v>-50</v>
      </c>
      <c r="M53" s="2"/>
      <c r="N53" s="7">
        <f t="shared" si="25"/>
        <v>-1</v>
      </c>
      <c r="O53" s="11"/>
      <c r="P53" s="6"/>
      <c r="Q53" s="2"/>
      <c r="R53" s="7">
        <f t="shared" si="26"/>
        <v>0</v>
      </c>
      <c r="S53" s="2"/>
      <c r="T53" s="6">
        <v>600</v>
      </c>
      <c r="U53" s="2"/>
      <c r="V53" s="7">
        <f t="shared" si="27"/>
        <v>1.4973310074791683E-3</v>
      </c>
      <c r="W53" s="2"/>
      <c r="X53" s="6">
        <f t="shared" si="28"/>
        <v>-600</v>
      </c>
      <c r="Y53" s="2"/>
      <c r="Z53" s="7">
        <f t="shared" si="29"/>
        <v>-1</v>
      </c>
    </row>
    <row r="54" spans="1:26" s="27" customFormat="1" outlineLevel="1" collapsed="1" x14ac:dyDescent="0.25">
      <c r="A54" s="25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SUM(OSRRefD22_3x_0)</f>
        <v>169.92</v>
      </c>
      <c r="E54" s="1"/>
      <c r="F54" s="5">
        <f t="shared" si="22"/>
        <v>3.5308492157824306E-2</v>
      </c>
      <c r="G54" s="1"/>
      <c r="H54" s="1">
        <f>SUM(OSRRefH22_3x_0)</f>
        <v>170</v>
      </c>
      <c r="I54" s="1"/>
      <c r="J54" s="5">
        <f t="shared" si="23"/>
        <v>1.3076923076923076E-2</v>
      </c>
      <c r="K54" s="1"/>
      <c r="L54" s="1">
        <f t="shared" si="24"/>
        <v>-8.0000000000012506E-2</v>
      </c>
      <c r="M54" s="1"/>
      <c r="N54" s="5">
        <f t="shared" si="25"/>
        <v>-4.7058823529419122E-4</v>
      </c>
      <c r="O54" s="13"/>
      <c r="P54" s="1">
        <f>SUM(OSRRefP22_3x_0)</f>
        <v>2038.6</v>
      </c>
      <c r="Q54" s="1"/>
      <c r="R54" s="5">
        <f t="shared" si="26"/>
        <v>1.5390765465224126E-2</v>
      </c>
      <c r="S54" s="1"/>
      <c r="T54" s="1">
        <f>SUM(OSRRefT22_3x_0)</f>
        <v>2040</v>
      </c>
      <c r="U54" s="1"/>
      <c r="V54" s="5">
        <f t="shared" si="27"/>
        <v>5.0909254254291724E-3</v>
      </c>
      <c r="W54" s="1"/>
      <c r="X54" s="1">
        <f t="shared" si="28"/>
        <v>-1.4000000000000909</v>
      </c>
      <c r="Y54" s="1"/>
      <c r="Z54" s="5">
        <f t="shared" si="29"/>
        <v>-6.8627450980396614E-4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169.92</v>
      </c>
      <c r="E55" s="2"/>
      <c r="F55" s="7">
        <f t="shared" si="22"/>
        <v>3.5308492157824306E-2</v>
      </c>
      <c r="G55" s="2"/>
      <c r="H55" s="6">
        <v>170</v>
      </c>
      <c r="I55" s="2"/>
      <c r="J55" s="7">
        <f t="shared" si="23"/>
        <v>1.3076923076923076E-2</v>
      </c>
      <c r="K55" s="2"/>
      <c r="L55" s="6">
        <f t="shared" si="24"/>
        <v>-8.0000000000012506E-2</v>
      </c>
      <c r="M55" s="2"/>
      <c r="N55" s="7">
        <f t="shared" si="25"/>
        <v>-4.7058823529419122E-4</v>
      </c>
      <c r="O55" s="11"/>
      <c r="P55" s="6">
        <v>2038.6</v>
      </c>
      <c r="Q55" s="2"/>
      <c r="R55" s="7">
        <f t="shared" si="26"/>
        <v>1.5390765465224126E-2</v>
      </c>
      <c r="S55" s="2"/>
      <c r="T55" s="6">
        <v>2040</v>
      </c>
      <c r="U55" s="2"/>
      <c r="V55" s="7">
        <f t="shared" si="27"/>
        <v>5.0909254254291724E-3</v>
      </c>
      <c r="W55" s="2"/>
      <c r="X55" s="6">
        <f t="shared" si="28"/>
        <v>-1.4000000000000909</v>
      </c>
      <c r="Y55" s="2"/>
      <c r="Z55" s="7">
        <f t="shared" si="29"/>
        <v>-6.8627450980396614E-4</v>
      </c>
    </row>
    <row r="56" spans="1:26" s="27" customFormat="1" outlineLevel="1" collapsed="1" x14ac:dyDescent="0.25">
      <c r="A56" s="25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SUM(OSRRefD22_4x_0)</f>
        <v>0</v>
      </c>
      <c r="E56" s="1"/>
      <c r="F56" s="5">
        <f t="shared" si="22"/>
        <v>0</v>
      </c>
      <c r="G56" s="1"/>
      <c r="H56" s="1">
        <f>SUM(OSRRefH22_4x_0)</f>
        <v>50</v>
      </c>
      <c r="I56" s="1"/>
      <c r="J56" s="5">
        <f t="shared" si="23"/>
        <v>3.8461538461538464E-3</v>
      </c>
      <c r="K56" s="1"/>
      <c r="L56" s="1">
        <f t="shared" si="24"/>
        <v>-50</v>
      </c>
      <c r="M56" s="1"/>
      <c r="N56" s="5">
        <f t="shared" si="25"/>
        <v>-1</v>
      </c>
      <c r="O56" s="13"/>
      <c r="P56" s="1">
        <f>SUM(OSRRefP22_4x_0)</f>
        <v>0</v>
      </c>
      <c r="Q56" s="1"/>
      <c r="R56" s="5">
        <f t="shared" si="26"/>
        <v>0</v>
      </c>
      <c r="S56" s="1"/>
      <c r="T56" s="1">
        <f>SUM(OSRRefT22_4x_0)</f>
        <v>600</v>
      </c>
      <c r="U56" s="1"/>
      <c r="V56" s="5">
        <f t="shared" si="27"/>
        <v>1.4973310074791683E-3</v>
      </c>
      <c r="W56" s="1"/>
      <c r="X56" s="1">
        <f t="shared" si="28"/>
        <v>-600</v>
      </c>
      <c r="Y56" s="1"/>
      <c r="Z56" s="5">
        <f t="shared" si="29"/>
        <v>-1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/>
      <c r="E57" s="2"/>
      <c r="F57" s="7">
        <f t="shared" si="22"/>
        <v>0</v>
      </c>
      <c r="G57" s="2"/>
      <c r="H57" s="6">
        <v>50</v>
      </c>
      <c r="I57" s="2"/>
      <c r="J57" s="7">
        <f t="shared" si="23"/>
        <v>3.8461538461538464E-3</v>
      </c>
      <c r="K57" s="2"/>
      <c r="L57" s="6">
        <f t="shared" si="24"/>
        <v>-50</v>
      </c>
      <c r="M57" s="2"/>
      <c r="N57" s="7">
        <f t="shared" si="25"/>
        <v>-1</v>
      </c>
      <c r="O57" s="11"/>
      <c r="P57" s="6">
        <v>0</v>
      </c>
      <c r="Q57" s="2"/>
      <c r="R57" s="7">
        <f t="shared" si="26"/>
        <v>0</v>
      </c>
      <c r="S57" s="2"/>
      <c r="T57" s="6">
        <v>600</v>
      </c>
      <c r="U57" s="2"/>
      <c r="V57" s="7">
        <f t="shared" si="27"/>
        <v>1.4973310074791683E-3</v>
      </c>
      <c r="W57" s="2"/>
      <c r="X57" s="6">
        <f t="shared" si="28"/>
        <v>-600</v>
      </c>
      <c r="Y57" s="2"/>
      <c r="Z57" s="7">
        <f t="shared" si="29"/>
        <v>-1</v>
      </c>
    </row>
    <row r="58" spans="1:26" s="27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SUM(OSRRefD22_5x_0)</f>
        <v>1205.6400000000001</v>
      </c>
      <c r="E58" s="1"/>
      <c r="F58" s="5">
        <f t="shared" si="22"/>
        <v>0.25052572084015595</v>
      </c>
      <c r="G58" s="1"/>
      <c r="H58" s="1">
        <f>SUM(OSRRefH22_5x_0)</f>
        <v>1206</v>
      </c>
      <c r="I58" s="1"/>
      <c r="J58" s="5">
        <f t="shared" si="23"/>
        <v>9.276923076923077E-2</v>
      </c>
      <c r="K58" s="1"/>
      <c r="L58" s="1">
        <f t="shared" si="24"/>
        <v>-0.35999999999989996</v>
      </c>
      <c r="M58" s="1"/>
      <c r="N58" s="5">
        <f t="shared" si="25"/>
        <v>-2.9850746268648423E-4</v>
      </c>
      <c r="O58" s="13"/>
      <c r="P58" s="1">
        <f>SUM(OSRRefP22_5x_0)</f>
        <v>14467.68</v>
      </c>
      <c r="Q58" s="1"/>
      <c r="R58" s="5">
        <f t="shared" si="26"/>
        <v>0.1092262678828185</v>
      </c>
      <c r="S58" s="1"/>
      <c r="T58" s="1">
        <f>SUM(OSRRefT22_5x_0)</f>
        <v>14472</v>
      </c>
      <c r="U58" s="1"/>
      <c r="V58" s="5">
        <f t="shared" si="27"/>
        <v>3.6115623900397541E-2</v>
      </c>
      <c r="W58" s="1"/>
      <c r="X58" s="1">
        <f t="shared" si="28"/>
        <v>-4.319999999999709</v>
      </c>
      <c r="Y58" s="1"/>
      <c r="Z58" s="5">
        <f t="shared" si="29"/>
        <v>-2.9850746268654706E-4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1205.6400000000001</v>
      </c>
      <c r="E59" s="2"/>
      <c r="F59" s="7">
        <f t="shared" si="22"/>
        <v>0.25052572084015595</v>
      </c>
      <c r="G59" s="2"/>
      <c r="H59" s="6">
        <v>1206</v>
      </c>
      <c r="I59" s="2"/>
      <c r="J59" s="7">
        <f t="shared" si="23"/>
        <v>9.276923076923077E-2</v>
      </c>
      <c r="K59" s="2"/>
      <c r="L59" s="6">
        <f t="shared" si="24"/>
        <v>-0.35999999999989996</v>
      </c>
      <c r="M59" s="2"/>
      <c r="N59" s="7">
        <f t="shared" si="25"/>
        <v>-2.9850746268648423E-4</v>
      </c>
      <c r="O59" s="11"/>
      <c r="P59" s="6">
        <v>14467.68</v>
      </c>
      <c r="Q59" s="2"/>
      <c r="R59" s="7">
        <f t="shared" si="26"/>
        <v>0.1092262678828185</v>
      </c>
      <c r="S59" s="2"/>
      <c r="T59" s="6">
        <v>14472</v>
      </c>
      <c r="U59" s="2"/>
      <c r="V59" s="7">
        <f t="shared" si="27"/>
        <v>3.6115623900397541E-2</v>
      </c>
      <c r="W59" s="2"/>
      <c r="X59" s="6">
        <f t="shared" si="28"/>
        <v>-4.319999999999709</v>
      </c>
      <c r="Y59" s="2"/>
      <c r="Z59" s="7">
        <f t="shared" si="29"/>
        <v>-2.9850746268654706E-4</v>
      </c>
    </row>
    <row r="60" spans="1:26" s="27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SUM(OSRRefD22_6x_0)</f>
        <v>-7826.5199999999995</v>
      </c>
      <c r="E60" s="1"/>
      <c r="F60" s="5">
        <f t="shared" si="22"/>
        <v>-1.6263101462044203</v>
      </c>
      <c r="G60" s="1"/>
      <c r="H60" s="1">
        <f>SUM(OSRRefH22_6x_0)</f>
        <v>-1000</v>
      </c>
      <c r="I60" s="1"/>
      <c r="J60" s="5">
        <f t="shared" si="23"/>
        <v>-7.6923076923076927E-2</v>
      </c>
      <c r="K60" s="1"/>
      <c r="L60" s="1">
        <f t="shared" si="24"/>
        <v>-6826.5199999999995</v>
      </c>
      <c r="M60" s="1"/>
      <c r="N60" s="5">
        <f t="shared" si="25"/>
        <v>6.8265199999999995</v>
      </c>
      <c r="O60" s="13"/>
      <c r="P60" s="1">
        <f>SUM(OSRRefP22_6x_0)</f>
        <v>-104296.18999999997</v>
      </c>
      <c r="Q60" s="1"/>
      <c r="R60" s="5">
        <f t="shared" si="26"/>
        <v>-0.78740223643993601</v>
      </c>
      <c r="S60" s="1"/>
      <c r="T60" s="1">
        <f>SUM(OSRRefT22_6x_0)</f>
        <v>7168</v>
      </c>
      <c r="U60" s="1"/>
      <c r="V60" s="5">
        <f t="shared" si="27"/>
        <v>1.7888114436017798E-2</v>
      </c>
      <c r="W60" s="1"/>
      <c r="X60" s="1">
        <f t="shared" si="28"/>
        <v>-111464.18999999997</v>
      </c>
      <c r="Y60" s="1"/>
      <c r="Z60" s="5">
        <f t="shared" si="29"/>
        <v>-15.550249720982139</v>
      </c>
    </row>
    <row r="61" spans="1:26" s="24" customFormat="1" hidden="1" outlineLevel="2" x14ac:dyDescent="0.25">
      <c r="A61" s="26"/>
      <c r="B61" s="11" t="str">
        <f>CONCATENATE("          ", "6305", " - ", "FREIGHT OUT")</f>
        <v xml:space="preserve">          6305 - FREIGHT OUT</v>
      </c>
      <c r="C61" s="11"/>
      <c r="D61" s="6">
        <v>7003.44</v>
      </c>
      <c r="E61" s="2"/>
      <c r="F61" s="7">
        <f t="shared" si="22"/>
        <v>1.4552784034710045</v>
      </c>
      <c r="G61" s="2"/>
      <c r="H61" s="6">
        <v>1000</v>
      </c>
      <c r="I61" s="2"/>
      <c r="J61" s="7">
        <f t="shared" si="23"/>
        <v>7.6923076923076927E-2</v>
      </c>
      <c r="K61" s="2"/>
      <c r="L61" s="6">
        <f t="shared" si="24"/>
        <v>6003.44</v>
      </c>
      <c r="M61" s="2"/>
      <c r="N61" s="7">
        <f t="shared" si="25"/>
        <v>6.0034399999999994</v>
      </c>
      <c r="O61" s="11"/>
      <c r="P61" s="6">
        <v>204791.35</v>
      </c>
      <c r="Q61" s="2"/>
      <c r="R61" s="7">
        <f t="shared" si="26"/>
        <v>1.5461079354246183</v>
      </c>
      <c r="S61" s="2"/>
      <c r="T61" s="6">
        <v>38710</v>
      </c>
      <c r="U61" s="2"/>
      <c r="V61" s="7">
        <f t="shared" si="27"/>
        <v>9.6602805499197683E-2</v>
      </c>
      <c r="W61" s="2"/>
      <c r="X61" s="6">
        <f t="shared" si="28"/>
        <v>166081.35</v>
      </c>
      <c r="Y61" s="2"/>
      <c r="Z61" s="7">
        <f t="shared" si="29"/>
        <v>4.2903991216739863</v>
      </c>
    </row>
    <row r="62" spans="1:26" s="24" customFormat="1" hidden="1" outlineLevel="2" x14ac:dyDescent="0.25">
      <c r="A62" s="26"/>
      <c r="B62" s="11" t="str">
        <f>CONCATENATE("          ", "6307", " - ", "POSTAGE")</f>
        <v xml:space="preserve">          6307 - POSTAGE</v>
      </c>
      <c r="C62" s="11"/>
      <c r="D62" s="6">
        <v>-14829.96</v>
      </c>
      <c r="E62" s="2"/>
      <c r="F62" s="7">
        <f t="shared" si="22"/>
        <v>-3.0815885496754247</v>
      </c>
      <c r="G62" s="2"/>
      <c r="H62" s="6">
        <v>-2000</v>
      </c>
      <c r="I62" s="2"/>
      <c r="J62" s="7">
        <f t="shared" si="23"/>
        <v>-0.15384615384615385</v>
      </c>
      <c r="K62" s="2"/>
      <c r="L62" s="6">
        <f t="shared" si="24"/>
        <v>-12829.96</v>
      </c>
      <c r="M62" s="2"/>
      <c r="N62" s="7">
        <f t="shared" si="25"/>
        <v>6.4149799999999999</v>
      </c>
      <c r="O62" s="11"/>
      <c r="P62" s="6">
        <v>-309087.53999999998</v>
      </c>
      <c r="Q62" s="2"/>
      <c r="R62" s="7">
        <f t="shared" si="26"/>
        <v>-2.3335101718645546</v>
      </c>
      <c r="S62" s="2"/>
      <c r="T62" s="6">
        <v>-31542</v>
      </c>
      <c r="U62" s="2"/>
      <c r="V62" s="7">
        <f t="shared" si="27"/>
        <v>-7.8714691063179881E-2</v>
      </c>
      <c r="W62" s="2"/>
      <c r="X62" s="6">
        <f t="shared" si="28"/>
        <v>-277545.53999999998</v>
      </c>
      <c r="Y62" s="2"/>
      <c r="Z62" s="7">
        <f t="shared" si="29"/>
        <v>8.799237207532812</v>
      </c>
    </row>
    <row r="63" spans="1:26" s="27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SUM(OSRRefD22_7x_0)</f>
        <v>2435.08</v>
      </c>
      <c r="E63" s="1"/>
      <c r="F63" s="5">
        <f t="shared" ref="F63:F66" si="30">IF(D$12=0,0,D63/D$12)</f>
        <v>0.50599695788415022</v>
      </c>
      <c r="G63" s="1"/>
      <c r="H63" s="1">
        <f>SUM(OSRRefH22_7x_0)</f>
        <v>2500</v>
      </c>
      <c r="I63" s="1"/>
      <c r="J63" s="5">
        <f t="shared" ref="J63:J66" si="31">IF(H$12=0,0,H63/H$12)</f>
        <v>0.19230769230769232</v>
      </c>
      <c r="K63" s="1"/>
      <c r="L63" s="1">
        <f t="shared" ref="L63:L66" si="32">+D63-H63</f>
        <v>-64.920000000000073</v>
      </c>
      <c r="M63" s="1"/>
      <c r="N63" s="5">
        <f t="shared" ref="N63:N66" si="33">IF(H63=0,0,L63/H63)</f>
        <v>-2.5968000000000029E-2</v>
      </c>
      <c r="O63" s="13"/>
      <c r="P63" s="1">
        <f>SUM(OSRRefP22_7x_0)</f>
        <v>37311.89</v>
      </c>
      <c r="Q63" s="1"/>
      <c r="R63" s="5">
        <f t="shared" ref="R63:R66" si="34">IF(P$12=0,0,P63/P$12)</f>
        <v>0.28169260671747348</v>
      </c>
      <c r="S63" s="1"/>
      <c r="T63" s="1">
        <f>SUM(OSRRefT22_7x_0)</f>
        <v>65000</v>
      </c>
      <c r="U63" s="1"/>
      <c r="V63" s="5">
        <f t="shared" ref="V63:V66" si="35">IF(T$12=0,0,T63/T$12)</f>
        <v>0.16221085914357658</v>
      </c>
      <c r="W63" s="1"/>
      <c r="X63" s="1">
        <f t="shared" ref="X63:X66" si="36">+P63-T63</f>
        <v>-27688.11</v>
      </c>
      <c r="Y63" s="1"/>
      <c r="Z63" s="5">
        <f t="shared" ref="Z63:Z66" si="37">IF(T63=0,0,X63/T63)</f>
        <v>-0.42597092307692308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6"/>
      <c r="E64" s="2"/>
      <c r="F64" s="7">
        <f t="shared" si="30"/>
        <v>0</v>
      </c>
      <c r="G64" s="2"/>
      <c r="H64" s="6"/>
      <c r="I64" s="2"/>
      <c r="J64" s="7">
        <f t="shared" si="31"/>
        <v>0</v>
      </c>
      <c r="K64" s="2"/>
      <c r="L64" s="6">
        <f t="shared" si="32"/>
        <v>0</v>
      </c>
      <c r="M64" s="2"/>
      <c r="N64" s="7">
        <f t="shared" si="33"/>
        <v>0</v>
      </c>
      <c r="O64" s="11"/>
      <c r="P64" s="6">
        <v>7.69</v>
      </c>
      <c r="Q64" s="2"/>
      <c r="R64" s="7">
        <f t="shared" si="34"/>
        <v>5.8056993244174205E-5</v>
      </c>
      <c r="S64" s="2"/>
      <c r="T64" s="6"/>
      <c r="U64" s="2"/>
      <c r="V64" s="7">
        <f t="shared" si="35"/>
        <v>0</v>
      </c>
      <c r="W64" s="2"/>
      <c r="X64" s="6">
        <f t="shared" si="36"/>
        <v>7.69</v>
      </c>
      <c r="Y64" s="2"/>
      <c r="Z64" s="7">
        <f t="shared" si="37"/>
        <v>0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6">
        <v>720.33</v>
      </c>
      <c r="E65" s="2"/>
      <c r="F65" s="7">
        <f t="shared" si="30"/>
        <v>0.14968082718953382</v>
      </c>
      <c r="G65" s="2"/>
      <c r="H65" s="6">
        <v>2500</v>
      </c>
      <c r="I65" s="2"/>
      <c r="J65" s="7">
        <f t="shared" si="31"/>
        <v>0.19230769230769232</v>
      </c>
      <c r="K65" s="2"/>
      <c r="L65" s="6">
        <f t="shared" si="32"/>
        <v>-1779.67</v>
      </c>
      <c r="M65" s="2"/>
      <c r="N65" s="7">
        <f t="shared" si="33"/>
        <v>-0.71186800000000006</v>
      </c>
      <c r="O65" s="11"/>
      <c r="P65" s="6">
        <v>32072.67</v>
      </c>
      <c r="Q65" s="2"/>
      <c r="R65" s="7">
        <f t="shared" si="34"/>
        <v>0.24213820357771504</v>
      </c>
      <c r="S65" s="2"/>
      <c r="T65" s="6">
        <v>65000</v>
      </c>
      <c r="U65" s="2"/>
      <c r="V65" s="7">
        <f t="shared" si="35"/>
        <v>0.16221085914357658</v>
      </c>
      <c r="W65" s="2"/>
      <c r="X65" s="6">
        <f t="shared" si="36"/>
        <v>-32927.33</v>
      </c>
      <c r="Y65" s="2"/>
      <c r="Z65" s="7">
        <f t="shared" si="37"/>
        <v>-0.50657430769230771</v>
      </c>
    </row>
    <row r="66" spans="1:26" s="24" customFormat="1" hidden="1" outlineLevel="2" x14ac:dyDescent="0.25">
      <c r="A66" s="26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1714.75</v>
      </c>
      <c r="E66" s="2"/>
      <c r="F66" s="7">
        <f t="shared" si="30"/>
        <v>0.35631613069461648</v>
      </c>
      <c r="G66" s="2"/>
      <c r="H66" s="6"/>
      <c r="I66" s="2"/>
      <c r="J66" s="7">
        <f t="shared" si="31"/>
        <v>0</v>
      </c>
      <c r="K66" s="2"/>
      <c r="L66" s="6">
        <f t="shared" si="32"/>
        <v>1714.75</v>
      </c>
      <c r="M66" s="2"/>
      <c r="N66" s="7">
        <f t="shared" si="33"/>
        <v>0</v>
      </c>
      <c r="O66" s="11"/>
      <c r="P66" s="6">
        <v>5231.53</v>
      </c>
      <c r="Q66" s="2"/>
      <c r="R66" s="7">
        <f t="shared" si="34"/>
        <v>3.9496346146514261E-2</v>
      </c>
      <c r="S66" s="2"/>
      <c r="T66" s="6"/>
      <c r="U66" s="2"/>
      <c r="V66" s="7">
        <f t="shared" si="35"/>
        <v>0</v>
      </c>
      <c r="W66" s="2"/>
      <c r="X66" s="6">
        <f t="shared" si="36"/>
        <v>5231.53</v>
      </c>
      <c r="Y66" s="2"/>
      <c r="Z66" s="7">
        <f t="shared" si="37"/>
        <v>0</v>
      </c>
    </row>
    <row r="67" spans="1:26" s="27" customFormat="1" outlineLevel="1" collapsed="1" x14ac:dyDescent="0.25">
      <c r="A67" s="25"/>
      <c r="B67" s="13" t="str">
        <f>CONCATENATE("     ","Royalty &amp; Commissions                             ")</f>
        <v xml:space="preserve">     Royalty &amp; Commissions                             </v>
      </c>
      <c r="C67" s="13"/>
      <c r="D67" s="1">
        <f>SUM(OSRRefD22_8x_0)</f>
        <v>2549.25</v>
      </c>
      <c r="E67" s="1"/>
      <c r="F67" s="5">
        <f t="shared" ref="F67:F76" si="38">IF(D$12=0,0,D67/D$12)</f>
        <v>0.52972089002668088</v>
      </c>
      <c r="G67" s="1"/>
      <c r="H67" s="1">
        <f>SUM(OSRRefH22_8x_0)</f>
        <v>900</v>
      </c>
      <c r="I67" s="1"/>
      <c r="J67" s="5">
        <f t="shared" ref="J67:J76" si="39">IF(H$12=0,0,H67/H$12)</f>
        <v>6.9230769230769235E-2</v>
      </c>
      <c r="K67" s="1"/>
      <c r="L67" s="1">
        <f t="shared" ref="L67:L76" si="40">+D67-H67</f>
        <v>1649.25</v>
      </c>
      <c r="M67" s="1"/>
      <c r="N67" s="5">
        <f t="shared" ref="N67:N76" si="41">IF(H67=0,0,L67/H67)</f>
        <v>1.8325</v>
      </c>
      <c r="O67" s="13"/>
      <c r="P67" s="1">
        <f>SUM(OSRRefP22_8x_0)</f>
        <v>16177.12</v>
      </c>
      <c r="Q67" s="1"/>
      <c r="R67" s="5">
        <f t="shared" ref="R67:R76" si="42">IF(P$12=0,0,P67/P$12)</f>
        <v>0.1221319826463193</v>
      </c>
      <c r="S67" s="1"/>
      <c r="T67" s="1">
        <f>SUM(OSRRefT22_8x_0)</f>
        <v>36150</v>
      </c>
      <c r="U67" s="1"/>
      <c r="V67" s="5">
        <f t="shared" ref="V67:V76" si="43">IF(T$12=0,0,T67/T$12)</f>
        <v>9.0214193200619894E-2</v>
      </c>
      <c r="W67" s="1"/>
      <c r="X67" s="1">
        <f t="shared" ref="X67:X76" si="44">+P67-T67</f>
        <v>-19972.879999999997</v>
      </c>
      <c r="Y67" s="1"/>
      <c r="Z67" s="5">
        <f t="shared" ref="Z67:Z76" si="45">IF(T67=0,0,X67/T67)</f>
        <v>-0.55250013831258638</v>
      </c>
    </row>
    <row r="68" spans="1:26" s="24" customFormat="1" hidden="1" outlineLevel="2" x14ac:dyDescent="0.25">
      <c r="A68" s="26"/>
      <c r="B68" s="11" t="str">
        <f>CONCATENATE("          ", "6259", " - ", "ROYALTY &amp; COMMISSIONS")</f>
        <v xml:space="preserve">          6259 - ROYALTY &amp; COMMISSIONS</v>
      </c>
      <c r="C68" s="11"/>
      <c r="D68" s="6">
        <v>2549.25</v>
      </c>
      <c r="E68" s="2"/>
      <c r="F68" s="7">
        <f t="shared" si="38"/>
        <v>0.52972089002668088</v>
      </c>
      <c r="G68" s="2"/>
      <c r="H68" s="6">
        <v>900</v>
      </c>
      <c r="I68" s="2"/>
      <c r="J68" s="7">
        <f t="shared" si="39"/>
        <v>6.9230769230769235E-2</v>
      </c>
      <c r="K68" s="2"/>
      <c r="L68" s="6">
        <f t="shared" si="40"/>
        <v>1649.25</v>
      </c>
      <c r="M68" s="2"/>
      <c r="N68" s="7">
        <f t="shared" si="41"/>
        <v>1.8325</v>
      </c>
      <c r="O68" s="11"/>
      <c r="P68" s="6">
        <v>16177.12</v>
      </c>
      <c r="Q68" s="2"/>
      <c r="R68" s="7">
        <f t="shared" si="42"/>
        <v>0.1221319826463193</v>
      </c>
      <c r="S68" s="2"/>
      <c r="T68" s="6">
        <v>36150</v>
      </c>
      <c r="U68" s="2"/>
      <c r="V68" s="7">
        <f t="shared" si="43"/>
        <v>9.0214193200619894E-2</v>
      </c>
      <c r="W68" s="2"/>
      <c r="X68" s="6">
        <f t="shared" si="44"/>
        <v>-19972.879999999997</v>
      </c>
      <c r="Y68" s="2"/>
      <c r="Z68" s="7">
        <f t="shared" si="45"/>
        <v>-0.55250013831258638</v>
      </c>
    </row>
    <row r="69" spans="1:26" s="27" customFormat="1" outlineLevel="1" collapsed="1" x14ac:dyDescent="0.25">
      <c r="A69" s="25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SUM(OSRRefD22_9x_0)</f>
        <v>0</v>
      </c>
      <c r="E69" s="1"/>
      <c r="F69" s="5">
        <f t="shared" si="38"/>
        <v>0</v>
      </c>
      <c r="G69" s="1"/>
      <c r="H69" s="1">
        <f>SUM(OSRRefH22_9x_0)</f>
        <v>0</v>
      </c>
      <c r="I69" s="1"/>
      <c r="J69" s="5">
        <f t="shared" si="39"/>
        <v>0</v>
      </c>
      <c r="K69" s="1"/>
      <c r="L69" s="1">
        <f t="shared" si="40"/>
        <v>0</v>
      </c>
      <c r="M69" s="1"/>
      <c r="N69" s="5">
        <f t="shared" si="41"/>
        <v>0</v>
      </c>
      <c r="O69" s="13"/>
      <c r="P69" s="1">
        <f>SUM(OSRRefP22_9x_0)</f>
        <v>31.75</v>
      </c>
      <c r="Q69" s="1"/>
      <c r="R69" s="5">
        <f t="shared" si="42"/>
        <v>2.3970215026040715E-4</v>
      </c>
      <c r="S69" s="1"/>
      <c r="T69" s="1">
        <f>SUM(OSRRefT22_9x_0)</f>
        <v>0</v>
      </c>
      <c r="U69" s="1"/>
      <c r="V69" s="5">
        <f t="shared" si="43"/>
        <v>0</v>
      </c>
      <c r="W69" s="1"/>
      <c r="X69" s="1">
        <f t="shared" si="44"/>
        <v>31.75</v>
      </c>
      <c r="Y69" s="1"/>
      <c r="Z69" s="5">
        <f t="shared" si="45"/>
        <v>0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38"/>
        <v>0</v>
      </c>
      <c r="G70" s="2"/>
      <c r="H70" s="6"/>
      <c r="I70" s="2"/>
      <c r="J70" s="7">
        <f t="shared" si="39"/>
        <v>0</v>
      </c>
      <c r="K70" s="2"/>
      <c r="L70" s="6">
        <f t="shared" si="40"/>
        <v>0</v>
      </c>
      <c r="M70" s="2"/>
      <c r="N70" s="7">
        <f t="shared" si="41"/>
        <v>0</v>
      </c>
      <c r="O70" s="11"/>
      <c r="P70" s="6">
        <v>31.75</v>
      </c>
      <c r="Q70" s="2"/>
      <c r="R70" s="7">
        <f t="shared" si="42"/>
        <v>2.3970215026040715E-4</v>
      </c>
      <c r="S70" s="2"/>
      <c r="T70" s="6"/>
      <c r="U70" s="2"/>
      <c r="V70" s="7">
        <f t="shared" si="43"/>
        <v>0</v>
      </c>
      <c r="W70" s="2"/>
      <c r="X70" s="6">
        <f t="shared" si="44"/>
        <v>31.75</v>
      </c>
      <c r="Y70" s="2"/>
      <c r="Z70" s="7">
        <f t="shared" si="45"/>
        <v>0</v>
      </c>
    </row>
    <row r="71" spans="1:26" s="27" customFormat="1" outlineLevel="1" collapsed="1" x14ac:dyDescent="0.25">
      <c r="A71" s="25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SUM(OSRRefD22_10x_0)</f>
        <v>9540.7799999999988</v>
      </c>
      <c r="E71" s="1"/>
      <c r="F71" s="5">
        <f t="shared" si="38"/>
        <v>1.9825244574477812</v>
      </c>
      <c r="G71" s="1"/>
      <c r="H71" s="1">
        <f>SUM(OSRRefH22_10x_0)</f>
        <v>1600</v>
      </c>
      <c r="I71" s="1"/>
      <c r="J71" s="5">
        <f t="shared" si="39"/>
        <v>0.12307692307692308</v>
      </c>
      <c r="K71" s="1"/>
      <c r="L71" s="1">
        <f t="shared" si="40"/>
        <v>7940.7799999999988</v>
      </c>
      <c r="M71" s="1"/>
      <c r="N71" s="5">
        <f t="shared" si="41"/>
        <v>4.9629874999999997</v>
      </c>
      <c r="O71" s="13"/>
      <c r="P71" s="1">
        <f>SUM(OSRRefP22_10x_0)</f>
        <v>51967.22</v>
      </c>
      <c r="Q71" s="1"/>
      <c r="R71" s="5">
        <f t="shared" si="42"/>
        <v>0.39233557093088617</v>
      </c>
      <c r="S71" s="1"/>
      <c r="T71" s="1">
        <f>SUM(OSRRefT22_10x_0)</f>
        <v>31450</v>
      </c>
      <c r="U71" s="1"/>
      <c r="V71" s="5">
        <f t="shared" si="43"/>
        <v>7.8485100308699748E-2</v>
      </c>
      <c r="W71" s="1"/>
      <c r="X71" s="1">
        <f t="shared" si="44"/>
        <v>20517.22</v>
      </c>
      <c r="Y71" s="1"/>
      <c r="Z71" s="5">
        <f t="shared" si="45"/>
        <v>0.6523758346581876</v>
      </c>
    </row>
    <row r="72" spans="1:26" s="24" customFormat="1" hidden="1" outlineLevel="2" x14ac:dyDescent="0.25">
      <c r="A72" s="26"/>
      <c r="B72" s="11" t="str">
        <f>CONCATENATE("          ", "6235", " - ", "COVID-19 EXPENSES")</f>
        <v xml:space="preserve">          6235 - COVID-19 EXPENSES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>
        <v>310.91000000000003</v>
      </c>
      <c r="Q72" s="2"/>
      <c r="R72" s="7">
        <f t="shared" si="42"/>
        <v>2.3472691507862424E-3</v>
      </c>
      <c r="S72" s="2"/>
      <c r="T72" s="6"/>
      <c r="U72" s="2"/>
      <c r="V72" s="7">
        <f t="shared" si="43"/>
        <v>0</v>
      </c>
      <c r="W72" s="2"/>
      <c r="X72" s="6">
        <f t="shared" si="44"/>
        <v>310.91000000000003</v>
      </c>
      <c r="Y72" s="2"/>
      <c r="Z72" s="7">
        <f t="shared" si="45"/>
        <v>0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6">
        <v>56.39</v>
      </c>
      <c r="E73" s="2"/>
      <c r="F73" s="7">
        <f t="shared" si="38"/>
        <v>1.1717548686321286E-2</v>
      </c>
      <c r="G73" s="2"/>
      <c r="H73" s="6"/>
      <c r="I73" s="2"/>
      <c r="J73" s="7">
        <f t="shared" si="39"/>
        <v>0</v>
      </c>
      <c r="K73" s="2"/>
      <c r="L73" s="6">
        <f t="shared" si="40"/>
        <v>56.39</v>
      </c>
      <c r="M73" s="2"/>
      <c r="N73" s="7">
        <f t="shared" si="41"/>
        <v>0</v>
      </c>
      <c r="O73" s="11"/>
      <c r="P73" s="6">
        <v>4732.3999999999996</v>
      </c>
      <c r="Q73" s="2"/>
      <c r="R73" s="7">
        <f t="shared" si="42"/>
        <v>3.5728077350940184E-2</v>
      </c>
      <c r="S73" s="2"/>
      <c r="T73" s="6"/>
      <c r="U73" s="2"/>
      <c r="V73" s="7">
        <f t="shared" si="43"/>
        <v>0</v>
      </c>
      <c r="W73" s="2"/>
      <c r="X73" s="6">
        <f t="shared" si="44"/>
        <v>4732.3999999999996</v>
      </c>
      <c r="Y73" s="2"/>
      <c r="Z73" s="7">
        <f t="shared" si="45"/>
        <v>0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6">
        <v>548.02</v>
      </c>
      <c r="E74" s="2"/>
      <c r="F74" s="7">
        <f t="shared" si="38"/>
        <v>0.11387570546334085</v>
      </c>
      <c r="G74" s="2"/>
      <c r="H74" s="6">
        <v>1300</v>
      </c>
      <c r="I74" s="2"/>
      <c r="J74" s="7">
        <f t="shared" si="39"/>
        <v>0.1</v>
      </c>
      <c r="K74" s="2"/>
      <c r="L74" s="6">
        <f t="shared" si="40"/>
        <v>-751.98</v>
      </c>
      <c r="M74" s="2"/>
      <c r="N74" s="7">
        <f t="shared" si="41"/>
        <v>-0.57844615384615383</v>
      </c>
      <c r="O74" s="11"/>
      <c r="P74" s="6">
        <v>7230.6</v>
      </c>
      <c r="Q74" s="2"/>
      <c r="R74" s="7">
        <f t="shared" si="42"/>
        <v>5.4588672997571655E-2</v>
      </c>
      <c r="S74" s="2"/>
      <c r="T74" s="6">
        <v>27700</v>
      </c>
      <c r="U74" s="2"/>
      <c r="V74" s="7">
        <f t="shared" si="43"/>
        <v>6.9126781511954935E-2</v>
      </c>
      <c r="W74" s="2"/>
      <c r="X74" s="6">
        <f t="shared" si="44"/>
        <v>-20469.400000000001</v>
      </c>
      <c r="Y74" s="2"/>
      <c r="Z74" s="7">
        <f t="shared" si="45"/>
        <v>-0.73896750902527086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6">
        <v>2921.89</v>
      </c>
      <c r="E75" s="2"/>
      <c r="F75" s="7">
        <f t="shared" si="38"/>
        <v>0.60715354373249331</v>
      </c>
      <c r="G75" s="2"/>
      <c r="H75" s="6">
        <v>200</v>
      </c>
      <c r="I75" s="2"/>
      <c r="J75" s="7">
        <f t="shared" si="39"/>
        <v>1.5384615384615385E-2</v>
      </c>
      <c r="K75" s="2"/>
      <c r="L75" s="6">
        <f t="shared" si="40"/>
        <v>2721.89</v>
      </c>
      <c r="M75" s="2"/>
      <c r="N75" s="7">
        <f t="shared" si="41"/>
        <v>13.609449999999999</v>
      </c>
      <c r="O75" s="11"/>
      <c r="P75" s="6">
        <v>11937.61</v>
      </c>
      <c r="Q75" s="2"/>
      <c r="R75" s="7">
        <f t="shared" si="42"/>
        <v>9.0125064125043758E-2</v>
      </c>
      <c r="S75" s="2"/>
      <c r="T75" s="6">
        <v>2500</v>
      </c>
      <c r="U75" s="2"/>
      <c r="V75" s="7">
        <f t="shared" si="43"/>
        <v>6.2388791978298681E-3</v>
      </c>
      <c r="W75" s="2"/>
      <c r="X75" s="6">
        <f t="shared" si="44"/>
        <v>9437.61</v>
      </c>
      <c r="Y75" s="2"/>
      <c r="Z75" s="7">
        <f t="shared" si="45"/>
        <v>3.7750440000000003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>
        <v>6014.48</v>
      </c>
      <c r="E76" s="2"/>
      <c r="F76" s="7">
        <f t="shared" si="38"/>
        <v>1.2497776595656258</v>
      </c>
      <c r="G76" s="2"/>
      <c r="H76" s="6">
        <v>100</v>
      </c>
      <c r="I76" s="2"/>
      <c r="J76" s="7">
        <f t="shared" si="39"/>
        <v>7.6923076923076927E-3</v>
      </c>
      <c r="K76" s="2"/>
      <c r="L76" s="6">
        <f t="shared" si="40"/>
        <v>5914.48</v>
      </c>
      <c r="M76" s="2"/>
      <c r="N76" s="7">
        <f t="shared" si="41"/>
        <v>59.144799999999996</v>
      </c>
      <c r="O76" s="11"/>
      <c r="P76" s="6">
        <v>27755.7</v>
      </c>
      <c r="Q76" s="2"/>
      <c r="R76" s="7">
        <f t="shared" si="42"/>
        <v>0.20954648730654435</v>
      </c>
      <c r="S76" s="2"/>
      <c r="T76" s="6">
        <v>1250</v>
      </c>
      <c r="U76" s="2"/>
      <c r="V76" s="7">
        <f t="shared" si="43"/>
        <v>3.119439598914934E-3</v>
      </c>
      <c r="W76" s="2"/>
      <c r="X76" s="6">
        <f t="shared" si="44"/>
        <v>26505.7</v>
      </c>
      <c r="Y76" s="2"/>
      <c r="Z76" s="7">
        <f t="shared" si="45"/>
        <v>21.204560000000001</v>
      </c>
    </row>
    <row r="77" spans="1:26" s="27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SUM(OSRRefD22_11x_0)</f>
        <v>234.25</v>
      </c>
      <c r="E77" s="1"/>
      <c r="F77" s="5">
        <f t="shared" ref="F77:F80" si="46">IF(D$12=0,0,D77/D$12)</f>
        <v>4.8675931544081591E-2</v>
      </c>
      <c r="G77" s="1"/>
      <c r="H77" s="1">
        <f>SUM(OSRRefH22_11x_0)</f>
        <v>165</v>
      </c>
      <c r="I77" s="1"/>
      <c r="J77" s="5">
        <f t="shared" ref="J77:J80" si="47">IF(H$12=0,0,H77/H$12)</f>
        <v>1.2692307692307692E-2</v>
      </c>
      <c r="K77" s="1"/>
      <c r="L77" s="1">
        <f t="shared" ref="L77:L80" si="48">+D77-H77</f>
        <v>69.25</v>
      </c>
      <c r="M77" s="1"/>
      <c r="N77" s="5">
        <f t="shared" ref="N77:N80" si="49">IF(H77=0,0,L77/H77)</f>
        <v>0.41969696969696968</v>
      </c>
      <c r="O77" s="13"/>
      <c r="P77" s="1">
        <f>SUM(OSRRefP22_11x_0)</f>
        <v>1977.6</v>
      </c>
      <c r="Q77" s="1"/>
      <c r="R77" s="5">
        <f t="shared" ref="R77:R80" si="50">IF(P$12=0,0,P77/P$12)</f>
        <v>1.4930235349763185E-2</v>
      </c>
      <c r="S77" s="1"/>
      <c r="T77" s="1">
        <f>SUM(OSRRefT22_11x_0)</f>
        <v>1980</v>
      </c>
      <c r="U77" s="1"/>
      <c r="V77" s="5">
        <f t="shared" ref="V77:V80" si="51">IF(T$12=0,0,T77/T$12)</f>
        <v>4.9411923246812555E-3</v>
      </c>
      <c r="W77" s="1"/>
      <c r="X77" s="1">
        <f t="shared" ref="X77:X80" si="52">+P77-T77</f>
        <v>-2.4000000000000909</v>
      </c>
      <c r="Y77" s="1"/>
      <c r="Z77" s="5">
        <f t="shared" ref="Z77:Z80" si="53">IF(T77=0,0,X77/T77)</f>
        <v>-1.2121212121212581E-3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6">
        <v>234.25</v>
      </c>
      <c r="E78" s="2"/>
      <c r="F78" s="7">
        <f t="shared" si="46"/>
        <v>4.8675931544081591E-2</v>
      </c>
      <c r="G78" s="2"/>
      <c r="H78" s="6">
        <v>165</v>
      </c>
      <c r="I78" s="2"/>
      <c r="J78" s="7">
        <f t="shared" si="47"/>
        <v>1.2692307692307692E-2</v>
      </c>
      <c r="K78" s="2"/>
      <c r="L78" s="6">
        <f t="shared" si="48"/>
        <v>69.25</v>
      </c>
      <c r="M78" s="2"/>
      <c r="N78" s="7">
        <f t="shared" si="49"/>
        <v>0.41969696969696968</v>
      </c>
      <c r="O78" s="11"/>
      <c r="P78" s="6">
        <v>1977.6</v>
      </c>
      <c r="Q78" s="2"/>
      <c r="R78" s="7">
        <f t="shared" si="50"/>
        <v>1.4930235349763185E-2</v>
      </c>
      <c r="S78" s="2"/>
      <c r="T78" s="6">
        <v>1980</v>
      </c>
      <c r="U78" s="2"/>
      <c r="V78" s="7">
        <f t="shared" si="51"/>
        <v>4.9411923246812555E-3</v>
      </c>
      <c r="W78" s="2"/>
      <c r="X78" s="6">
        <f t="shared" si="52"/>
        <v>-2.4000000000000909</v>
      </c>
      <c r="Y78" s="2"/>
      <c r="Z78" s="7">
        <f t="shared" si="53"/>
        <v>-1.2121212121212581E-3</v>
      </c>
    </row>
    <row r="79" spans="1:26" s="27" customFormat="1" outlineLevel="1" collapsed="1" x14ac:dyDescent="0.25">
      <c r="A79" s="25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SUM(OSRRefD22_12x_0)</f>
        <v>0</v>
      </c>
      <c r="E79" s="1"/>
      <c r="F79" s="5">
        <f t="shared" si="46"/>
        <v>0</v>
      </c>
      <c r="G79" s="1"/>
      <c r="H79" s="1">
        <f>SUM(OSRRefH22_12x_0)</f>
        <v>0</v>
      </c>
      <c r="I79" s="1"/>
      <c r="J79" s="5">
        <f t="shared" si="47"/>
        <v>0</v>
      </c>
      <c r="K79" s="1"/>
      <c r="L79" s="1">
        <f t="shared" si="48"/>
        <v>0</v>
      </c>
      <c r="M79" s="1"/>
      <c r="N79" s="5">
        <f t="shared" si="49"/>
        <v>0</v>
      </c>
      <c r="O79" s="13"/>
      <c r="P79" s="1">
        <f>SUM(OSRRefP22_12x_0)</f>
        <v>15.02</v>
      </c>
      <c r="Q79" s="1"/>
      <c r="R79" s="5">
        <f t="shared" si="50"/>
        <v>1.1339610383972647E-4</v>
      </c>
      <c r="S79" s="1"/>
      <c r="T79" s="1">
        <f>SUM(OSRRefT22_12x_0)</f>
        <v>0</v>
      </c>
      <c r="U79" s="1"/>
      <c r="V79" s="5">
        <f t="shared" si="51"/>
        <v>0</v>
      </c>
      <c r="W79" s="1"/>
      <c r="X79" s="1">
        <f t="shared" si="52"/>
        <v>15.02</v>
      </c>
      <c r="Y79" s="1"/>
      <c r="Z79" s="5">
        <f t="shared" si="53"/>
        <v>0</v>
      </c>
    </row>
    <row r="80" spans="1:26" s="24" customFormat="1" hidden="1" outlineLevel="2" x14ac:dyDescent="0.25">
      <c r="A80" s="26"/>
      <c r="B80" s="11" t="str">
        <f>CONCATENATE("          ", "6274", " - ", "UTILITIES")</f>
        <v xml:space="preserve">          6274 - UTILITIES</v>
      </c>
      <c r="C80" s="11"/>
      <c r="D80" s="6"/>
      <c r="E80" s="2"/>
      <c r="F80" s="7">
        <f t="shared" si="46"/>
        <v>0</v>
      </c>
      <c r="G80" s="2"/>
      <c r="H80" s="6"/>
      <c r="I80" s="2"/>
      <c r="J80" s="7">
        <f t="shared" si="47"/>
        <v>0</v>
      </c>
      <c r="K80" s="2"/>
      <c r="L80" s="6">
        <f t="shared" si="48"/>
        <v>0</v>
      </c>
      <c r="M80" s="2"/>
      <c r="N80" s="7">
        <f t="shared" si="49"/>
        <v>0</v>
      </c>
      <c r="O80" s="11"/>
      <c r="P80" s="6">
        <v>15.02</v>
      </c>
      <c r="Q80" s="2"/>
      <c r="R80" s="7">
        <f t="shared" si="50"/>
        <v>1.1339610383972647E-4</v>
      </c>
      <c r="S80" s="2"/>
      <c r="T80" s="6"/>
      <c r="U80" s="2"/>
      <c r="V80" s="7">
        <f t="shared" si="51"/>
        <v>0</v>
      </c>
      <c r="W80" s="2"/>
      <c r="X80" s="6">
        <f t="shared" si="52"/>
        <v>15.02</v>
      </c>
      <c r="Y80" s="2"/>
      <c r="Z80" s="7">
        <f t="shared" si="53"/>
        <v>0</v>
      </c>
    </row>
    <row r="81" spans="1:26" s="61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9" t="s">
        <v>293</v>
      </c>
      <c r="C82" s="10"/>
      <c r="D82" s="4">
        <f>SUM(OSRRefD25x_0)</f>
        <v>16577.560000000001</v>
      </c>
      <c r="E82" s="4"/>
      <c r="F82" s="12">
        <f t="shared" ref="F82:F83" si="54">IF(D$12=0,0,D82/D$12)</f>
        <v>3.4447307395001294</v>
      </c>
      <c r="G82" s="4"/>
      <c r="H82" s="4">
        <f>SUM(OSRRefH25x_0)</f>
        <v>6875</v>
      </c>
      <c r="I82" s="4"/>
      <c r="J82" s="12">
        <f t="shared" ref="J82:J83" si="55">IF(H$12=0,0,H82/H$12)</f>
        <v>0.52884615384615385</v>
      </c>
      <c r="K82" s="4"/>
      <c r="L82" s="4">
        <f t="shared" ref="L82:L83" si="56">+D82-H82</f>
        <v>9702.5600000000013</v>
      </c>
      <c r="M82" s="4"/>
      <c r="N82" s="12">
        <f t="shared" ref="N82:N83" si="57">IF(H82=0,0,L82/H82)</f>
        <v>1.4112814545454548</v>
      </c>
      <c r="O82" s="10"/>
      <c r="P82" s="4">
        <f>SUM(OSRRefP25x_0)</f>
        <v>91179.56</v>
      </c>
      <c r="Q82" s="4"/>
      <c r="R82" s="12">
        <f t="shared" ref="R82:R83" si="58">IF(P$12=0,0,P82/P$12)</f>
        <v>0.68837595564717513</v>
      </c>
      <c r="S82" s="4"/>
      <c r="T82" s="4">
        <f>SUM(OSRRefT25x_0)</f>
        <v>82500</v>
      </c>
      <c r="U82" s="4"/>
      <c r="V82" s="12">
        <f t="shared" ref="V82:V83" si="59">IF(T$12=0,0,T82/T$12)</f>
        <v>0.20588301352838564</v>
      </c>
      <c r="W82" s="4"/>
      <c r="X82" s="4">
        <f t="shared" ref="X82:X83" si="60">+P82-T82</f>
        <v>8679.5599999999977</v>
      </c>
      <c r="Y82" s="4"/>
      <c r="Z82" s="12">
        <f t="shared" ref="Z82:Z83" si="61">IF(T82=0,0,X82/T82)</f>
        <v>0.10520678787878784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--16577.56</f>
        <v>16577.560000000001</v>
      </c>
      <c r="E83" s="2"/>
      <c r="F83" s="19">
        <f t="shared" si="54"/>
        <v>3.4447307395001294</v>
      </c>
      <c r="G83" s="2"/>
      <c r="H83" s="2">
        <v>6875</v>
      </c>
      <c r="I83" s="2"/>
      <c r="J83" s="19">
        <f t="shared" si="55"/>
        <v>0.52884615384615385</v>
      </c>
      <c r="K83" s="2"/>
      <c r="L83" s="2">
        <f t="shared" si="56"/>
        <v>9702.5600000000013</v>
      </c>
      <c r="M83" s="2"/>
      <c r="N83" s="19">
        <f t="shared" si="57"/>
        <v>1.4112814545454548</v>
      </c>
      <c r="O83" s="11"/>
      <c r="P83" s="2">
        <f>--91179.56</f>
        <v>91179.56</v>
      </c>
      <c r="Q83" s="2"/>
      <c r="R83" s="19">
        <f t="shared" si="58"/>
        <v>0.68837595564717513</v>
      </c>
      <c r="S83" s="2"/>
      <c r="T83" s="2">
        <v>82500</v>
      </c>
      <c r="U83" s="2"/>
      <c r="V83" s="19">
        <f t="shared" si="59"/>
        <v>0.20588301352838564</v>
      </c>
      <c r="W83" s="2"/>
      <c r="X83" s="2">
        <f t="shared" si="60"/>
        <v>8679.5599999999977</v>
      </c>
      <c r="Y83" s="2"/>
      <c r="Z83" s="19">
        <f t="shared" si="61"/>
        <v>0.10520678787878784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277</v>
      </c>
      <c r="C85" s="28"/>
      <c r="D85" s="20">
        <f>+D28-D30+D82</f>
        <v>-11056.999999999996</v>
      </c>
      <c r="E85" s="14"/>
      <c r="F85" s="22">
        <f>IF(D$12=0,0,D85/D$12)</f>
        <v>-2.2975870868000428</v>
      </c>
      <c r="G85" s="14"/>
      <c r="H85" s="20">
        <f>+H28-H30+H82</f>
        <v>-2551.3249412423429</v>
      </c>
      <c r="I85" s="14"/>
      <c r="J85" s="22">
        <f>IF(H$12=0,0,H85/H$12)</f>
        <v>-0.19625576471094947</v>
      </c>
      <c r="K85" s="16"/>
      <c r="L85" s="20">
        <f>+D85-H85</f>
        <v>-8505.6750587576535</v>
      </c>
      <c r="M85" s="16"/>
      <c r="N85" s="22">
        <f>IF(H85=0,0,L85/H85)</f>
        <v>3.3338266409201087</v>
      </c>
      <c r="O85" s="29"/>
      <c r="P85" s="20">
        <f>+P28-P30+P82</f>
        <v>-94371.32</v>
      </c>
      <c r="Q85" s="14"/>
      <c r="R85" s="22">
        <f>IF(P$12=0,0,P85/P$12)</f>
        <v>-0.71247270320985723</v>
      </c>
      <c r="S85" s="14"/>
      <c r="T85" s="20">
        <f>+T28-T30+T82</f>
        <v>110476.74429035001</v>
      </c>
      <c r="U85" s="14"/>
      <c r="V85" s="22">
        <f>IF(T$12=0,0,T85/T$12)</f>
        <v>0.27570042471881373</v>
      </c>
      <c r="W85" s="16"/>
      <c r="X85" s="20">
        <f>+P85-T85</f>
        <v>-204848.06429035001</v>
      </c>
      <c r="Y85" s="16"/>
      <c r="Z85" s="22">
        <f>IF(T85=0,0,X85/T85)</f>
        <v>-1.854218872996271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128</v>
      </c>
      <c r="C87" s="10"/>
      <c r="D87" s="4">
        <v>9386.9</v>
      </c>
      <c r="E87" s="4"/>
      <c r="F87" s="12">
        <f>IF(D$12=0,0,D87/D$12)</f>
        <v>1.9505489938575857</v>
      </c>
      <c r="G87" s="4"/>
      <c r="H87" s="4">
        <v>-3866</v>
      </c>
      <c r="I87" s="4"/>
      <c r="J87" s="12">
        <f>IF(H$12=0,0,H87/H$12)</f>
        <v>-0.29738461538461536</v>
      </c>
      <c r="K87" s="4"/>
      <c r="L87" s="4">
        <f>+D87-H87</f>
        <v>13252.9</v>
      </c>
      <c r="M87" s="4"/>
      <c r="N87" s="12">
        <f>IF(H87=0,0,L87/H87)</f>
        <v>-3.4280651836523539</v>
      </c>
      <c r="O87" s="10"/>
      <c r="P87" s="4">
        <v>36663.129999999997</v>
      </c>
      <c r="Q87" s="4"/>
      <c r="R87" s="12">
        <f>IF(P$12=0,0,P87/P$12)</f>
        <v>0.27679468019769576</v>
      </c>
      <c r="S87" s="4"/>
      <c r="T87" s="4">
        <v>67710</v>
      </c>
      <c r="U87" s="4"/>
      <c r="V87" s="12">
        <f>IF(T$12=0,0,T87/T$12)</f>
        <v>0.16897380419402416</v>
      </c>
      <c r="W87" s="4"/>
      <c r="X87" s="4">
        <f>+P87-T87</f>
        <v>-31046.870000000003</v>
      </c>
      <c r="Y87" s="4"/>
      <c r="Z87" s="12">
        <f>IF(T87=0,0,X87/T87)</f>
        <v>-0.45852710087136322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126</v>
      </c>
      <c r="C89" s="28"/>
      <c r="D89" s="34">
        <f>+D85-D87</f>
        <v>-20443.899999999994</v>
      </c>
      <c r="E89" s="14"/>
      <c r="F89" s="35">
        <f>IF(D$12=0,0,D89/D$12)</f>
        <v>-4.2481360806576278</v>
      </c>
      <c r="G89" s="14"/>
      <c r="H89" s="34">
        <f>+H85-H87</f>
        <v>1314.6750587576571</v>
      </c>
      <c r="I89" s="14"/>
      <c r="J89" s="35">
        <f>IF(H$12=0,0,H89/H$12)</f>
        <v>0.10112885067366593</v>
      </c>
      <c r="K89" s="16"/>
      <c r="L89" s="34">
        <f>D89-H89</f>
        <v>-21758.575058757651</v>
      </c>
      <c r="M89" s="16"/>
      <c r="N89" s="35">
        <f>IF(H89=0,0,L89/H89)</f>
        <v>-16.550534608391438</v>
      </c>
      <c r="O89" s="29"/>
      <c r="P89" s="34">
        <f>+P85-P87</f>
        <v>-131034.45000000001</v>
      </c>
      <c r="Q89" s="14"/>
      <c r="R89" s="35">
        <f>IF(P$12=0,0,P89/P$12)</f>
        <v>-0.98926738340755305</v>
      </c>
      <c r="S89" s="14"/>
      <c r="T89" s="34">
        <f>+T85-T87</f>
        <v>42766.744290350005</v>
      </c>
      <c r="U89" s="14"/>
      <c r="V89" s="35">
        <f>IF(T$12=0,0,T89/T$12)</f>
        <v>0.10672662052478958</v>
      </c>
      <c r="W89" s="16"/>
      <c r="X89" s="34">
        <f>P89-T89</f>
        <v>-173801.19429035002</v>
      </c>
      <c r="Y89" s="16"/>
      <c r="Z89" s="35">
        <f>IF(T89=0,0,X89/T89)</f>
        <v>-4.0639332540814186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294</v>
      </c>
      <c r="C92" s="28"/>
      <c r="D92" s="33">
        <f>SUM(D89:D91)</f>
        <v>-20443.899999999994</v>
      </c>
      <c r="E92" s="14"/>
      <c r="F92" s="31">
        <f>IF(D$12=0,0,D92/D$12)</f>
        <v>-4.2481360806576278</v>
      </c>
      <c r="G92" s="14"/>
      <c r="H92" s="33">
        <f>SUM(H89:H91)</f>
        <v>1314.6750587576571</v>
      </c>
      <c r="I92" s="14"/>
      <c r="J92" s="31">
        <f>IF(H$12=0,0,H92/H$12)</f>
        <v>0.10112885067366593</v>
      </c>
      <c r="K92" s="16"/>
      <c r="L92" s="33">
        <f>+D92-H92</f>
        <v>-21758.575058757651</v>
      </c>
      <c r="M92" s="16"/>
      <c r="N92" s="31">
        <f>IF(H92=0,0,L92/H92)</f>
        <v>-16.550534608391438</v>
      </c>
      <c r="O92" s="29"/>
      <c r="P92" s="33">
        <f>SUM(P89:P91)</f>
        <v>-131034.45000000001</v>
      </c>
      <c r="Q92" s="14"/>
      <c r="R92" s="31">
        <f>IF(P$12=0,0,P92/P$12)</f>
        <v>-0.98926738340755305</v>
      </c>
      <c r="S92" s="14"/>
      <c r="T92" s="33">
        <f>SUM(T89:T91)</f>
        <v>42766.744290350005</v>
      </c>
      <c r="U92" s="14"/>
      <c r="V92" s="31">
        <f>IF(T$12=0,0,T92/T$12)</f>
        <v>0.10672662052478958</v>
      </c>
      <c r="W92" s="16"/>
      <c r="X92" s="33">
        <f>+P92-T92</f>
        <v>-173801.19429035002</v>
      </c>
      <c r="Y92" s="16"/>
      <c r="Z92" s="31">
        <f>IF(T92=0,0,X92/T92)</f>
        <v>-4.0639332540814186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>
        <v>44454.686112384261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5" t="s">
        <v>56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3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64681.91</v>
      </c>
      <c r="E12" s="4"/>
      <c r="F12" s="12"/>
      <c r="G12" s="4"/>
      <c r="H12" s="4">
        <f>SUM(OSRRefH13x_0)</f>
        <v>304888</v>
      </c>
      <c r="I12" s="4"/>
      <c r="J12" s="12"/>
      <c r="K12" s="4"/>
      <c r="L12" s="4">
        <f t="shared" ref="L12:L31" si="0">+D12-H12</f>
        <v>-240206.09</v>
      </c>
      <c r="M12" s="4"/>
      <c r="N12" s="12">
        <f t="shared" ref="N12:N31" si="1">IF(H12=0,0,L12/H12)</f>
        <v>-0.78785025976752121</v>
      </c>
      <c r="O12" s="10"/>
      <c r="P12" s="4">
        <f>SUM(OSRRefP13x_0)</f>
        <v>2637246.41</v>
      </c>
      <c r="Q12" s="4"/>
      <c r="R12" s="12"/>
      <c r="S12" s="4"/>
      <c r="T12" s="4">
        <f>SUM(OSRRefT13x_0)</f>
        <v>2514971</v>
      </c>
      <c r="U12" s="4"/>
      <c r="V12" s="12"/>
      <c r="W12" s="4"/>
      <c r="X12" s="4">
        <f t="shared" ref="X12:X31" si="2">+P12-T12</f>
        <v>122275.41000000015</v>
      </c>
      <c r="Y12" s="4"/>
      <c r="Z12" s="12">
        <f t="shared" ref="Z12:Z31" si="3">IF(T12=0,0,X12/T12)</f>
        <v>4.8619013897178195E-2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-113.77</f>
        <v>-113.77</v>
      </c>
      <c r="E13" s="2"/>
      <c r="F13" s="19"/>
      <c r="G13" s="2"/>
      <c r="H13" s="2">
        <v>268301</v>
      </c>
      <c r="I13" s="2"/>
      <c r="J13" s="19"/>
      <c r="K13" s="2"/>
      <c r="L13" s="2">
        <f t="shared" si="0"/>
        <v>-268414.77</v>
      </c>
      <c r="M13" s="2"/>
      <c r="N13" s="19">
        <f t="shared" si="1"/>
        <v>-1.000424038672983</v>
      </c>
      <c r="O13" s="11"/>
      <c r="P13" s="2">
        <f>-3077.68</f>
        <v>-3077.68</v>
      </c>
      <c r="Q13" s="2"/>
      <c r="R13" s="19"/>
      <c r="S13" s="2"/>
      <c r="T13" s="2">
        <v>2303382</v>
      </c>
      <c r="U13" s="2"/>
      <c r="V13" s="19"/>
      <c r="W13" s="2"/>
      <c r="X13" s="2">
        <f t="shared" si="2"/>
        <v>-2306459.6800000002</v>
      </c>
      <c r="Y13" s="2"/>
      <c r="Z13" s="19">
        <f t="shared" si="3"/>
        <v>-1.0013361570073918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--1743.92</f>
        <v>1743.92</v>
      </c>
      <c r="E14" s="2"/>
      <c r="F14" s="19"/>
      <c r="G14" s="2"/>
      <c r="H14" s="2"/>
      <c r="I14" s="2"/>
      <c r="J14" s="19"/>
      <c r="K14" s="2"/>
      <c r="L14" s="2">
        <f t="shared" si="0"/>
        <v>1743.92</v>
      </c>
      <c r="M14" s="2"/>
      <c r="N14" s="19">
        <f t="shared" si="1"/>
        <v>0</v>
      </c>
      <c r="O14" s="11"/>
      <c r="P14" s="2">
        <f>--65697.9</f>
        <v>65697.899999999994</v>
      </c>
      <c r="Q14" s="2"/>
      <c r="R14" s="19"/>
      <c r="S14" s="2"/>
      <c r="T14" s="2"/>
      <c r="U14" s="2"/>
      <c r="V14" s="19"/>
      <c r="W14" s="2"/>
      <c r="X14" s="2">
        <f t="shared" si="2"/>
        <v>65697.899999999994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--78232.49</f>
        <v>78232.490000000005</v>
      </c>
      <c r="E15" s="2"/>
      <c r="F15" s="19"/>
      <c r="G15" s="2"/>
      <c r="H15" s="2"/>
      <c r="I15" s="2"/>
      <c r="J15" s="19"/>
      <c r="K15" s="2"/>
      <c r="L15" s="2">
        <f t="shared" si="0"/>
        <v>78232.490000000005</v>
      </c>
      <c r="M15" s="2"/>
      <c r="N15" s="19">
        <f t="shared" si="1"/>
        <v>0</v>
      </c>
      <c r="O15" s="11"/>
      <c r="P15" s="2">
        <f>--2207891.11</f>
        <v>2207891.11</v>
      </c>
      <c r="Q15" s="2"/>
      <c r="R15" s="19"/>
      <c r="S15" s="2"/>
      <c r="T15" s="2"/>
      <c r="U15" s="2"/>
      <c r="V15" s="19"/>
      <c r="W15" s="2"/>
      <c r="X15" s="2">
        <f t="shared" si="2"/>
        <v>2207891.11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--3971.25</f>
        <v>3971.25</v>
      </c>
      <c r="E16" s="2"/>
      <c r="F16" s="19"/>
      <c r="G16" s="2"/>
      <c r="H16" s="2"/>
      <c r="I16" s="2"/>
      <c r="J16" s="19"/>
      <c r="K16" s="2"/>
      <c r="L16" s="2">
        <f t="shared" si="0"/>
        <v>3971.25</v>
      </c>
      <c r="M16" s="2"/>
      <c r="N16" s="19">
        <f t="shared" si="1"/>
        <v>0</v>
      </c>
      <c r="O16" s="11"/>
      <c r="P16" s="2">
        <f>--141108.24</f>
        <v>141108.24</v>
      </c>
      <c r="Q16" s="2"/>
      <c r="R16" s="19"/>
      <c r="S16" s="2"/>
      <c r="T16" s="2"/>
      <c r="U16" s="2"/>
      <c r="V16" s="19"/>
      <c r="W16" s="2"/>
      <c r="X16" s="2">
        <f t="shared" si="2"/>
        <v>141108.24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--850.72</f>
        <v>850.72</v>
      </c>
      <c r="E18" s="2"/>
      <c r="F18" s="19"/>
      <c r="G18" s="2"/>
      <c r="H18" s="2"/>
      <c r="I18" s="2"/>
      <c r="J18" s="19"/>
      <c r="K18" s="2"/>
      <c r="L18" s="2">
        <f t="shared" si="0"/>
        <v>850.72</v>
      </c>
      <c r="M18" s="2"/>
      <c r="N18" s="19">
        <f t="shared" si="1"/>
        <v>0</v>
      </c>
      <c r="O18" s="11"/>
      <c r="P18" s="2">
        <f>--67783.14</f>
        <v>67783.14</v>
      </c>
      <c r="Q18" s="2"/>
      <c r="R18" s="19"/>
      <c r="S18" s="2"/>
      <c r="T18" s="2"/>
      <c r="U18" s="2"/>
      <c r="V18" s="19"/>
      <c r="W18" s="2"/>
      <c r="X18" s="2">
        <f t="shared" si="2"/>
        <v>67783.14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36587</v>
      </c>
      <c r="I19" s="2"/>
      <c r="J19" s="19"/>
      <c r="K19" s="2"/>
      <c r="L19" s="2">
        <f t="shared" si="0"/>
        <v>-36587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211589</v>
      </c>
      <c r="U19" s="2"/>
      <c r="V19" s="19"/>
      <c r="W19" s="2"/>
      <c r="X19" s="2">
        <f t="shared" si="2"/>
        <v>-211589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--33.97</f>
        <v>33.97</v>
      </c>
      <c r="E20" s="2"/>
      <c r="F20" s="19"/>
      <c r="G20" s="2"/>
      <c r="H20" s="2"/>
      <c r="I20" s="2"/>
      <c r="J20" s="19"/>
      <c r="K20" s="2"/>
      <c r="L20" s="2">
        <f t="shared" si="0"/>
        <v>33.97</v>
      </c>
      <c r="M20" s="2"/>
      <c r="N20" s="19">
        <f t="shared" si="1"/>
        <v>0</v>
      </c>
      <c r="O20" s="11"/>
      <c r="P20" s="2">
        <f>--14322.55</f>
        <v>14322.55</v>
      </c>
      <c r="Q20" s="2"/>
      <c r="R20" s="19"/>
      <c r="S20" s="2"/>
      <c r="T20" s="2"/>
      <c r="U20" s="2"/>
      <c r="V20" s="19"/>
      <c r="W20" s="2"/>
      <c r="X20" s="2">
        <f t="shared" si="2"/>
        <v>14322.55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--19892.86</f>
        <v>19892.86</v>
      </c>
      <c r="E21" s="2"/>
      <c r="F21" s="19"/>
      <c r="G21" s="2"/>
      <c r="H21" s="2"/>
      <c r="I21" s="2"/>
      <c r="J21" s="19"/>
      <c r="K21" s="2"/>
      <c r="L21" s="2">
        <f t="shared" si="0"/>
        <v>19892.86</v>
      </c>
      <c r="M21" s="2"/>
      <c r="N21" s="19">
        <f t="shared" si="1"/>
        <v>0</v>
      </c>
      <c r="O21" s="11"/>
      <c r="P21" s="2">
        <f>--367422.08</f>
        <v>367422.08</v>
      </c>
      <c r="Q21" s="2"/>
      <c r="R21" s="19"/>
      <c r="S21" s="2"/>
      <c r="T21" s="2"/>
      <c r="U21" s="2"/>
      <c r="V21" s="19"/>
      <c r="W21" s="2"/>
      <c r="X21" s="2">
        <f t="shared" si="2"/>
        <v>367422.08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--1441.27</f>
        <v>1441.27</v>
      </c>
      <c r="E22" s="2"/>
      <c r="F22" s="19"/>
      <c r="G22" s="2"/>
      <c r="H22" s="2"/>
      <c r="I22" s="2"/>
      <c r="J22" s="19"/>
      <c r="K22" s="2"/>
      <c r="L22" s="2">
        <f t="shared" si="0"/>
        <v>1441.27</v>
      </c>
      <c r="M22" s="2"/>
      <c r="N22" s="19">
        <f t="shared" si="1"/>
        <v>0</v>
      </c>
      <c r="O22" s="11"/>
      <c r="P22" s="2">
        <f>--23887.02</f>
        <v>23887.02</v>
      </c>
      <c r="Q22" s="2"/>
      <c r="R22" s="19"/>
      <c r="S22" s="2"/>
      <c r="T22" s="2"/>
      <c r="U22" s="2"/>
      <c r="V22" s="19"/>
      <c r="W22" s="2"/>
      <c r="X22" s="2">
        <f t="shared" si="2"/>
        <v>23887.02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--3849.74</f>
        <v>3849.74</v>
      </c>
      <c r="E23" s="2"/>
      <c r="F23" s="19"/>
      <c r="G23" s="2"/>
      <c r="H23" s="2"/>
      <c r="I23" s="2"/>
      <c r="J23" s="19"/>
      <c r="K23" s="2"/>
      <c r="L23" s="2">
        <f t="shared" si="0"/>
        <v>3849.74</v>
      </c>
      <c r="M23" s="2"/>
      <c r="N23" s="19">
        <f t="shared" si="1"/>
        <v>0</v>
      </c>
      <c r="O23" s="11"/>
      <c r="P23" s="2">
        <f>--59807.35</f>
        <v>59807.35</v>
      </c>
      <c r="Q23" s="2"/>
      <c r="R23" s="19"/>
      <c r="S23" s="2"/>
      <c r="T23" s="2"/>
      <c r="U23" s="2"/>
      <c r="V23" s="19"/>
      <c r="W23" s="2"/>
      <c r="X23" s="2">
        <f t="shared" si="2"/>
        <v>59807.35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--317.9</f>
        <v>317.89999999999998</v>
      </c>
      <c r="E24" s="2"/>
      <c r="F24" s="19"/>
      <c r="G24" s="2"/>
      <c r="H24" s="2"/>
      <c r="I24" s="2"/>
      <c r="J24" s="19"/>
      <c r="K24" s="2"/>
      <c r="L24" s="2">
        <f t="shared" si="0"/>
        <v>317.89999999999998</v>
      </c>
      <c r="M24" s="2"/>
      <c r="N24" s="19">
        <f t="shared" si="1"/>
        <v>0</v>
      </c>
      <c r="O24" s="11"/>
      <c r="P24" s="2">
        <f>--3797.04</f>
        <v>3797.04</v>
      </c>
      <c r="Q24" s="2"/>
      <c r="R24" s="19"/>
      <c r="S24" s="2"/>
      <c r="T24" s="2"/>
      <c r="U24" s="2"/>
      <c r="V24" s="19"/>
      <c r="W24" s="2"/>
      <c r="X24" s="2">
        <f t="shared" si="2"/>
        <v>3797.04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-529.99</f>
        <v>-529.99</v>
      </c>
      <c r="E25" s="2"/>
      <c r="F25" s="19"/>
      <c r="G25" s="2"/>
      <c r="H25" s="2"/>
      <c r="I25" s="2"/>
      <c r="J25" s="19"/>
      <c r="K25" s="2"/>
      <c r="L25" s="2">
        <f t="shared" si="0"/>
        <v>-529.99</v>
      </c>
      <c r="M25" s="2"/>
      <c r="N25" s="19">
        <f t="shared" si="1"/>
        <v>0</v>
      </c>
      <c r="O25" s="11"/>
      <c r="P25" s="2">
        <f>-15372.12</f>
        <v>-15372.12</v>
      </c>
      <c r="Q25" s="2"/>
      <c r="R25" s="19"/>
      <c r="S25" s="2"/>
      <c r="T25" s="2"/>
      <c r="U25" s="2"/>
      <c r="V25" s="19"/>
      <c r="W25" s="2"/>
      <c r="X25" s="2">
        <f t="shared" si="2"/>
        <v>-15372.12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-44973</f>
        <v>-44973</v>
      </c>
      <c r="E26" s="2"/>
      <c r="F26" s="19"/>
      <c r="G26" s="2"/>
      <c r="H26" s="2"/>
      <c r="I26" s="2"/>
      <c r="J26" s="19"/>
      <c r="K26" s="2"/>
      <c r="L26" s="2">
        <f t="shared" si="0"/>
        <v>-44973</v>
      </c>
      <c r="M26" s="2"/>
      <c r="N26" s="19">
        <f t="shared" si="1"/>
        <v>0</v>
      </c>
      <c r="O26" s="11"/>
      <c r="P26" s="2">
        <f>-285193.17</f>
        <v>-285193.17</v>
      </c>
      <c r="Q26" s="2"/>
      <c r="R26" s="19"/>
      <c r="S26" s="2"/>
      <c r="T26" s="2"/>
      <c r="U26" s="2"/>
      <c r="V26" s="19"/>
      <c r="W26" s="2"/>
      <c r="X26" s="2">
        <f t="shared" si="2"/>
        <v>-285193.17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-23.47</f>
        <v>-23.47</v>
      </c>
      <c r="E27" s="2"/>
      <c r="F27" s="19"/>
      <c r="G27" s="2"/>
      <c r="H27" s="2"/>
      <c r="I27" s="2"/>
      <c r="J27" s="19"/>
      <c r="K27" s="2"/>
      <c r="L27" s="2">
        <f t="shared" si="0"/>
        <v>-23.47</v>
      </c>
      <c r="M27" s="2"/>
      <c r="N27" s="19">
        <f t="shared" si="1"/>
        <v>0</v>
      </c>
      <c r="O27" s="11"/>
      <c r="P27" s="2">
        <f>-4152.64</f>
        <v>-4152.6400000000003</v>
      </c>
      <c r="Q27" s="2"/>
      <c r="R27" s="19"/>
      <c r="S27" s="2"/>
      <c r="T27" s="2"/>
      <c r="U27" s="2"/>
      <c r="V27" s="19"/>
      <c r="W27" s="2"/>
      <c r="X27" s="2">
        <f t="shared" si="2"/>
        <v>-4152.6400000000003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-9.99</f>
        <v>-9.99</v>
      </c>
      <c r="E29" s="2"/>
      <c r="F29" s="19"/>
      <c r="G29" s="2"/>
      <c r="H29" s="2"/>
      <c r="I29" s="2"/>
      <c r="J29" s="19"/>
      <c r="K29" s="2"/>
      <c r="L29" s="2">
        <f t="shared" si="0"/>
        <v>-9.99</v>
      </c>
      <c r="M29" s="2"/>
      <c r="N29" s="19">
        <f t="shared" si="1"/>
        <v>0</v>
      </c>
      <c r="O29" s="11"/>
      <c r="P29" s="2">
        <f>-4812.28</f>
        <v>-4812.28</v>
      </c>
      <c r="Q29" s="2"/>
      <c r="R29" s="19"/>
      <c r="S29" s="2"/>
      <c r="T29" s="2"/>
      <c r="U29" s="2"/>
      <c r="V29" s="19"/>
      <c r="W29" s="2"/>
      <c r="X29" s="2">
        <f t="shared" si="2"/>
        <v>-4812.28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-1.99</f>
        <v>-1.99</v>
      </c>
      <c r="E30" s="2"/>
      <c r="F30" s="19"/>
      <c r="G30" s="2"/>
      <c r="H30" s="2"/>
      <c r="I30" s="2"/>
      <c r="J30" s="19"/>
      <c r="K30" s="2"/>
      <c r="L30" s="2">
        <f t="shared" si="0"/>
        <v>-1.99</v>
      </c>
      <c r="M30" s="2"/>
      <c r="N30" s="19">
        <f t="shared" si="1"/>
        <v>0</v>
      </c>
      <c r="O30" s="11"/>
      <c r="P30" s="2">
        <f>-5626.14</f>
        <v>-5626.14</v>
      </c>
      <c r="Q30" s="2"/>
      <c r="R30" s="19"/>
      <c r="S30" s="2"/>
      <c r="T30" s="2"/>
      <c r="U30" s="2"/>
      <c r="V30" s="19"/>
      <c r="W30" s="2"/>
      <c r="X30" s="2">
        <f t="shared" si="2"/>
        <v>-5626.14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25290.510000000009</v>
      </c>
      <c r="E33" s="4"/>
      <c r="F33" s="12">
        <f t="shared" ref="F33:F48" si="4">IF(D$12=0,0,D33/D$12)</f>
        <v>0.39099819408548708</v>
      </c>
      <c r="G33" s="4"/>
      <c r="H33" s="4">
        <f>SUM(OSRRefH16x_0)</f>
        <v>256112</v>
      </c>
      <c r="I33" s="4"/>
      <c r="J33" s="12">
        <f t="shared" ref="J33:J48" si="5">IF(H$12=0,0,H33/H$12)</f>
        <v>0.84001994174910133</v>
      </c>
      <c r="K33" s="4"/>
      <c r="L33" s="4">
        <f t="shared" ref="L33:L48" si="6">+D33-H33</f>
        <v>-230821.49</v>
      </c>
      <c r="M33" s="4"/>
      <c r="N33" s="12">
        <f t="shared" ref="N33:N48" si="7">IF(H33=0,0,L33/H33)</f>
        <v>-0.90125214749796956</v>
      </c>
      <c r="O33" s="10"/>
      <c r="P33" s="4">
        <f>SUM(OSRRefP16x_0)</f>
        <v>2315780.3500000006</v>
      </c>
      <c r="Q33" s="4"/>
      <c r="R33" s="12">
        <f t="shared" ref="R33:R48" si="8">IF(P$12=0,0,P33/P$12)</f>
        <v>0.87810541374478557</v>
      </c>
      <c r="S33" s="4"/>
      <c r="T33" s="4">
        <f>SUM(OSRRefT16x_0)</f>
        <v>2090377</v>
      </c>
      <c r="U33" s="4"/>
      <c r="V33" s="12">
        <f t="shared" ref="V33:V48" si="9">IF(T$12=0,0,T33/T$12)</f>
        <v>0.83117340120422856</v>
      </c>
      <c r="W33" s="4"/>
      <c r="X33" s="4">
        <f t="shared" ref="X33:X48" si="10">+P33-T33</f>
        <v>225403.35000000056</v>
      </c>
      <c r="Y33" s="4"/>
      <c r="Z33" s="12">
        <f t="shared" ref="Z33:Z48" si="11">IF(T33=0,0,X33/T33)</f>
        <v>0.1078290423210744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4"/>
        <v>0</v>
      </c>
      <c r="G34" s="2"/>
      <c r="H34" s="2">
        <v>256112</v>
      </c>
      <c r="I34" s="2"/>
      <c r="J34" s="19">
        <f t="shared" si="5"/>
        <v>0.84001994174910133</v>
      </c>
      <c r="K34" s="2"/>
      <c r="L34" s="2">
        <f t="shared" si="6"/>
        <v>-256112</v>
      </c>
      <c r="M34" s="2"/>
      <c r="N34" s="19">
        <f t="shared" si="7"/>
        <v>-1</v>
      </c>
      <c r="O34" s="11"/>
      <c r="P34" s="2">
        <v>0</v>
      </c>
      <c r="Q34" s="2"/>
      <c r="R34" s="19">
        <f t="shared" si="8"/>
        <v>0</v>
      </c>
      <c r="S34" s="2"/>
      <c r="T34" s="2">
        <v>2090377</v>
      </c>
      <c r="U34" s="2"/>
      <c r="V34" s="19">
        <f t="shared" si="9"/>
        <v>0.83117340120422856</v>
      </c>
      <c r="W34" s="2"/>
      <c r="X34" s="2">
        <f t="shared" si="10"/>
        <v>-2090377</v>
      </c>
      <c r="Y34" s="2"/>
      <c r="Z34" s="19">
        <f t="shared" si="11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-5028.84</v>
      </c>
      <c r="E35" s="2"/>
      <c r="F35" s="19">
        <f t="shared" si="4"/>
        <v>-7.7747240302582288E-2</v>
      </c>
      <c r="G35" s="2"/>
      <c r="H35" s="2"/>
      <c r="I35" s="2"/>
      <c r="J35" s="19">
        <f t="shared" si="5"/>
        <v>0</v>
      </c>
      <c r="K35" s="2"/>
      <c r="L35" s="2">
        <f t="shared" si="6"/>
        <v>-5028.84</v>
      </c>
      <c r="M35" s="2"/>
      <c r="N35" s="19">
        <f t="shared" si="7"/>
        <v>0</v>
      </c>
      <c r="O35" s="11"/>
      <c r="P35" s="2">
        <v>27390.62</v>
      </c>
      <c r="Q35" s="2"/>
      <c r="R35" s="19">
        <f t="shared" si="8"/>
        <v>1.038606779258067E-2</v>
      </c>
      <c r="S35" s="2"/>
      <c r="T35" s="2"/>
      <c r="U35" s="2"/>
      <c r="V35" s="19">
        <f t="shared" si="9"/>
        <v>0</v>
      </c>
      <c r="W35" s="2"/>
      <c r="X35" s="2">
        <f t="shared" si="10"/>
        <v>27390.62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152090.79</v>
      </c>
      <c r="E36" s="2"/>
      <c r="F36" s="19">
        <f t="shared" si="4"/>
        <v>2.3513651653143826</v>
      </c>
      <c r="G36" s="2"/>
      <c r="H36" s="2"/>
      <c r="I36" s="2"/>
      <c r="J36" s="19">
        <f t="shared" si="5"/>
        <v>0</v>
      </c>
      <c r="K36" s="2"/>
      <c r="L36" s="2">
        <f t="shared" si="6"/>
        <v>152090.79</v>
      </c>
      <c r="M36" s="2"/>
      <c r="N36" s="19">
        <f t="shared" si="7"/>
        <v>0</v>
      </c>
      <c r="O36" s="11"/>
      <c r="P36" s="2">
        <v>1954625.66</v>
      </c>
      <c r="Q36" s="2"/>
      <c r="R36" s="19">
        <f t="shared" si="8"/>
        <v>0.74116155873352763</v>
      </c>
      <c r="S36" s="2"/>
      <c r="T36" s="2"/>
      <c r="U36" s="2"/>
      <c r="V36" s="19">
        <f t="shared" si="9"/>
        <v>0</v>
      </c>
      <c r="W36" s="2"/>
      <c r="X36" s="2">
        <f t="shared" si="10"/>
        <v>1954625.66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24621.69</v>
      </c>
      <c r="E37" s="2"/>
      <c r="F37" s="19">
        <f t="shared" si="4"/>
        <v>0.38065805416073828</v>
      </c>
      <c r="G37" s="2"/>
      <c r="H37" s="2"/>
      <c r="I37" s="2"/>
      <c r="J37" s="19">
        <f t="shared" si="5"/>
        <v>0</v>
      </c>
      <c r="K37" s="2"/>
      <c r="L37" s="2">
        <f t="shared" si="6"/>
        <v>24621.69</v>
      </c>
      <c r="M37" s="2"/>
      <c r="N37" s="19">
        <f t="shared" si="7"/>
        <v>0</v>
      </c>
      <c r="O37" s="11"/>
      <c r="P37" s="2">
        <v>151651.63</v>
      </c>
      <c r="Q37" s="2"/>
      <c r="R37" s="19">
        <f t="shared" si="8"/>
        <v>5.7503777206772272E-2</v>
      </c>
      <c r="S37" s="2"/>
      <c r="T37" s="2"/>
      <c r="U37" s="2"/>
      <c r="V37" s="19">
        <f t="shared" si="9"/>
        <v>0</v>
      </c>
      <c r="W37" s="2"/>
      <c r="X37" s="2">
        <f t="shared" si="10"/>
        <v>151651.63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"5084", " - ", "PURCHASES @ COST-SOFTWARE LICE")</f>
        <v xml:space="preserve">          5084 - PURCHASES @ COST-SOFTWARE LICE</v>
      </c>
      <c r="C38" s="11"/>
      <c r="D38" s="2">
        <v>2421</v>
      </c>
      <c r="E38" s="2"/>
      <c r="F38" s="19">
        <f t="shared" si="4"/>
        <v>3.7429321428510687E-2</v>
      </c>
      <c r="G38" s="2"/>
      <c r="H38" s="2"/>
      <c r="I38" s="2"/>
      <c r="J38" s="19">
        <f t="shared" si="5"/>
        <v>0</v>
      </c>
      <c r="K38" s="2"/>
      <c r="L38" s="2">
        <f t="shared" si="6"/>
        <v>2421</v>
      </c>
      <c r="M38" s="2"/>
      <c r="N38" s="19">
        <f t="shared" si="7"/>
        <v>0</v>
      </c>
      <c r="O38" s="11"/>
      <c r="P38" s="2">
        <v>2421</v>
      </c>
      <c r="Q38" s="2"/>
      <c r="R38" s="19">
        <f t="shared" si="8"/>
        <v>9.1800295596951818E-4</v>
      </c>
      <c r="S38" s="2"/>
      <c r="T38" s="2"/>
      <c r="U38" s="2"/>
      <c r="V38" s="19">
        <f t="shared" si="9"/>
        <v>0</v>
      </c>
      <c r="W38" s="2"/>
      <c r="X38" s="2">
        <f t="shared" si="10"/>
        <v>2421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>
        <v>10694.79</v>
      </c>
      <c r="E39" s="2"/>
      <c r="F39" s="19">
        <f t="shared" si="4"/>
        <v>0.1653443752665931</v>
      </c>
      <c r="G39" s="2"/>
      <c r="H39" s="2"/>
      <c r="I39" s="2"/>
      <c r="J39" s="19">
        <f t="shared" si="5"/>
        <v>0</v>
      </c>
      <c r="K39" s="2"/>
      <c r="L39" s="2">
        <f t="shared" si="6"/>
        <v>10694.79</v>
      </c>
      <c r="M39" s="2"/>
      <c r="N39" s="19">
        <f t="shared" si="7"/>
        <v>0</v>
      </c>
      <c r="O39" s="11"/>
      <c r="P39" s="2">
        <v>56981.16</v>
      </c>
      <c r="Q39" s="2"/>
      <c r="R39" s="19">
        <f t="shared" si="8"/>
        <v>2.1606308680120642E-2</v>
      </c>
      <c r="S39" s="2"/>
      <c r="T39" s="2"/>
      <c r="U39" s="2"/>
      <c r="V39" s="19">
        <f t="shared" si="9"/>
        <v>0</v>
      </c>
      <c r="W39" s="2"/>
      <c r="X39" s="2">
        <f t="shared" si="10"/>
        <v>56981.16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>
        <v>697.28</v>
      </c>
      <c r="E40" s="2"/>
      <c r="F40" s="19">
        <f t="shared" si="4"/>
        <v>1.0780139300153627E-2</v>
      </c>
      <c r="G40" s="2"/>
      <c r="H40" s="2"/>
      <c r="I40" s="2"/>
      <c r="J40" s="19">
        <f t="shared" si="5"/>
        <v>0</v>
      </c>
      <c r="K40" s="2"/>
      <c r="L40" s="2">
        <f t="shared" si="6"/>
        <v>697.28</v>
      </c>
      <c r="M40" s="2"/>
      <c r="N40" s="19">
        <f t="shared" si="7"/>
        <v>0</v>
      </c>
      <c r="O40" s="11"/>
      <c r="P40" s="2">
        <v>24460.29</v>
      </c>
      <c r="Q40" s="2"/>
      <c r="R40" s="19">
        <f t="shared" si="8"/>
        <v>9.2749353671506187E-3</v>
      </c>
      <c r="S40" s="2"/>
      <c r="T40" s="2"/>
      <c r="U40" s="2"/>
      <c r="V40" s="19">
        <f t="shared" si="9"/>
        <v>0</v>
      </c>
      <c r="W40" s="2"/>
      <c r="X40" s="2">
        <f t="shared" si="10"/>
        <v>24460.29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-228321.2</v>
      </c>
      <c r="E41" s="2"/>
      <c r="F41" s="19">
        <f t="shared" si="4"/>
        <v>-3.5299081304185358</v>
      </c>
      <c r="G41" s="2"/>
      <c r="H41" s="2"/>
      <c r="I41" s="2"/>
      <c r="J41" s="19">
        <f t="shared" si="5"/>
        <v>0</v>
      </c>
      <c r="K41" s="2"/>
      <c r="L41" s="2">
        <f t="shared" si="6"/>
        <v>-228321.2</v>
      </c>
      <c r="M41" s="2"/>
      <c r="N41" s="19">
        <f t="shared" si="7"/>
        <v>0</v>
      </c>
      <c r="O41" s="11"/>
      <c r="P41" s="2">
        <v>-2256861</v>
      </c>
      <c r="Q41" s="2"/>
      <c r="R41" s="19">
        <f t="shared" si="8"/>
        <v>-0.85576417563499496</v>
      </c>
      <c r="S41" s="2"/>
      <c r="T41" s="2"/>
      <c r="U41" s="2"/>
      <c r="V41" s="19">
        <f t="shared" si="9"/>
        <v>0</v>
      </c>
      <c r="W41" s="2"/>
      <c r="X41" s="2">
        <f t="shared" si="10"/>
        <v>-2256861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68115</v>
      </c>
      <c r="E42" s="2"/>
      <c r="F42" s="19">
        <f t="shared" si="4"/>
        <v>1.0530765093362271</v>
      </c>
      <c r="G42" s="2"/>
      <c r="H42" s="2"/>
      <c r="I42" s="2"/>
      <c r="J42" s="19">
        <f t="shared" si="5"/>
        <v>0</v>
      </c>
      <c r="K42" s="2"/>
      <c r="L42" s="2">
        <f t="shared" si="6"/>
        <v>68115</v>
      </c>
      <c r="M42" s="2"/>
      <c r="N42" s="19">
        <f t="shared" si="7"/>
        <v>0</v>
      </c>
      <c r="O42" s="11"/>
      <c r="P42" s="2">
        <v>2354659</v>
      </c>
      <c r="Q42" s="2"/>
      <c r="R42" s="19">
        <f t="shared" si="8"/>
        <v>0.89284755154904161</v>
      </c>
      <c r="S42" s="2"/>
      <c r="T42" s="2"/>
      <c r="U42" s="2"/>
      <c r="V42" s="19">
        <f t="shared" si="9"/>
        <v>0</v>
      </c>
      <c r="W42" s="2"/>
      <c r="X42" s="2">
        <f t="shared" si="10"/>
        <v>2354659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"5581", " - ", "FREIGHT-IN-ELECTRONICS")</f>
        <v xml:space="preserve">          5581 - FREIGHT-IN-ELECTRONICS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31</v>
      </c>
      <c r="Q44" s="2"/>
      <c r="R44" s="19">
        <f t="shared" si="8"/>
        <v>1.17546846902334E-5</v>
      </c>
      <c r="S44" s="2"/>
      <c r="T44" s="2"/>
      <c r="U44" s="2"/>
      <c r="V44" s="19">
        <f t="shared" si="9"/>
        <v>0</v>
      </c>
      <c r="W44" s="2"/>
      <c r="X44" s="2">
        <f t="shared" si="10"/>
        <v>31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145</v>
      </c>
      <c r="Q45" s="2"/>
      <c r="R45" s="19">
        <f t="shared" si="8"/>
        <v>5.4981589680123972E-5</v>
      </c>
      <c r="S45" s="2"/>
      <c r="T45" s="2"/>
      <c r="U45" s="2"/>
      <c r="V45" s="19">
        <f t="shared" si="9"/>
        <v>0</v>
      </c>
      <c r="W45" s="2"/>
      <c r="X45" s="2">
        <f t="shared" si="10"/>
        <v>145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242.46</v>
      </c>
      <c r="Q46" s="2"/>
      <c r="R46" s="19">
        <f t="shared" si="8"/>
        <v>9.1936801612709366E-5</v>
      </c>
      <c r="S46" s="2"/>
      <c r="T46" s="2"/>
      <c r="U46" s="2"/>
      <c r="V46" s="19">
        <f t="shared" si="9"/>
        <v>0</v>
      </c>
      <c r="W46" s="2"/>
      <c r="X46" s="2">
        <f t="shared" si="10"/>
        <v>242.46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"5585", " - ", "FREIGHT-IN-SOFTWARE")</f>
        <v xml:space="preserve">          5585 - FREIGHT-IN-SOFTWARE</v>
      </c>
      <c r="C47" s="11"/>
      <c r="D47" s="2"/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9.41</v>
      </c>
      <c r="Q47" s="2"/>
      <c r="R47" s="19">
        <f t="shared" si="8"/>
        <v>3.5681155785514936E-6</v>
      </c>
      <c r="S47" s="2"/>
      <c r="T47" s="2"/>
      <c r="U47" s="2"/>
      <c r="V47" s="19">
        <f t="shared" si="9"/>
        <v>0</v>
      </c>
      <c r="W47" s="2"/>
      <c r="X47" s="2">
        <f t="shared" si="10"/>
        <v>9.41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24.12</v>
      </c>
      <c r="Q48" s="2"/>
      <c r="R48" s="19">
        <f t="shared" si="8"/>
        <v>9.1459030557557945E-6</v>
      </c>
      <c r="S48" s="2"/>
      <c r="T48" s="2"/>
      <c r="U48" s="2"/>
      <c r="V48" s="19">
        <f t="shared" si="9"/>
        <v>0</v>
      </c>
      <c r="W48" s="2"/>
      <c r="X48" s="2">
        <f t="shared" si="10"/>
        <v>24.12</v>
      </c>
      <c r="Y48" s="2"/>
      <c r="Z48" s="19">
        <f t="shared" si="11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108</v>
      </c>
      <c r="C50" s="28"/>
      <c r="D50" s="20">
        <f>D12-D33</f>
        <v>39391.399999999994</v>
      </c>
      <c r="E50" s="14"/>
      <c r="F50" s="22">
        <f>IF(D$12=0,0,D50/D$12)</f>
        <v>0.60900180591451292</v>
      </c>
      <c r="G50" s="14"/>
      <c r="H50" s="20">
        <f>H12-H33</f>
        <v>48776</v>
      </c>
      <c r="I50" s="14"/>
      <c r="J50" s="22">
        <f>IF(H$12=0,0,H50/H$12)</f>
        <v>0.1599800582508987</v>
      </c>
      <c r="K50" s="16"/>
      <c r="L50" s="20">
        <f>+D50-H50</f>
        <v>-9384.6000000000058</v>
      </c>
      <c r="M50" s="16"/>
      <c r="N50" s="22">
        <f>IF(H50=0,0,L50/H50)</f>
        <v>-0.19240200098409066</v>
      </c>
      <c r="O50" s="29"/>
      <c r="P50" s="20">
        <f>P12-P33</f>
        <v>321466.05999999959</v>
      </c>
      <c r="Q50" s="14"/>
      <c r="R50" s="22">
        <f>IF(P$12=0,0,P50/P$12)</f>
        <v>0.12189458625521442</v>
      </c>
      <c r="S50" s="14"/>
      <c r="T50" s="20">
        <f>T12-T33</f>
        <v>424594</v>
      </c>
      <c r="U50" s="14"/>
      <c r="V50" s="22">
        <f>IF(T$12=0,0,T50/T$12)</f>
        <v>0.16882659879577142</v>
      </c>
      <c r="W50" s="16"/>
      <c r="X50" s="20">
        <f>+P50-T50</f>
        <v>-103127.94000000041</v>
      </c>
      <c r="Y50" s="16"/>
      <c r="Z50" s="22">
        <f>IF(T50=0,0,X50/T50)</f>
        <v>-0.24288600404150884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295</v>
      </c>
      <c r="C52" s="10"/>
      <c r="D52" s="21">
        <f>SUM(OSRRefD22x_0)</f>
        <v>-995.91999999999894</v>
      </c>
      <c r="E52" s="21"/>
      <c r="F52" s="30">
        <f t="shared" ref="F52:F63" si="12">IF(D$12=0,0,D52/D$12)</f>
        <v>-1.5397195289996831E-2</v>
      </c>
      <c r="G52" s="21"/>
      <c r="H52" s="21">
        <f>SUM(OSRRefH22x_0)</f>
        <v>18206.950987406155</v>
      </c>
      <c r="I52" s="21"/>
      <c r="J52" s="30">
        <f t="shared" ref="J52:J63" si="13">IF(H$12=0,0,H52/H$12)</f>
        <v>5.9716850080705555E-2</v>
      </c>
      <c r="K52" s="4"/>
      <c r="L52" s="21">
        <f t="shared" ref="L52:L63" si="14">+D52-H52</f>
        <v>-19202.870987406153</v>
      </c>
      <c r="M52" s="4"/>
      <c r="N52" s="30">
        <f t="shared" ref="N52:N63" si="15">IF(H52=0,0,L52/H52)</f>
        <v>-1.0546999879710162</v>
      </c>
      <c r="O52" s="10"/>
      <c r="P52" s="21">
        <f>SUM(OSRRefP22x_0)</f>
        <v>150448.5</v>
      </c>
      <c r="Q52" s="21"/>
      <c r="R52" s="30">
        <f t="shared" ref="R52:R63" si="16">IF(P$12=0,0,P52/P$12)</f>
        <v>5.7047570310276768E-2</v>
      </c>
      <c r="S52" s="21"/>
      <c r="T52" s="21">
        <f>SUM(OSRRefT22x_0)</f>
        <v>233153.17600596001</v>
      </c>
      <c r="U52" s="21"/>
      <c r="V52" s="30">
        <f t="shared" ref="V52:V63" si="17">IF(T$12=0,0,T52/T$12)</f>
        <v>9.2706109138419493E-2</v>
      </c>
      <c r="W52" s="4"/>
      <c r="X52" s="21">
        <f t="shared" ref="X52:X63" si="18">+P52-T52</f>
        <v>-82704.676005960006</v>
      </c>
      <c r="Y52" s="4"/>
      <c r="Z52" s="30">
        <f t="shared" ref="Z52:Z63" si="19">IF(T52=0,0,X52/T52)</f>
        <v>-0.35472249369592912</v>
      </c>
    </row>
    <row r="53" spans="1:26" s="27" customFormat="1" outlineLevel="1" collapsed="1" x14ac:dyDescent="0.25">
      <c r="A53" s="25"/>
      <c r="B53" s="13" t="str">
        <f>CONCATENATE("     ","*Benefits                                         ")</f>
        <v xml:space="preserve">     *Benefits                                         </v>
      </c>
      <c r="C53" s="13"/>
      <c r="D53" s="1">
        <f>SUM(OSRRefD22_0x_0)</f>
        <v>3035.8100000000004</v>
      </c>
      <c r="E53" s="1"/>
      <c r="F53" s="5">
        <f t="shared" si="12"/>
        <v>4.6934451997475035E-2</v>
      </c>
      <c r="G53" s="1"/>
      <c r="H53" s="1">
        <f>SUM(OSRRefH22_0x_0)</f>
        <v>2578.2873474061539</v>
      </c>
      <c r="I53" s="1"/>
      <c r="J53" s="5">
        <f t="shared" si="13"/>
        <v>8.4565064791207057E-3</v>
      </c>
      <c r="K53" s="1"/>
      <c r="L53" s="1">
        <f t="shared" si="14"/>
        <v>457.52265259384649</v>
      </c>
      <c r="M53" s="1"/>
      <c r="N53" s="5">
        <f t="shared" si="15"/>
        <v>0.17745215755494828</v>
      </c>
      <c r="O53" s="13"/>
      <c r="P53" s="1">
        <f>SUM(OSRRefP22_0x_0)</f>
        <v>35524.879999999997</v>
      </c>
      <c r="Q53" s="1"/>
      <c r="R53" s="5">
        <f t="shared" si="16"/>
        <v>1.347044396962512E-2</v>
      </c>
      <c r="S53" s="1"/>
      <c r="T53" s="1">
        <f>SUM(OSRRefT22_0x_0)</f>
        <v>31597.842485960002</v>
      </c>
      <c r="U53" s="1"/>
      <c r="V53" s="5">
        <f t="shared" si="17"/>
        <v>1.2563899339578867E-2</v>
      </c>
      <c r="W53" s="1"/>
      <c r="X53" s="1">
        <f t="shared" si="18"/>
        <v>3927.0375140399956</v>
      </c>
      <c r="Y53" s="1"/>
      <c r="Z53" s="5">
        <f t="shared" si="19"/>
        <v>0.12428182448801409</v>
      </c>
    </row>
    <row r="54" spans="1:26" s="24" customFormat="1" hidden="1" outlineLevel="2" x14ac:dyDescent="0.25">
      <c r="A54" s="26"/>
      <c r="B54" s="11" t="str">
        <f>CONCATENATE("          ", "6111", " - ", "F.I.C.A.")</f>
        <v xml:space="preserve">          6111 - F.I.C.A.</v>
      </c>
      <c r="C54" s="11"/>
      <c r="D54" s="6">
        <v>622.99</v>
      </c>
      <c r="E54" s="2"/>
      <c r="F54" s="7">
        <f t="shared" si="12"/>
        <v>9.6315956037785529E-3</v>
      </c>
      <c r="G54" s="2"/>
      <c r="H54" s="6">
        <v>672.50064036000003</v>
      </c>
      <c r="I54" s="2"/>
      <c r="J54" s="7">
        <f t="shared" si="13"/>
        <v>2.2057301053501617E-3</v>
      </c>
      <c r="K54" s="2"/>
      <c r="L54" s="6">
        <f t="shared" si="14"/>
        <v>-49.510640360000025</v>
      </c>
      <c r="M54" s="2"/>
      <c r="N54" s="7">
        <f t="shared" si="15"/>
        <v>-7.3621699948859837E-2</v>
      </c>
      <c r="O54" s="11"/>
      <c r="P54" s="6">
        <v>6560.19</v>
      </c>
      <c r="Q54" s="2"/>
      <c r="R54" s="7">
        <f t="shared" si="16"/>
        <v>2.4875149986458788E-3</v>
      </c>
      <c r="S54" s="2"/>
      <c r="T54" s="6">
        <v>6208.0379883599999</v>
      </c>
      <c r="U54" s="2"/>
      <c r="V54" s="7">
        <f t="shared" si="17"/>
        <v>2.4684332297907211E-3</v>
      </c>
      <c r="W54" s="2"/>
      <c r="X54" s="6">
        <f t="shared" si="18"/>
        <v>352.15201163999973</v>
      </c>
      <c r="Y54" s="2"/>
      <c r="Z54" s="7">
        <f t="shared" si="19"/>
        <v>5.6725170222907899E-2</v>
      </c>
    </row>
    <row r="55" spans="1:26" s="24" customFormat="1" hidden="1" outlineLevel="2" x14ac:dyDescent="0.25">
      <c r="A55" s="26"/>
      <c r="B55" s="11" t="str">
        <f>CONCATENATE("          ", "6112", " - ", "COMPENSATION INSURANCE")</f>
        <v xml:space="preserve">          6112 - COMPENSATION INSURANCE</v>
      </c>
      <c r="C55" s="11"/>
      <c r="D55" s="6">
        <v>132.6</v>
      </c>
      <c r="E55" s="2"/>
      <c r="F55" s="7">
        <f t="shared" si="12"/>
        <v>2.0500322269394948E-3</v>
      </c>
      <c r="G55" s="2"/>
      <c r="H55" s="6">
        <v>162.56712200000001</v>
      </c>
      <c r="I55" s="2"/>
      <c r="J55" s="7">
        <f t="shared" si="13"/>
        <v>5.3320275642203046E-4</v>
      </c>
      <c r="K55" s="2"/>
      <c r="L55" s="6">
        <f t="shared" si="14"/>
        <v>-29.967122000000018</v>
      </c>
      <c r="M55" s="2"/>
      <c r="N55" s="7">
        <f t="shared" si="15"/>
        <v>-0.18433691653838846</v>
      </c>
      <c r="O55" s="11"/>
      <c r="P55" s="6">
        <v>1867.88</v>
      </c>
      <c r="Q55" s="2"/>
      <c r="R55" s="7">
        <f t="shared" si="16"/>
        <v>7.0826904642558601E-4</v>
      </c>
      <c r="S55" s="2"/>
      <c r="T55" s="6">
        <v>2519.604096</v>
      </c>
      <c r="U55" s="2"/>
      <c r="V55" s="7">
        <f t="shared" si="17"/>
        <v>1.0018422065304132E-3</v>
      </c>
      <c r="W55" s="2"/>
      <c r="X55" s="6">
        <f t="shared" si="18"/>
        <v>-651.72409599999992</v>
      </c>
      <c r="Y55" s="2"/>
      <c r="Z55" s="7">
        <f t="shared" si="19"/>
        <v>-0.25866130993938496</v>
      </c>
    </row>
    <row r="56" spans="1:26" s="24" customFormat="1" hidden="1" outlineLevel="2" x14ac:dyDescent="0.25">
      <c r="A56" s="26"/>
      <c r="B56" s="11" t="str">
        <f>CONCATENATE("          ", "6113", " - ", "GROUP INSURANCE")</f>
        <v xml:space="preserve">          6113 - GROUP INSURANCE</v>
      </c>
      <c r="C56" s="11"/>
      <c r="D56" s="6">
        <v>1053.8499999999999</v>
      </c>
      <c r="E56" s="2"/>
      <c r="F56" s="7">
        <f t="shared" si="12"/>
        <v>1.6292808916743489E-2</v>
      </c>
      <c r="G56" s="2"/>
      <c r="H56" s="6">
        <v>946.34615384615404</v>
      </c>
      <c r="I56" s="2"/>
      <c r="J56" s="7">
        <f t="shared" si="13"/>
        <v>3.1039140728600471E-3</v>
      </c>
      <c r="K56" s="2"/>
      <c r="L56" s="6">
        <f t="shared" si="14"/>
        <v>107.50384615384587</v>
      </c>
      <c r="M56" s="2"/>
      <c r="N56" s="7">
        <f t="shared" si="15"/>
        <v>0.11359886201991433</v>
      </c>
      <c r="O56" s="11"/>
      <c r="P56" s="6">
        <v>12537.88</v>
      </c>
      <c r="Q56" s="2"/>
      <c r="R56" s="7">
        <f t="shared" si="16"/>
        <v>4.7541556801285016E-3</v>
      </c>
      <c r="S56" s="2"/>
      <c r="T56" s="6">
        <v>11970</v>
      </c>
      <c r="U56" s="2"/>
      <c r="V56" s="7">
        <f t="shared" si="17"/>
        <v>4.7594982208542368E-3</v>
      </c>
      <c r="W56" s="2"/>
      <c r="X56" s="6">
        <f t="shared" si="18"/>
        <v>567.8799999999992</v>
      </c>
      <c r="Y56" s="2"/>
      <c r="Z56" s="7">
        <f t="shared" si="19"/>
        <v>4.7441938178780216E-2</v>
      </c>
    </row>
    <row r="57" spans="1:26" s="24" customFormat="1" hidden="1" outlineLevel="2" x14ac:dyDescent="0.25">
      <c r="A57" s="26"/>
      <c r="B57" s="11" t="str">
        <f>CONCATENATE("          ", "6114", " - ", "STATE UNEMPLOYMENT INSURANCE")</f>
        <v xml:space="preserve">          6114 - STATE UNEMPLOYMENT INSURANCE</v>
      </c>
      <c r="C57" s="11"/>
      <c r="D57" s="6">
        <v>18.63</v>
      </c>
      <c r="E57" s="2"/>
      <c r="F57" s="7">
        <f t="shared" si="12"/>
        <v>2.8802488980303763E-4</v>
      </c>
      <c r="G57" s="2"/>
      <c r="H57" s="6">
        <v>22.847271200000002</v>
      </c>
      <c r="I57" s="2"/>
      <c r="J57" s="7">
        <f t="shared" si="13"/>
        <v>7.4936603605258334E-5</v>
      </c>
      <c r="K57" s="2"/>
      <c r="L57" s="6">
        <f t="shared" si="14"/>
        <v>-4.2172712000000026</v>
      </c>
      <c r="M57" s="2"/>
      <c r="N57" s="7">
        <f t="shared" si="15"/>
        <v>-0.18458533463724991</v>
      </c>
      <c r="O57" s="11"/>
      <c r="P57" s="6">
        <v>277.20999999999998</v>
      </c>
      <c r="Q57" s="2"/>
      <c r="R57" s="7">
        <f t="shared" si="16"/>
        <v>1.051134239670839E-4</v>
      </c>
      <c r="S57" s="2"/>
      <c r="T57" s="6">
        <v>354.10652160000001</v>
      </c>
      <c r="U57" s="2"/>
      <c r="V57" s="7">
        <f t="shared" si="17"/>
        <v>1.4079944524211213E-4</v>
      </c>
      <c r="W57" s="2"/>
      <c r="X57" s="6">
        <f t="shared" si="18"/>
        <v>-76.896521600000028</v>
      </c>
      <c r="Y57" s="2"/>
      <c r="Z57" s="7">
        <f t="shared" si="19"/>
        <v>-0.21715646820778584</v>
      </c>
    </row>
    <row r="58" spans="1:26" s="24" customFormat="1" hidden="1" outlineLevel="2" x14ac:dyDescent="0.25">
      <c r="A58" s="26"/>
      <c r="B58" s="11" t="str">
        <f>CONCATENATE("          ", "6115", " - ", "P.E.R.S.")</f>
        <v xml:space="preserve">          6115 - P.E.R.S.</v>
      </c>
      <c r="C58" s="11"/>
      <c r="D58" s="6">
        <v>287.82</v>
      </c>
      <c r="E58" s="2"/>
      <c r="F58" s="7">
        <f t="shared" si="12"/>
        <v>4.4497758337686683E-3</v>
      </c>
      <c r="G58" s="2"/>
      <c r="H58" s="6">
        <v>196.27780000000001</v>
      </c>
      <c r="I58" s="2"/>
      <c r="J58" s="7">
        <f t="shared" si="13"/>
        <v>6.4377017134160746E-4</v>
      </c>
      <c r="K58" s="2"/>
      <c r="L58" s="6">
        <f t="shared" si="14"/>
        <v>91.54219999999998</v>
      </c>
      <c r="M58" s="2"/>
      <c r="N58" s="7">
        <f t="shared" si="15"/>
        <v>0.46639100295601427</v>
      </c>
      <c r="O58" s="11"/>
      <c r="P58" s="6">
        <v>2404.86</v>
      </c>
      <c r="Q58" s="2"/>
      <c r="R58" s="7">
        <f t="shared" si="16"/>
        <v>9.1188293626305475E-4</v>
      </c>
      <c r="S58" s="2"/>
      <c r="T58" s="6">
        <v>2551.6113999999998</v>
      </c>
      <c r="U58" s="2"/>
      <c r="V58" s="7">
        <f t="shared" si="17"/>
        <v>1.0145689155063814E-3</v>
      </c>
      <c r="W58" s="2"/>
      <c r="X58" s="6">
        <f t="shared" si="18"/>
        <v>-146.75139999999965</v>
      </c>
      <c r="Y58" s="2"/>
      <c r="Z58" s="7">
        <f t="shared" si="19"/>
        <v>-5.7513224780230902E-2</v>
      </c>
    </row>
    <row r="59" spans="1:26" s="24" customFormat="1" hidden="1" outlineLevel="2" x14ac:dyDescent="0.25">
      <c r="A59" s="26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2"/>
        <v>0</v>
      </c>
      <c r="G59" s="2"/>
      <c r="H59" s="6">
        <v>0</v>
      </c>
      <c r="I59" s="2"/>
      <c r="J59" s="7">
        <f t="shared" si="13"/>
        <v>0</v>
      </c>
      <c r="K59" s="2"/>
      <c r="L59" s="6">
        <f t="shared" si="14"/>
        <v>0</v>
      </c>
      <c r="M59" s="2"/>
      <c r="N59" s="7">
        <f t="shared" si="15"/>
        <v>0</v>
      </c>
      <c r="O59" s="11"/>
      <c r="P59" s="6"/>
      <c r="Q59" s="2"/>
      <c r="R59" s="7">
        <f t="shared" si="16"/>
        <v>0</v>
      </c>
      <c r="S59" s="2"/>
      <c r="T59" s="6">
        <v>0</v>
      </c>
      <c r="U59" s="2"/>
      <c r="V59" s="7">
        <f t="shared" si="17"/>
        <v>0</v>
      </c>
      <c r="W59" s="2"/>
      <c r="X59" s="6">
        <f t="shared" si="18"/>
        <v>0</v>
      </c>
      <c r="Y59" s="2"/>
      <c r="Z59" s="7">
        <f t="shared" si="19"/>
        <v>0</v>
      </c>
    </row>
    <row r="60" spans="1:26" s="24" customFormat="1" hidden="1" outlineLevel="2" x14ac:dyDescent="0.25">
      <c r="A60" s="26"/>
      <c r="B60" s="11" t="str">
        <f>CONCATENATE("          ", "6117", " - ", "RETIREMENT STAFF HOURLY")</f>
        <v xml:space="preserve">          6117 - RETIREMENT STAFF HOURLY</v>
      </c>
      <c r="C60" s="11"/>
      <c r="D60" s="6">
        <v>169.75</v>
      </c>
      <c r="E60" s="2"/>
      <c r="F60" s="7">
        <f t="shared" si="12"/>
        <v>2.6243813764930566E-3</v>
      </c>
      <c r="G60" s="2"/>
      <c r="H60" s="6"/>
      <c r="I60" s="2"/>
      <c r="J60" s="7">
        <f t="shared" si="13"/>
        <v>0</v>
      </c>
      <c r="K60" s="2"/>
      <c r="L60" s="6">
        <f t="shared" si="14"/>
        <v>169.75</v>
      </c>
      <c r="M60" s="2"/>
      <c r="N60" s="7">
        <f t="shared" si="15"/>
        <v>0</v>
      </c>
      <c r="O60" s="11"/>
      <c r="P60" s="6">
        <v>2242.48</v>
      </c>
      <c r="Q60" s="2"/>
      <c r="R60" s="7">
        <f t="shared" si="16"/>
        <v>8.5031113948885793E-4</v>
      </c>
      <c r="S60" s="2"/>
      <c r="T60" s="6"/>
      <c r="U60" s="2"/>
      <c r="V60" s="7">
        <f t="shared" si="17"/>
        <v>0</v>
      </c>
      <c r="W60" s="2"/>
      <c r="X60" s="6">
        <f t="shared" si="18"/>
        <v>2242.48</v>
      </c>
      <c r="Y60" s="2"/>
      <c r="Z60" s="7">
        <f t="shared" si="19"/>
        <v>0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267.04000000000002</v>
      </c>
      <c r="E61" s="2"/>
      <c r="F61" s="7">
        <f t="shared" si="12"/>
        <v>4.1285113565755864E-3</v>
      </c>
      <c r="G61" s="2"/>
      <c r="H61" s="6">
        <v>194.749</v>
      </c>
      <c r="I61" s="2"/>
      <c r="J61" s="7">
        <f t="shared" si="13"/>
        <v>6.3875587100837032E-4</v>
      </c>
      <c r="K61" s="2"/>
      <c r="L61" s="6">
        <f t="shared" si="14"/>
        <v>72.291000000000025</v>
      </c>
      <c r="M61" s="2"/>
      <c r="N61" s="7">
        <f t="shared" si="15"/>
        <v>0.37120087908025218</v>
      </c>
      <c r="O61" s="11"/>
      <c r="P61" s="6">
        <v>3425.3</v>
      </c>
      <c r="Q61" s="2"/>
      <c r="R61" s="7">
        <f t="shared" si="16"/>
        <v>1.29881682159537E-3</v>
      </c>
      <c r="S61" s="2"/>
      <c r="T61" s="6">
        <v>2531.7370000000001</v>
      </c>
      <c r="U61" s="2"/>
      <c r="V61" s="7">
        <f t="shared" si="17"/>
        <v>1.0066664784603879E-3</v>
      </c>
      <c r="W61" s="2"/>
      <c r="X61" s="6">
        <f t="shared" si="18"/>
        <v>893.5630000000001</v>
      </c>
      <c r="Y61" s="2"/>
      <c r="Z61" s="7">
        <f t="shared" si="19"/>
        <v>0.35294463840438406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267.63</v>
      </c>
      <c r="E62" s="2"/>
      <c r="F62" s="7">
        <f t="shared" si="12"/>
        <v>4.1376329177663426E-3</v>
      </c>
      <c r="G62" s="2"/>
      <c r="H62" s="6">
        <v>207.99936</v>
      </c>
      <c r="I62" s="2"/>
      <c r="J62" s="7">
        <f t="shared" si="13"/>
        <v>6.822156332817297E-4</v>
      </c>
      <c r="K62" s="2"/>
      <c r="L62" s="6">
        <f t="shared" si="14"/>
        <v>59.63064</v>
      </c>
      <c r="M62" s="2"/>
      <c r="N62" s="7">
        <f t="shared" si="15"/>
        <v>0.2866866513435426</v>
      </c>
      <c r="O62" s="11"/>
      <c r="P62" s="6">
        <v>3423.89</v>
      </c>
      <c r="Q62" s="2"/>
      <c r="R62" s="7">
        <f t="shared" si="16"/>
        <v>1.2982821730336527E-3</v>
      </c>
      <c r="S62" s="2"/>
      <c r="T62" s="6">
        <v>3362.74548</v>
      </c>
      <c r="U62" s="2"/>
      <c r="V62" s="7">
        <f t="shared" si="17"/>
        <v>1.337091155325449E-3</v>
      </c>
      <c r="W62" s="2"/>
      <c r="X62" s="6">
        <f t="shared" si="18"/>
        <v>61.144519999999829</v>
      </c>
      <c r="Y62" s="2"/>
      <c r="Z62" s="7">
        <f t="shared" si="19"/>
        <v>1.8182916418640113E-2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6">
        <v>215.5</v>
      </c>
      <c r="E63" s="2"/>
      <c r="F63" s="7">
        <f t="shared" si="12"/>
        <v>3.331688875606796E-3</v>
      </c>
      <c r="G63" s="2"/>
      <c r="H63" s="6">
        <v>175</v>
      </c>
      <c r="I63" s="2"/>
      <c r="J63" s="7">
        <f t="shared" si="13"/>
        <v>5.7398126525150218E-4</v>
      </c>
      <c r="K63" s="2"/>
      <c r="L63" s="6">
        <f t="shared" si="14"/>
        <v>40.5</v>
      </c>
      <c r="M63" s="2"/>
      <c r="N63" s="7">
        <f t="shared" si="15"/>
        <v>0.23142857142857143</v>
      </c>
      <c r="O63" s="11"/>
      <c r="P63" s="6">
        <v>2785.19</v>
      </c>
      <c r="Q63" s="2"/>
      <c r="R63" s="7">
        <f t="shared" si="16"/>
        <v>1.0560977500771343E-3</v>
      </c>
      <c r="S63" s="2"/>
      <c r="T63" s="6">
        <v>2100</v>
      </c>
      <c r="U63" s="2"/>
      <c r="V63" s="7">
        <f t="shared" si="17"/>
        <v>8.349996878691643E-4</v>
      </c>
      <c r="W63" s="2"/>
      <c r="X63" s="6">
        <f t="shared" si="18"/>
        <v>685.19</v>
      </c>
      <c r="Y63" s="2"/>
      <c r="Z63" s="7">
        <f t="shared" si="19"/>
        <v>0.32628095238095239</v>
      </c>
    </row>
    <row r="64" spans="1:26" s="27" customFormat="1" outlineLevel="1" collapsed="1" x14ac:dyDescent="0.25">
      <c r="A64" s="25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7568.11</v>
      </c>
      <c r="E64" s="1"/>
      <c r="F64" s="5">
        <f t="shared" ref="F64:F74" si="20">IF(D$12=0,0,D64/D$12)</f>
        <v>0.11700504824300952</v>
      </c>
      <c r="G64" s="1"/>
      <c r="H64" s="1">
        <f>SUM(OSRRefH22_1x_0)</f>
        <v>8384.6636400000007</v>
      </c>
      <c r="I64" s="1"/>
      <c r="J64" s="5">
        <f t="shared" ref="J64:J74" si="21">IF(H$12=0,0,H64/H$12)</f>
        <v>2.7500799113116949E-2</v>
      </c>
      <c r="K64" s="1"/>
      <c r="L64" s="1">
        <f t="shared" ref="L64:L74" si="22">+D64-H64</f>
        <v>-816.553640000001</v>
      </c>
      <c r="M64" s="1"/>
      <c r="N64" s="5">
        <f t="shared" ref="N64:N74" si="23">IF(H64=0,0,L64/H64)</f>
        <v>-9.738657089409504E-2</v>
      </c>
      <c r="O64" s="13"/>
      <c r="P64" s="1">
        <f>SUM(OSRRefP22_1x_0)</f>
        <v>96957.290000000008</v>
      </c>
      <c r="Q64" s="1"/>
      <c r="R64" s="5">
        <f t="shared" ref="R64:R74" si="24">IF(P$12=0,0,P64/P$12)</f>
        <v>3.6764592657081291E-2</v>
      </c>
      <c r="S64" s="1"/>
      <c r="T64" s="1">
        <f>SUM(OSRRefT22_1x_0)</f>
        <v>130300.33352</v>
      </c>
      <c r="U64" s="1"/>
      <c r="V64" s="5">
        <f t="shared" ref="V64:V74" si="25">IF(T$12=0,0,T64/T$12)</f>
        <v>5.1809875151641906E-2</v>
      </c>
      <c r="W64" s="1"/>
      <c r="X64" s="1">
        <f t="shared" ref="X64:X74" si="26">+P64-T64</f>
        <v>-33343.043519999992</v>
      </c>
      <c r="Y64" s="1"/>
      <c r="Z64" s="5">
        <f t="shared" ref="Z64:Z74" si="27">IF(T64=0,0,X64/T64)</f>
        <v>-0.25589376956492682</v>
      </c>
    </row>
    <row r="65" spans="1:26" s="24" customFormat="1" hidden="1" outlineLevel="2" x14ac:dyDescent="0.25">
      <c r="A65" s="26"/>
      <c r="B65" s="11" t="str">
        <f>CONCATENATE("          ", "6001", " - ", "ADMINISTRATIVE SALARIES")</f>
        <v xml:space="preserve">          6001 - ADMINISTRATIVE SALARIES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6"/>
      <c r="B66" s="11" t="str">
        <f>CONCATENATE("          ", "6002", " - ", "STAFF SALARIES")</f>
        <v xml:space="preserve">          6002 - STAFF SALARIES</v>
      </c>
      <c r="C66" s="11"/>
      <c r="D66" s="6">
        <v>2354.0700000000002</v>
      </c>
      <c r="E66" s="2"/>
      <c r="F66" s="7">
        <f t="shared" si="20"/>
        <v>3.6394565342922E-2</v>
      </c>
      <c r="G66" s="2"/>
      <c r="H66" s="6">
        <v>2168.1849999999999</v>
      </c>
      <c r="I66" s="2"/>
      <c r="J66" s="7">
        <f t="shared" si="21"/>
        <v>7.1114146834247325E-3</v>
      </c>
      <c r="K66" s="2"/>
      <c r="L66" s="6">
        <f t="shared" si="22"/>
        <v>185.88500000000022</v>
      </c>
      <c r="M66" s="2"/>
      <c r="N66" s="7">
        <f t="shared" si="23"/>
        <v>8.5732997876103847E-2</v>
      </c>
      <c r="O66" s="11"/>
      <c r="P66" s="6">
        <v>27912.61</v>
      </c>
      <c r="Q66" s="2"/>
      <c r="R66" s="7">
        <f t="shared" si="24"/>
        <v>1.0583997723595346E-2</v>
      </c>
      <c r="S66" s="2"/>
      <c r="T66" s="6">
        <v>28186.404999999999</v>
      </c>
      <c r="U66" s="2"/>
      <c r="V66" s="7">
        <f t="shared" si="25"/>
        <v>1.1207447322454215E-2</v>
      </c>
      <c r="W66" s="2"/>
      <c r="X66" s="6">
        <f t="shared" si="26"/>
        <v>-273.79499999999825</v>
      </c>
      <c r="Y66" s="2"/>
      <c r="Z66" s="7">
        <f t="shared" si="27"/>
        <v>-9.7137254644570053E-3</v>
      </c>
    </row>
    <row r="67" spans="1:26" s="24" customFormat="1" hidden="1" outlineLevel="2" x14ac:dyDescent="0.25">
      <c r="A67" s="26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4" customFormat="1" hidden="1" outlineLevel="2" x14ac:dyDescent="0.25">
      <c r="A68" s="26"/>
      <c r="B68" s="11" t="str">
        <f>CONCATENATE("          ", "6004", " - ", "STAFF HOURLY")</f>
        <v xml:space="preserve">          6004 - STAFF HOURLY</v>
      </c>
      <c r="C68" s="11"/>
      <c r="D68" s="6">
        <v>3168.99</v>
      </c>
      <c r="E68" s="2"/>
      <c r="F68" s="7">
        <f t="shared" si="20"/>
        <v>4.8993451182873224E-2</v>
      </c>
      <c r="G68" s="2"/>
      <c r="H68" s="6">
        <v>3088.12</v>
      </c>
      <c r="I68" s="2"/>
      <c r="J68" s="7">
        <f t="shared" si="21"/>
        <v>1.0128702999134109E-2</v>
      </c>
      <c r="K68" s="2"/>
      <c r="L68" s="6">
        <f t="shared" si="22"/>
        <v>80.869999999999891</v>
      </c>
      <c r="M68" s="2"/>
      <c r="N68" s="7">
        <f t="shared" si="23"/>
        <v>2.6187453855420092E-2</v>
      </c>
      <c r="O68" s="11"/>
      <c r="P68" s="6">
        <v>42904.19</v>
      </c>
      <c r="Q68" s="2"/>
      <c r="R68" s="7">
        <f t="shared" si="24"/>
        <v>1.6268555656124676E-2</v>
      </c>
      <c r="S68" s="2"/>
      <c r="T68" s="6">
        <v>40145.56</v>
      </c>
      <c r="U68" s="2"/>
      <c r="V68" s="7">
        <f t="shared" si="25"/>
        <v>1.5962633366348955E-2</v>
      </c>
      <c r="W68" s="2"/>
      <c r="X68" s="6">
        <f t="shared" si="26"/>
        <v>2758.6300000000047</v>
      </c>
      <c r="Y68" s="2"/>
      <c r="Z68" s="7">
        <f t="shared" si="27"/>
        <v>6.8715693591022392E-2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2045.05</v>
      </c>
      <c r="E71" s="2"/>
      <c r="F71" s="7">
        <f t="shared" si="20"/>
        <v>3.1617031717214285E-2</v>
      </c>
      <c r="G71" s="2"/>
      <c r="H71" s="6">
        <v>3128.3586399999999</v>
      </c>
      <c r="I71" s="2"/>
      <c r="J71" s="7">
        <f t="shared" si="21"/>
        <v>1.0260681430558107E-2</v>
      </c>
      <c r="K71" s="2"/>
      <c r="L71" s="6">
        <f t="shared" si="22"/>
        <v>-1083.30864</v>
      </c>
      <c r="M71" s="2"/>
      <c r="N71" s="7">
        <f t="shared" si="23"/>
        <v>-0.34628658816432889</v>
      </c>
      <c r="O71" s="11"/>
      <c r="P71" s="6">
        <v>26140.49</v>
      </c>
      <c r="Q71" s="2"/>
      <c r="R71" s="7">
        <f t="shared" si="24"/>
        <v>9.9120392773612686E-3</v>
      </c>
      <c r="S71" s="2"/>
      <c r="T71" s="6">
        <v>8544.8386399999999</v>
      </c>
      <c r="U71" s="2"/>
      <c r="V71" s="7">
        <f t="shared" si="25"/>
        <v>3.3975893320439877E-3</v>
      </c>
      <c r="W71" s="2"/>
      <c r="X71" s="6">
        <f t="shared" si="26"/>
        <v>17595.651360000003</v>
      </c>
      <c r="Y71" s="2"/>
      <c r="Z71" s="7">
        <f t="shared" si="27"/>
        <v>2.0592140005583537</v>
      </c>
    </row>
    <row r="72" spans="1:26" s="24" customFormat="1" hidden="1" outlineLevel="2" x14ac:dyDescent="0.25">
      <c r="A72" s="26"/>
      <c r="B72" s="11" t="str">
        <f>CONCATENATE("          ", "6008", " - ", "STUDENT HOURLY-FICA EXEMPT")</f>
        <v xml:space="preserve">          6008 - STUDENT HOURLY-FICA EXEMPT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53423.529880000002</v>
      </c>
      <c r="U72" s="2"/>
      <c r="V72" s="7">
        <f t="shared" si="25"/>
        <v>2.124220513079475E-2</v>
      </c>
      <c r="W72" s="2"/>
      <c r="X72" s="6">
        <f t="shared" si="26"/>
        <v>-53423.529880000002</v>
      </c>
      <c r="Y72" s="2"/>
      <c r="Z72" s="7">
        <f t="shared" si="27"/>
        <v>-1</v>
      </c>
    </row>
    <row r="73" spans="1:26" s="24" customFormat="1" hidden="1" outlineLevel="2" x14ac:dyDescent="0.25">
      <c r="A73" s="26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6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0"/>
        <v>0</v>
      </c>
      <c r="G74" s="2"/>
      <c r="H74" s="6">
        <v>0</v>
      </c>
      <c r="I74" s="2"/>
      <c r="J74" s="7">
        <f t="shared" si="21"/>
        <v>0</v>
      </c>
      <c r="K74" s="2"/>
      <c r="L74" s="6">
        <f t="shared" si="22"/>
        <v>0</v>
      </c>
      <c r="M74" s="2"/>
      <c r="N74" s="7">
        <f t="shared" si="23"/>
        <v>0</v>
      </c>
      <c r="O74" s="11"/>
      <c r="P74" s="6"/>
      <c r="Q74" s="2"/>
      <c r="R74" s="7">
        <f t="shared" si="24"/>
        <v>0</v>
      </c>
      <c r="S74" s="2"/>
      <c r="T74" s="6">
        <v>0</v>
      </c>
      <c r="U74" s="2"/>
      <c r="V74" s="7">
        <f t="shared" si="25"/>
        <v>0</v>
      </c>
      <c r="W74" s="2"/>
      <c r="X74" s="6">
        <f t="shared" si="26"/>
        <v>0</v>
      </c>
      <c r="Y74" s="2"/>
      <c r="Z74" s="7">
        <f t="shared" si="27"/>
        <v>0</v>
      </c>
    </row>
    <row r="75" spans="1:26" s="27" customFormat="1" outlineLevel="1" collapsed="1" x14ac:dyDescent="0.25">
      <c r="A75" s="25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0</v>
      </c>
      <c r="E75" s="1"/>
      <c r="F75" s="5">
        <f t="shared" ref="F75:F85" si="28">IF(D$12=0,0,D75/D$12)</f>
        <v>0</v>
      </c>
      <c r="G75" s="1"/>
      <c r="H75" s="1">
        <f>SUM(OSRRefH22_2x_0)</f>
        <v>200</v>
      </c>
      <c r="I75" s="1"/>
      <c r="J75" s="5">
        <f t="shared" ref="J75:J85" si="29">IF(H$12=0,0,H75/H$12)</f>
        <v>6.5597858885885966E-4</v>
      </c>
      <c r="K75" s="1"/>
      <c r="L75" s="1">
        <f t="shared" ref="L75:L85" si="30">+D75-H75</f>
        <v>-200</v>
      </c>
      <c r="M75" s="1"/>
      <c r="N75" s="5">
        <f t="shared" ref="N75:N85" si="31">IF(H75=0,0,L75/H75)</f>
        <v>-1</v>
      </c>
      <c r="O75" s="13"/>
      <c r="P75" s="1">
        <f>SUM(OSRRefP22_2x_0)</f>
        <v>692.63</v>
      </c>
      <c r="Q75" s="1"/>
      <c r="R75" s="5">
        <f t="shared" ref="R75:R85" si="32">IF(P$12=0,0,P75/P$12)</f>
        <v>2.6263378248375354E-4</v>
      </c>
      <c r="S75" s="1"/>
      <c r="T75" s="1">
        <f>SUM(OSRRefT22_2x_0)</f>
        <v>2400</v>
      </c>
      <c r="U75" s="1"/>
      <c r="V75" s="5">
        <f t="shared" ref="V75:V85" si="33">IF(T$12=0,0,T75/T$12)</f>
        <v>9.5428535756475919E-4</v>
      </c>
      <c r="W75" s="1"/>
      <c r="X75" s="1">
        <f t="shared" ref="X75:X85" si="34">+P75-T75</f>
        <v>-1707.37</v>
      </c>
      <c r="Y75" s="1"/>
      <c r="Z75" s="5">
        <f t="shared" ref="Z75:Z85" si="35">IF(T75=0,0,X75/T75)</f>
        <v>-0.71140416666666662</v>
      </c>
    </row>
    <row r="76" spans="1:26" s="24" customFormat="1" hidden="1" outlineLevel="2" x14ac:dyDescent="0.25">
      <c r="A76" s="26"/>
      <c r="B76" s="11" t="str">
        <f>CONCATENATE("          ", "6362", " - ", "ADVERTISING EXPENSE")</f>
        <v xml:space="preserve">          6362 - ADVERTISING EXPENSE</v>
      </c>
      <c r="C76" s="11"/>
      <c r="D76" s="6"/>
      <c r="E76" s="2"/>
      <c r="F76" s="7">
        <f t="shared" si="28"/>
        <v>0</v>
      </c>
      <c r="G76" s="2"/>
      <c r="H76" s="6">
        <v>200</v>
      </c>
      <c r="I76" s="2"/>
      <c r="J76" s="7">
        <f t="shared" si="29"/>
        <v>6.5597858885885966E-4</v>
      </c>
      <c r="K76" s="2"/>
      <c r="L76" s="6">
        <f t="shared" si="30"/>
        <v>-200</v>
      </c>
      <c r="M76" s="2"/>
      <c r="N76" s="7">
        <f t="shared" si="31"/>
        <v>-1</v>
      </c>
      <c r="O76" s="11"/>
      <c r="P76" s="6">
        <v>692.63</v>
      </c>
      <c r="Q76" s="2"/>
      <c r="R76" s="7">
        <f t="shared" si="32"/>
        <v>2.6263378248375354E-4</v>
      </c>
      <c r="S76" s="2"/>
      <c r="T76" s="6">
        <v>2400</v>
      </c>
      <c r="U76" s="2"/>
      <c r="V76" s="7">
        <f t="shared" si="33"/>
        <v>9.5428535756475919E-4</v>
      </c>
      <c r="W76" s="2"/>
      <c r="X76" s="6">
        <f t="shared" si="34"/>
        <v>-1707.37</v>
      </c>
      <c r="Y76" s="2"/>
      <c r="Z76" s="7">
        <f t="shared" si="35"/>
        <v>-0.71140416666666662</v>
      </c>
    </row>
    <row r="77" spans="1:26" s="27" customFormat="1" outlineLevel="1" collapsed="1" x14ac:dyDescent="0.25">
      <c r="A77" s="25"/>
      <c r="B77" s="13" t="str">
        <f>CONCATENATE("     ","Depreciation                                      ")</f>
        <v xml:space="preserve">     Depreciation                                      </v>
      </c>
      <c r="C77" s="13"/>
      <c r="D77" s="1">
        <f>SUM(OSRRefD22_3x_0)</f>
        <v>280.45</v>
      </c>
      <c r="E77" s="1"/>
      <c r="F77" s="5">
        <f t="shared" si="28"/>
        <v>4.3358336202502365E-3</v>
      </c>
      <c r="G77" s="1"/>
      <c r="H77" s="1">
        <f>SUM(OSRRefH22_3x_0)</f>
        <v>300</v>
      </c>
      <c r="I77" s="1"/>
      <c r="J77" s="5">
        <f t="shared" si="29"/>
        <v>9.8396788328828939E-4</v>
      </c>
      <c r="K77" s="1"/>
      <c r="L77" s="1">
        <f t="shared" si="30"/>
        <v>-19.550000000000011</v>
      </c>
      <c r="M77" s="1"/>
      <c r="N77" s="5">
        <f t="shared" si="31"/>
        <v>-6.5166666666666706E-2</v>
      </c>
      <c r="O77" s="13"/>
      <c r="P77" s="1">
        <f>SUM(OSRRefP22_3x_0)</f>
        <v>3365.29</v>
      </c>
      <c r="Q77" s="1"/>
      <c r="R77" s="5">
        <f t="shared" si="32"/>
        <v>1.2760620271353407E-3</v>
      </c>
      <c r="S77" s="1"/>
      <c r="T77" s="1">
        <f>SUM(OSRRefT22_3x_0)</f>
        <v>3600</v>
      </c>
      <c r="U77" s="1"/>
      <c r="V77" s="5">
        <f t="shared" si="33"/>
        <v>1.4314280363471388E-3</v>
      </c>
      <c r="W77" s="1"/>
      <c r="X77" s="1">
        <f t="shared" si="34"/>
        <v>-234.71000000000004</v>
      </c>
      <c r="Y77" s="1"/>
      <c r="Z77" s="5">
        <f t="shared" si="35"/>
        <v>-6.5197222222222226E-2</v>
      </c>
    </row>
    <row r="78" spans="1:26" s="24" customFormat="1" hidden="1" outlineLevel="2" x14ac:dyDescent="0.25">
      <c r="A78" s="26"/>
      <c r="B78" s="11" t="str">
        <f>CONCATENATE("          ", "6322", " - ", "EQUIPMENT DEPRECIATION EXPENSE")</f>
        <v xml:space="preserve">          6322 - EQUIPMENT DEPRECIATION EXPENSE</v>
      </c>
      <c r="C78" s="11"/>
      <c r="D78" s="6">
        <v>280.45</v>
      </c>
      <c r="E78" s="2"/>
      <c r="F78" s="7">
        <f t="shared" si="28"/>
        <v>4.3358336202502365E-3</v>
      </c>
      <c r="G78" s="2"/>
      <c r="H78" s="6">
        <v>300</v>
      </c>
      <c r="I78" s="2"/>
      <c r="J78" s="7">
        <f t="shared" si="29"/>
        <v>9.8396788328828939E-4</v>
      </c>
      <c r="K78" s="2"/>
      <c r="L78" s="6">
        <f t="shared" si="30"/>
        <v>-19.550000000000011</v>
      </c>
      <c r="M78" s="2"/>
      <c r="N78" s="7">
        <f t="shared" si="31"/>
        <v>-6.5166666666666706E-2</v>
      </c>
      <c r="O78" s="11"/>
      <c r="P78" s="6">
        <v>3365.29</v>
      </c>
      <c r="Q78" s="2"/>
      <c r="R78" s="7">
        <f t="shared" si="32"/>
        <v>1.2760620271353407E-3</v>
      </c>
      <c r="S78" s="2"/>
      <c r="T78" s="6">
        <v>3600</v>
      </c>
      <c r="U78" s="2"/>
      <c r="V78" s="7">
        <f t="shared" si="33"/>
        <v>1.4314280363471388E-3</v>
      </c>
      <c r="W78" s="2"/>
      <c r="X78" s="6">
        <f t="shared" si="34"/>
        <v>-234.71000000000004</v>
      </c>
      <c r="Y78" s="2"/>
      <c r="Z78" s="7">
        <f t="shared" si="35"/>
        <v>-6.5197222222222226E-2</v>
      </c>
    </row>
    <row r="79" spans="1:26" s="27" customFormat="1" outlineLevel="1" collapsed="1" x14ac:dyDescent="0.25">
      <c r="A79" s="25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SUM(OSRRefD22_4x_0)</f>
        <v>0</v>
      </c>
      <c r="E79" s="1"/>
      <c r="F79" s="5">
        <f t="shared" si="28"/>
        <v>0</v>
      </c>
      <c r="G79" s="1"/>
      <c r="H79" s="1">
        <f>SUM(OSRRefH22_4x_0)</f>
        <v>4849</v>
      </c>
      <c r="I79" s="1"/>
      <c r="J79" s="5">
        <f t="shared" si="29"/>
        <v>1.5904200886883053E-2</v>
      </c>
      <c r="K79" s="1"/>
      <c r="L79" s="1">
        <f t="shared" si="30"/>
        <v>-4849</v>
      </c>
      <c r="M79" s="1"/>
      <c r="N79" s="5">
        <f t="shared" si="31"/>
        <v>-1</v>
      </c>
      <c r="O79" s="13"/>
      <c r="P79" s="1">
        <f>SUM(OSRRefP22_4x_0)</f>
        <v>0</v>
      </c>
      <c r="Q79" s="1"/>
      <c r="R79" s="5">
        <f t="shared" si="32"/>
        <v>0</v>
      </c>
      <c r="S79" s="1"/>
      <c r="T79" s="1">
        <f>SUM(OSRRefT22_4x_0)</f>
        <v>40000</v>
      </c>
      <c r="U79" s="1"/>
      <c r="V79" s="5">
        <f t="shared" si="33"/>
        <v>1.5904755959412653E-2</v>
      </c>
      <c r="W79" s="1"/>
      <c r="X79" s="1">
        <f t="shared" si="34"/>
        <v>-40000</v>
      </c>
      <c r="Y79" s="1"/>
      <c r="Z79" s="5">
        <f t="shared" si="35"/>
        <v>-1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0</v>
      </c>
      <c r="E80" s="2"/>
      <c r="F80" s="7">
        <f t="shared" si="28"/>
        <v>0</v>
      </c>
      <c r="G80" s="2"/>
      <c r="H80" s="6">
        <v>4849</v>
      </c>
      <c r="I80" s="2"/>
      <c r="J80" s="7">
        <f t="shared" si="29"/>
        <v>1.5904200886883053E-2</v>
      </c>
      <c r="K80" s="2"/>
      <c r="L80" s="6">
        <f t="shared" si="30"/>
        <v>-4849</v>
      </c>
      <c r="M80" s="2"/>
      <c r="N80" s="7">
        <f t="shared" si="31"/>
        <v>-1</v>
      </c>
      <c r="O80" s="11"/>
      <c r="P80" s="6">
        <v>0</v>
      </c>
      <c r="Q80" s="2"/>
      <c r="R80" s="7">
        <f t="shared" si="32"/>
        <v>0</v>
      </c>
      <c r="S80" s="2"/>
      <c r="T80" s="6">
        <v>40000</v>
      </c>
      <c r="U80" s="2"/>
      <c r="V80" s="7">
        <f t="shared" si="33"/>
        <v>1.5904755959412653E-2</v>
      </c>
      <c r="W80" s="2"/>
      <c r="X80" s="6">
        <f t="shared" si="34"/>
        <v>-40000</v>
      </c>
      <c r="Y80" s="2"/>
      <c r="Z80" s="7">
        <f t="shared" si="35"/>
        <v>-1</v>
      </c>
    </row>
    <row r="81" spans="1:26" s="27" customFormat="1" outlineLevel="1" collapsed="1" x14ac:dyDescent="0.25">
      <c r="A81" s="25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SUM(OSRRefD22_5x_0)</f>
        <v>0</v>
      </c>
      <c r="E81" s="1"/>
      <c r="F81" s="5">
        <f t="shared" si="28"/>
        <v>0</v>
      </c>
      <c r="G81" s="1"/>
      <c r="H81" s="1">
        <f>SUM(OSRRefH22_5x_0)</f>
        <v>20</v>
      </c>
      <c r="I81" s="1"/>
      <c r="J81" s="5">
        <f t="shared" si="29"/>
        <v>6.5597858885885958E-5</v>
      </c>
      <c r="K81" s="1"/>
      <c r="L81" s="1">
        <f t="shared" si="30"/>
        <v>-20</v>
      </c>
      <c r="M81" s="1"/>
      <c r="N81" s="5">
        <f t="shared" si="31"/>
        <v>-1</v>
      </c>
      <c r="O81" s="13"/>
      <c r="P81" s="1">
        <f>SUM(OSRRefP22_5x_0)</f>
        <v>0</v>
      </c>
      <c r="Q81" s="1"/>
      <c r="R81" s="5">
        <f t="shared" si="32"/>
        <v>0</v>
      </c>
      <c r="S81" s="1"/>
      <c r="T81" s="1">
        <f>SUM(OSRRefT22_5x_0)</f>
        <v>240</v>
      </c>
      <c r="U81" s="1"/>
      <c r="V81" s="5">
        <f t="shared" si="33"/>
        <v>9.5428535756475922E-5</v>
      </c>
      <c r="W81" s="1"/>
      <c r="X81" s="1">
        <f t="shared" si="34"/>
        <v>-240</v>
      </c>
      <c r="Y81" s="1"/>
      <c r="Z81" s="5">
        <f t="shared" si="35"/>
        <v>-1</v>
      </c>
    </row>
    <row r="82" spans="1:26" s="24" customFormat="1" hidden="1" outlineLevel="2" x14ac:dyDescent="0.25">
      <c r="A82" s="26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28"/>
        <v>0</v>
      </c>
      <c r="G82" s="2"/>
      <c r="H82" s="6">
        <v>20</v>
      </c>
      <c r="I82" s="2"/>
      <c r="J82" s="7">
        <f t="shared" si="29"/>
        <v>6.5597858885885958E-5</v>
      </c>
      <c r="K82" s="2"/>
      <c r="L82" s="6">
        <f t="shared" si="30"/>
        <v>-20</v>
      </c>
      <c r="M82" s="2"/>
      <c r="N82" s="7">
        <f t="shared" si="31"/>
        <v>-1</v>
      </c>
      <c r="O82" s="11"/>
      <c r="P82" s="6"/>
      <c r="Q82" s="2"/>
      <c r="R82" s="7">
        <f t="shared" si="32"/>
        <v>0</v>
      </c>
      <c r="S82" s="2"/>
      <c r="T82" s="6">
        <v>240</v>
      </c>
      <c r="U82" s="2"/>
      <c r="V82" s="7">
        <f t="shared" si="33"/>
        <v>9.5428535756475922E-5</v>
      </c>
      <c r="W82" s="2"/>
      <c r="X82" s="6">
        <f t="shared" si="34"/>
        <v>-240</v>
      </c>
      <c r="Y82" s="2"/>
      <c r="Z82" s="7">
        <f t="shared" si="35"/>
        <v>-1</v>
      </c>
    </row>
    <row r="83" spans="1:26" s="27" customFormat="1" outlineLevel="1" collapsed="1" x14ac:dyDescent="0.25">
      <c r="A83" s="25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SUM(OSRRefD22_6x_0)</f>
        <v>0</v>
      </c>
      <c r="E83" s="1"/>
      <c r="F83" s="5">
        <f t="shared" si="28"/>
        <v>0</v>
      </c>
      <c r="G83" s="1"/>
      <c r="H83" s="1">
        <f>SUM(OSRRefH22_6x_0)</f>
        <v>15</v>
      </c>
      <c r="I83" s="1"/>
      <c r="J83" s="5">
        <f t="shared" si="29"/>
        <v>4.9198394164414472E-5</v>
      </c>
      <c r="K83" s="1"/>
      <c r="L83" s="1">
        <f t="shared" si="30"/>
        <v>-15</v>
      </c>
      <c r="M83" s="1"/>
      <c r="N83" s="5">
        <f t="shared" si="31"/>
        <v>-1</v>
      </c>
      <c r="O83" s="13"/>
      <c r="P83" s="1">
        <f>SUM(OSRRefP22_6x_0)</f>
        <v>2698.56</v>
      </c>
      <c r="Q83" s="1"/>
      <c r="R83" s="5">
        <f t="shared" si="32"/>
        <v>1.0232490941185885E-3</v>
      </c>
      <c r="S83" s="1"/>
      <c r="T83" s="1">
        <f>SUM(OSRRefT22_6x_0)</f>
        <v>180</v>
      </c>
      <c r="U83" s="1"/>
      <c r="V83" s="5">
        <f t="shared" si="33"/>
        <v>7.1571401817356945E-5</v>
      </c>
      <c r="W83" s="1"/>
      <c r="X83" s="1">
        <f t="shared" si="34"/>
        <v>2518.56</v>
      </c>
      <c r="Y83" s="1"/>
      <c r="Z83" s="5">
        <f t="shared" si="35"/>
        <v>13.991999999999999</v>
      </c>
    </row>
    <row r="84" spans="1:26" s="24" customFormat="1" hidden="1" outlineLevel="2" x14ac:dyDescent="0.25">
      <c r="A84" s="26"/>
      <c r="B84" s="11" t="str">
        <f>CONCATENATE("          ", "6305", " - ", "FREIGHT OUT")</f>
        <v xml:space="preserve">          6305 - FREIGHT OUT</v>
      </c>
      <c r="C84" s="11"/>
      <c r="D84" s="6"/>
      <c r="E84" s="2"/>
      <c r="F84" s="7">
        <f t="shared" si="28"/>
        <v>0</v>
      </c>
      <c r="G84" s="2"/>
      <c r="H84" s="6">
        <v>15</v>
      </c>
      <c r="I84" s="2"/>
      <c r="J84" s="7">
        <f t="shared" si="29"/>
        <v>4.9198394164414472E-5</v>
      </c>
      <c r="K84" s="2"/>
      <c r="L84" s="6">
        <f t="shared" si="30"/>
        <v>-15</v>
      </c>
      <c r="M84" s="2"/>
      <c r="N84" s="7">
        <f t="shared" si="31"/>
        <v>-1</v>
      </c>
      <c r="O84" s="11"/>
      <c r="P84" s="6">
        <v>2685.96</v>
      </c>
      <c r="Q84" s="2"/>
      <c r="R84" s="7">
        <f t="shared" si="32"/>
        <v>1.0184713835670743E-3</v>
      </c>
      <c r="S84" s="2"/>
      <c r="T84" s="6">
        <v>180</v>
      </c>
      <c r="U84" s="2"/>
      <c r="V84" s="7">
        <f t="shared" si="33"/>
        <v>7.1571401817356945E-5</v>
      </c>
      <c r="W84" s="2"/>
      <c r="X84" s="6">
        <f t="shared" si="34"/>
        <v>2505.96</v>
      </c>
      <c r="Y84" s="2"/>
      <c r="Z84" s="7">
        <f t="shared" si="35"/>
        <v>13.922000000000001</v>
      </c>
    </row>
    <row r="85" spans="1:26" s="24" customFormat="1" hidden="1" outlineLevel="2" x14ac:dyDescent="0.25">
      <c r="A85" s="26"/>
      <c r="B85" s="11" t="str">
        <f>CONCATENATE("          ", "6307", " - ", "POSTAGE")</f>
        <v xml:space="preserve">          6307 - POSTAGE</v>
      </c>
      <c r="C85" s="11"/>
      <c r="D85" s="6"/>
      <c r="E85" s="2"/>
      <c r="F85" s="7">
        <f t="shared" si="28"/>
        <v>0</v>
      </c>
      <c r="G85" s="2"/>
      <c r="H85" s="6"/>
      <c r="I85" s="2"/>
      <c r="J85" s="7">
        <f t="shared" si="29"/>
        <v>0</v>
      </c>
      <c r="K85" s="2"/>
      <c r="L85" s="6">
        <f t="shared" si="30"/>
        <v>0</v>
      </c>
      <c r="M85" s="2"/>
      <c r="N85" s="7">
        <f t="shared" si="31"/>
        <v>0</v>
      </c>
      <c r="O85" s="11"/>
      <c r="P85" s="6">
        <v>12.6</v>
      </c>
      <c r="Q85" s="2"/>
      <c r="R85" s="7">
        <f t="shared" si="32"/>
        <v>4.7777105515142208E-6</v>
      </c>
      <c r="S85" s="2"/>
      <c r="T85" s="6"/>
      <c r="U85" s="2"/>
      <c r="V85" s="7">
        <f t="shared" si="33"/>
        <v>0</v>
      </c>
      <c r="W85" s="2"/>
      <c r="X85" s="6">
        <f t="shared" si="34"/>
        <v>12.6</v>
      </c>
      <c r="Y85" s="2"/>
      <c r="Z85" s="7">
        <f t="shared" si="35"/>
        <v>0</v>
      </c>
    </row>
    <row r="86" spans="1:26" s="27" customFormat="1" outlineLevel="1" collapsed="1" x14ac:dyDescent="0.25">
      <c r="A86" s="25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SUM(OSRRefD22_7x_0)</f>
        <v>0</v>
      </c>
      <c r="E86" s="1"/>
      <c r="F86" s="5">
        <f t="shared" ref="F86:F92" si="36">IF(D$12=0,0,D86/D$12)</f>
        <v>0</v>
      </c>
      <c r="G86" s="1"/>
      <c r="H86" s="1">
        <f>SUM(OSRRefH22_7x_0)</f>
        <v>30</v>
      </c>
      <c r="I86" s="1"/>
      <c r="J86" s="5">
        <f t="shared" ref="J86:J92" si="37">IF(H$12=0,0,H86/H$12)</f>
        <v>9.8396788328828944E-5</v>
      </c>
      <c r="K86" s="1"/>
      <c r="L86" s="1">
        <f t="shared" ref="L86:L92" si="38">+D86-H86</f>
        <v>-30</v>
      </c>
      <c r="M86" s="1"/>
      <c r="N86" s="5">
        <f t="shared" ref="N86:N92" si="39">IF(H86=0,0,L86/H86)</f>
        <v>-1</v>
      </c>
      <c r="O86" s="13"/>
      <c r="P86" s="1">
        <f>SUM(OSRRefP22_7x_0)</f>
        <v>254.85</v>
      </c>
      <c r="Q86" s="1"/>
      <c r="R86" s="5">
        <f t="shared" ref="R86:R92" si="40">IF(P$12=0,0,P86/P$12)</f>
        <v>9.6634883655031685E-5</v>
      </c>
      <c r="S86" s="1"/>
      <c r="T86" s="1">
        <f>SUM(OSRRefT22_7x_0)</f>
        <v>360</v>
      </c>
      <c r="U86" s="1"/>
      <c r="V86" s="5">
        <f t="shared" ref="V86:V92" si="41">IF(T$12=0,0,T86/T$12)</f>
        <v>1.4314280363471389E-4</v>
      </c>
      <c r="W86" s="1"/>
      <c r="X86" s="1">
        <f t="shared" ref="X86:X92" si="42">+P86-T86</f>
        <v>-105.15</v>
      </c>
      <c r="Y86" s="1"/>
      <c r="Z86" s="5">
        <f t="shared" ref="Z86:Z92" si="43">IF(T86=0,0,X86/T86)</f>
        <v>-0.29208333333333336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6"/>
        <v>0</v>
      </c>
      <c r="G87" s="2"/>
      <c r="H87" s="6">
        <v>30</v>
      </c>
      <c r="I87" s="2"/>
      <c r="J87" s="7">
        <f t="shared" si="37"/>
        <v>9.8396788328828944E-5</v>
      </c>
      <c r="K87" s="2"/>
      <c r="L87" s="6">
        <f t="shared" si="38"/>
        <v>-30</v>
      </c>
      <c r="M87" s="2"/>
      <c r="N87" s="7">
        <f t="shared" si="39"/>
        <v>-1</v>
      </c>
      <c r="O87" s="11"/>
      <c r="P87" s="6">
        <v>254.85</v>
      </c>
      <c r="Q87" s="2"/>
      <c r="R87" s="7">
        <f t="shared" si="40"/>
        <v>9.6634883655031685E-5</v>
      </c>
      <c r="S87" s="2"/>
      <c r="T87" s="6">
        <v>360</v>
      </c>
      <c r="U87" s="2"/>
      <c r="V87" s="7">
        <f t="shared" si="41"/>
        <v>1.4314280363471389E-4</v>
      </c>
      <c r="W87" s="2"/>
      <c r="X87" s="6">
        <f t="shared" si="42"/>
        <v>-105.15</v>
      </c>
      <c r="Y87" s="2"/>
      <c r="Z87" s="7">
        <f t="shared" si="43"/>
        <v>-0.29208333333333336</v>
      </c>
    </row>
    <row r="88" spans="1:26" s="27" customFormat="1" outlineLevel="1" collapsed="1" x14ac:dyDescent="0.25">
      <c r="A88" s="25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SUM(OSRRefD22_8x_0)</f>
        <v>-13750</v>
      </c>
      <c r="E88" s="1"/>
      <c r="F88" s="5">
        <f t="shared" si="36"/>
        <v>-0.21257875656423875</v>
      </c>
      <c r="G88" s="1"/>
      <c r="H88" s="1">
        <f>SUM(OSRRefH22_8x_0)</f>
        <v>1250</v>
      </c>
      <c r="I88" s="1"/>
      <c r="J88" s="5">
        <f t="shared" si="37"/>
        <v>4.0998661803678732E-3</v>
      </c>
      <c r="K88" s="1"/>
      <c r="L88" s="1">
        <f t="shared" si="38"/>
        <v>-15000</v>
      </c>
      <c r="M88" s="1"/>
      <c r="N88" s="5">
        <f t="shared" si="39"/>
        <v>-12</v>
      </c>
      <c r="O88" s="13"/>
      <c r="P88" s="1">
        <f>SUM(OSRRefP22_8x_0)</f>
        <v>0</v>
      </c>
      <c r="Q88" s="1"/>
      <c r="R88" s="5">
        <f t="shared" si="40"/>
        <v>0</v>
      </c>
      <c r="S88" s="1"/>
      <c r="T88" s="1">
        <f>SUM(OSRRefT22_8x_0)</f>
        <v>15000</v>
      </c>
      <c r="U88" s="1"/>
      <c r="V88" s="5">
        <f t="shared" si="41"/>
        <v>5.9642834847797449E-3</v>
      </c>
      <c r="W88" s="1"/>
      <c r="X88" s="1">
        <f t="shared" si="42"/>
        <v>-15000</v>
      </c>
      <c r="Y88" s="1"/>
      <c r="Z88" s="5">
        <f t="shared" si="43"/>
        <v>-1</v>
      </c>
    </row>
    <row r="89" spans="1:26" s="24" customFormat="1" hidden="1" outlineLevel="2" x14ac:dyDescent="0.25">
      <c r="A89" s="26"/>
      <c r="B89" s="11" t="str">
        <f>CONCATENATE("          ", "6408", " - ", "INVENTORY ADJUSTMENT")</f>
        <v xml:space="preserve">          6408 - INVENTORY ADJUSTMENT</v>
      </c>
      <c r="C89" s="11"/>
      <c r="D89" s="6">
        <v>-13750</v>
      </c>
      <c r="E89" s="2"/>
      <c r="F89" s="7">
        <f t="shared" si="36"/>
        <v>-0.21257875656423875</v>
      </c>
      <c r="G89" s="2"/>
      <c r="H89" s="6">
        <v>1250</v>
      </c>
      <c r="I89" s="2"/>
      <c r="J89" s="7">
        <f t="shared" si="37"/>
        <v>4.0998661803678732E-3</v>
      </c>
      <c r="K89" s="2"/>
      <c r="L89" s="6">
        <f t="shared" si="38"/>
        <v>-15000</v>
      </c>
      <c r="M89" s="2"/>
      <c r="N89" s="7">
        <f t="shared" si="39"/>
        <v>-12</v>
      </c>
      <c r="O89" s="11"/>
      <c r="P89" s="6">
        <v>0</v>
      </c>
      <c r="Q89" s="2"/>
      <c r="R89" s="7">
        <f t="shared" si="40"/>
        <v>0</v>
      </c>
      <c r="S89" s="2"/>
      <c r="T89" s="6">
        <v>15000</v>
      </c>
      <c r="U89" s="2"/>
      <c r="V89" s="7">
        <f t="shared" si="41"/>
        <v>5.9642834847797449E-3</v>
      </c>
      <c r="W89" s="2"/>
      <c r="X89" s="6">
        <f t="shared" si="42"/>
        <v>-15000</v>
      </c>
      <c r="Y89" s="2"/>
      <c r="Z89" s="7">
        <f t="shared" si="43"/>
        <v>-1</v>
      </c>
    </row>
    <row r="90" spans="1:26" s="27" customFormat="1" outlineLevel="1" collapsed="1" x14ac:dyDescent="0.25">
      <c r="A90" s="25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SUM(OSRRefD22_9x_0)</f>
        <v>-190</v>
      </c>
      <c r="E90" s="1"/>
      <c r="F90" s="5">
        <f t="shared" si="36"/>
        <v>-2.9374519088876624E-3</v>
      </c>
      <c r="G90" s="1"/>
      <c r="H90" s="1">
        <f>SUM(OSRRefH22_9x_0)</f>
        <v>20</v>
      </c>
      <c r="I90" s="1"/>
      <c r="J90" s="5">
        <f t="shared" si="37"/>
        <v>6.5597858885885958E-5</v>
      </c>
      <c r="K90" s="1"/>
      <c r="L90" s="1">
        <f t="shared" si="38"/>
        <v>-210</v>
      </c>
      <c r="M90" s="1"/>
      <c r="N90" s="5">
        <f t="shared" si="39"/>
        <v>-10.5</v>
      </c>
      <c r="O90" s="13"/>
      <c r="P90" s="1">
        <f>SUM(OSRRefP22_9x_0)</f>
        <v>1360</v>
      </c>
      <c r="Q90" s="1"/>
      <c r="R90" s="5">
        <f t="shared" si="40"/>
        <v>5.1568939286185237E-4</v>
      </c>
      <c r="S90" s="1"/>
      <c r="T90" s="1">
        <f>SUM(OSRRefT22_9x_0)</f>
        <v>245</v>
      </c>
      <c r="U90" s="1"/>
      <c r="V90" s="5">
        <f t="shared" si="41"/>
        <v>9.7416630251402503E-5</v>
      </c>
      <c r="W90" s="1"/>
      <c r="X90" s="1">
        <f t="shared" si="42"/>
        <v>1115</v>
      </c>
      <c r="Y90" s="1"/>
      <c r="Z90" s="5">
        <f t="shared" si="43"/>
        <v>4.5510204081632653</v>
      </c>
    </row>
    <row r="91" spans="1:26" s="24" customFormat="1" hidden="1" outlineLevel="2" x14ac:dyDescent="0.25">
      <c r="A91" s="26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36"/>
        <v>0</v>
      </c>
      <c r="G91" s="2"/>
      <c r="H91" s="6"/>
      <c r="I91" s="2"/>
      <c r="J91" s="7">
        <f t="shared" si="37"/>
        <v>0</v>
      </c>
      <c r="K91" s="2"/>
      <c r="L91" s="6">
        <f t="shared" si="38"/>
        <v>0</v>
      </c>
      <c r="M91" s="2"/>
      <c r="N91" s="7">
        <f t="shared" si="39"/>
        <v>0</v>
      </c>
      <c r="O91" s="11"/>
      <c r="P91" s="6">
        <v>1550</v>
      </c>
      <c r="Q91" s="2"/>
      <c r="R91" s="7">
        <f t="shared" si="40"/>
        <v>5.8773423451167009E-4</v>
      </c>
      <c r="S91" s="2"/>
      <c r="T91" s="6"/>
      <c r="U91" s="2"/>
      <c r="V91" s="7">
        <f t="shared" si="41"/>
        <v>0</v>
      </c>
      <c r="W91" s="2"/>
      <c r="X91" s="6">
        <f t="shared" si="42"/>
        <v>1550</v>
      </c>
      <c r="Y91" s="2"/>
      <c r="Z91" s="7">
        <f t="shared" si="43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-190</v>
      </c>
      <c r="E92" s="2"/>
      <c r="F92" s="7">
        <f t="shared" si="36"/>
        <v>-2.9374519088876624E-3</v>
      </c>
      <c r="G92" s="2"/>
      <c r="H92" s="6">
        <v>20</v>
      </c>
      <c r="I92" s="2"/>
      <c r="J92" s="7">
        <f t="shared" si="37"/>
        <v>6.5597858885885958E-5</v>
      </c>
      <c r="K92" s="2"/>
      <c r="L92" s="6">
        <f t="shared" si="38"/>
        <v>-210</v>
      </c>
      <c r="M92" s="2"/>
      <c r="N92" s="7">
        <f t="shared" si="39"/>
        <v>-10.5</v>
      </c>
      <c r="O92" s="11"/>
      <c r="P92" s="6">
        <v>-190</v>
      </c>
      <c r="Q92" s="2"/>
      <c r="R92" s="7">
        <f t="shared" si="40"/>
        <v>-7.204484164981762E-5</v>
      </c>
      <c r="S92" s="2"/>
      <c r="T92" s="6">
        <v>245</v>
      </c>
      <c r="U92" s="2"/>
      <c r="V92" s="7">
        <f t="shared" si="41"/>
        <v>9.7416630251402503E-5</v>
      </c>
      <c r="W92" s="2"/>
      <c r="X92" s="6">
        <f t="shared" si="42"/>
        <v>-435</v>
      </c>
      <c r="Y92" s="2"/>
      <c r="Z92" s="7">
        <f t="shared" si="43"/>
        <v>-1.7755102040816326</v>
      </c>
    </row>
    <row r="93" spans="1:26" s="27" customFormat="1" outlineLevel="1" collapsed="1" x14ac:dyDescent="0.25">
      <c r="A93" s="25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SUM(OSRRefD22_10x_0)</f>
        <v>0</v>
      </c>
      <c r="E93" s="1"/>
      <c r="F93" s="5">
        <f t="shared" ref="F93:F99" si="44">IF(D$12=0,0,D93/D$12)</f>
        <v>0</v>
      </c>
      <c r="G93" s="1"/>
      <c r="H93" s="1">
        <f>SUM(OSRRefH22_10x_0)</f>
        <v>0</v>
      </c>
      <c r="I93" s="1"/>
      <c r="J93" s="5">
        <f t="shared" ref="J93:J99" si="45">IF(H$12=0,0,H93/H$12)</f>
        <v>0</v>
      </c>
      <c r="K93" s="1"/>
      <c r="L93" s="1">
        <f t="shared" ref="L93:L99" si="46">+D93-H93</f>
        <v>0</v>
      </c>
      <c r="M93" s="1"/>
      <c r="N93" s="5">
        <f t="shared" ref="N93:N99" si="47">IF(H93=0,0,L93/H93)</f>
        <v>0</v>
      </c>
      <c r="O93" s="13"/>
      <c r="P93" s="1">
        <f>SUM(OSRRefP22_10x_0)</f>
        <v>142.22</v>
      </c>
      <c r="Q93" s="1"/>
      <c r="R93" s="5">
        <f t="shared" ref="R93:R99" si="48">IF(P$12=0,0,P93/P$12)</f>
        <v>5.392745989177401E-5</v>
      </c>
      <c r="S93" s="1"/>
      <c r="T93" s="1">
        <f>SUM(OSRRefT22_10x_0)</f>
        <v>0</v>
      </c>
      <c r="U93" s="1"/>
      <c r="V93" s="5">
        <f t="shared" ref="V93:V99" si="49">IF(T$12=0,0,T93/T$12)</f>
        <v>0</v>
      </c>
      <c r="W93" s="1"/>
      <c r="X93" s="1">
        <f t="shared" ref="X93:X99" si="50">+P93-T93</f>
        <v>142.22</v>
      </c>
      <c r="Y93" s="1"/>
      <c r="Z93" s="5">
        <f t="shared" ref="Z93:Z99" si="51">IF(T93=0,0,X93/T93)</f>
        <v>0</v>
      </c>
    </row>
    <row r="94" spans="1:26" s="24" customFormat="1" hidden="1" outlineLevel="2" x14ac:dyDescent="0.25">
      <c r="A94" s="26"/>
      <c r="B94" s="11" t="str">
        <f>CONCATENATE("          ", "6275", " - ", "SUBSCRIPTIONS")</f>
        <v xml:space="preserve">          6275 - SUBSCRIPTIONS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142.22</v>
      </c>
      <c r="Q94" s="2"/>
      <c r="R94" s="7">
        <f t="shared" si="48"/>
        <v>5.392745989177401E-5</v>
      </c>
      <c r="S94" s="2"/>
      <c r="T94" s="6"/>
      <c r="U94" s="2"/>
      <c r="V94" s="7">
        <f t="shared" si="49"/>
        <v>0</v>
      </c>
      <c r="W94" s="2"/>
      <c r="X94" s="6">
        <f t="shared" si="50"/>
        <v>142.22</v>
      </c>
      <c r="Y94" s="2"/>
      <c r="Z94" s="7">
        <f t="shared" si="51"/>
        <v>0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SUM(OSRRefD22_11x_0)</f>
        <v>1644.01</v>
      </c>
      <c r="E95" s="1"/>
      <c r="F95" s="5">
        <f t="shared" si="44"/>
        <v>2.5416843751212663E-2</v>
      </c>
      <c r="G95" s="1"/>
      <c r="H95" s="1">
        <f>SUM(OSRRefH22_11x_0)</f>
        <v>310</v>
      </c>
      <c r="I95" s="1"/>
      <c r="J95" s="5">
        <f t="shared" si="45"/>
        <v>1.0167668127312325E-3</v>
      </c>
      <c r="K95" s="1"/>
      <c r="L95" s="1">
        <f t="shared" si="46"/>
        <v>1334.01</v>
      </c>
      <c r="M95" s="1"/>
      <c r="N95" s="5">
        <f t="shared" si="47"/>
        <v>4.3032580645161289</v>
      </c>
      <c r="O95" s="13"/>
      <c r="P95" s="1">
        <f>SUM(OSRRefP22_11x_0)</f>
        <v>5676.33</v>
      </c>
      <c r="Q95" s="1"/>
      <c r="R95" s="5">
        <f t="shared" si="48"/>
        <v>2.1523699789584697E-3</v>
      </c>
      <c r="S95" s="1"/>
      <c r="T95" s="1">
        <f>SUM(OSRRefT22_11x_0)</f>
        <v>3720</v>
      </c>
      <c r="U95" s="1"/>
      <c r="V95" s="5">
        <f t="shared" si="49"/>
        <v>1.4791423042253768E-3</v>
      </c>
      <c r="W95" s="1"/>
      <c r="X95" s="1">
        <f t="shared" si="50"/>
        <v>1956.33</v>
      </c>
      <c r="Y95" s="1"/>
      <c r="Z95" s="5">
        <f t="shared" si="51"/>
        <v>0.52589516129032254</v>
      </c>
    </row>
    <row r="96" spans="1:26" s="24" customFormat="1" hidden="1" outlineLevel="2" x14ac:dyDescent="0.25">
      <c r="A96" s="26"/>
      <c r="B96" s="11" t="str">
        <f>CONCATENATE("          ", "6234", " - ", "EXPENDABLE SUPPLIES &amp; EQUIPMEN")</f>
        <v xml:space="preserve">          6234 - EXPENDABLE SUPPLIES &amp; EQUIPMEN</v>
      </c>
      <c r="C96" s="11"/>
      <c r="D96" s="6"/>
      <c r="E96" s="2"/>
      <c r="F96" s="7">
        <f t="shared" si="44"/>
        <v>0</v>
      </c>
      <c r="G96" s="2"/>
      <c r="H96" s="6"/>
      <c r="I96" s="2"/>
      <c r="J96" s="7">
        <f t="shared" si="45"/>
        <v>0</v>
      </c>
      <c r="K96" s="2"/>
      <c r="L96" s="6">
        <f t="shared" si="46"/>
        <v>0</v>
      </c>
      <c r="M96" s="2"/>
      <c r="N96" s="7">
        <f t="shared" si="47"/>
        <v>0</v>
      </c>
      <c r="O96" s="11"/>
      <c r="P96" s="6">
        <v>1733.49</v>
      </c>
      <c r="Q96" s="2"/>
      <c r="R96" s="7">
        <f t="shared" si="48"/>
        <v>6.573105923765387E-4</v>
      </c>
      <c r="S96" s="2"/>
      <c r="T96" s="6"/>
      <c r="U96" s="2"/>
      <c r="V96" s="7">
        <f t="shared" si="49"/>
        <v>0</v>
      </c>
      <c r="W96" s="2"/>
      <c r="X96" s="6">
        <f t="shared" si="50"/>
        <v>1733.49</v>
      </c>
      <c r="Y96" s="2"/>
      <c r="Z96" s="7">
        <f t="shared" si="51"/>
        <v>0</v>
      </c>
    </row>
    <row r="97" spans="1:26" s="24" customFormat="1" hidden="1" outlineLevel="2" x14ac:dyDescent="0.25">
      <c r="A97" s="26"/>
      <c r="B97" s="11" t="str">
        <f>CONCATENATE("          ", "6235", " - ", "COVID-19 EXPENSES")</f>
        <v xml:space="preserve">          6235 - COVID-19 EXPENSES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>
        <v>668.12</v>
      </c>
      <c r="Q97" s="2"/>
      <c r="R97" s="7">
        <f t="shared" si="48"/>
        <v>2.5333999791092706E-4</v>
      </c>
      <c r="S97" s="2"/>
      <c r="T97" s="6"/>
      <c r="U97" s="2"/>
      <c r="V97" s="7">
        <f t="shared" si="49"/>
        <v>0</v>
      </c>
      <c r="W97" s="2"/>
      <c r="X97" s="6">
        <f t="shared" si="50"/>
        <v>668.12</v>
      </c>
      <c r="Y97" s="2"/>
      <c r="Z97" s="7">
        <f t="shared" si="51"/>
        <v>0</v>
      </c>
    </row>
    <row r="98" spans="1:26" s="24" customFormat="1" hidden="1" outlineLevel="2" x14ac:dyDescent="0.25">
      <c r="A98" s="26"/>
      <c r="B98" s="11" t="str">
        <f>CONCATENATE("          ", "6241", " - ", "OFFICE EXPENSE")</f>
        <v xml:space="preserve">          6241 - OFFICE EXPENSE</v>
      </c>
      <c r="C98" s="11"/>
      <c r="D98" s="6">
        <v>122.01</v>
      </c>
      <c r="E98" s="2"/>
      <c r="F98" s="7">
        <f t="shared" si="44"/>
        <v>1.8863079337020196E-3</v>
      </c>
      <c r="G98" s="2"/>
      <c r="H98" s="6">
        <v>110</v>
      </c>
      <c r="I98" s="2"/>
      <c r="J98" s="7">
        <f t="shared" si="45"/>
        <v>3.607882238723728E-4</v>
      </c>
      <c r="K98" s="2"/>
      <c r="L98" s="6">
        <f t="shared" si="46"/>
        <v>12.010000000000005</v>
      </c>
      <c r="M98" s="2"/>
      <c r="N98" s="7">
        <f t="shared" si="47"/>
        <v>0.10918181818181823</v>
      </c>
      <c r="O98" s="11"/>
      <c r="P98" s="6">
        <v>1752.72</v>
      </c>
      <c r="Q98" s="2"/>
      <c r="R98" s="7">
        <f t="shared" si="48"/>
        <v>6.6460228871825441E-4</v>
      </c>
      <c r="S98" s="2"/>
      <c r="T98" s="6">
        <v>1320</v>
      </c>
      <c r="U98" s="2"/>
      <c r="V98" s="7">
        <f t="shared" si="49"/>
        <v>5.248569466606176E-4</v>
      </c>
      <c r="W98" s="2"/>
      <c r="X98" s="6">
        <f t="shared" si="50"/>
        <v>432.72</v>
      </c>
      <c r="Y98" s="2"/>
      <c r="Z98" s="7">
        <f t="shared" si="51"/>
        <v>0.32781818181818184</v>
      </c>
    </row>
    <row r="99" spans="1:26" s="24" customFormat="1" hidden="1" outlineLevel="2" x14ac:dyDescent="0.25">
      <c r="A99" s="26"/>
      <c r="B99" s="11" t="str">
        <f>CONCATENATE("          ", "6247", " - ", "STORE SUPPLIES")</f>
        <v xml:space="preserve">          6247 - STORE SUPPLIES</v>
      </c>
      <c r="C99" s="11"/>
      <c r="D99" s="6">
        <v>1522</v>
      </c>
      <c r="E99" s="2"/>
      <c r="F99" s="7">
        <f t="shared" si="44"/>
        <v>2.3530535817510644E-2</v>
      </c>
      <c r="G99" s="2"/>
      <c r="H99" s="6">
        <v>200</v>
      </c>
      <c r="I99" s="2"/>
      <c r="J99" s="7">
        <f t="shared" si="45"/>
        <v>6.5597858885885966E-4</v>
      </c>
      <c r="K99" s="2"/>
      <c r="L99" s="6">
        <f t="shared" si="46"/>
        <v>1322</v>
      </c>
      <c r="M99" s="2"/>
      <c r="N99" s="7">
        <f t="shared" si="47"/>
        <v>6.61</v>
      </c>
      <c r="O99" s="11"/>
      <c r="P99" s="6">
        <v>1522</v>
      </c>
      <c r="Q99" s="2"/>
      <c r="R99" s="7">
        <f t="shared" si="48"/>
        <v>5.7711709995274957E-4</v>
      </c>
      <c r="S99" s="2"/>
      <c r="T99" s="6">
        <v>2400</v>
      </c>
      <c r="U99" s="2"/>
      <c r="V99" s="7">
        <f t="shared" si="49"/>
        <v>9.5428535756475919E-4</v>
      </c>
      <c r="W99" s="2"/>
      <c r="X99" s="6">
        <f t="shared" si="50"/>
        <v>-878</v>
      </c>
      <c r="Y99" s="2"/>
      <c r="Z99" s="7">
        <f t="shared" si="51"/>
        <v>-0.36583333333333334</v>
      </c>
    </row>
    <row r="100" spans="1:26" s="27" customFormat="1" outlineLevel="1" collapsed="1" x14ac:dyDescent="0.25">
      <c r="A100" s="25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SUM(OSRRefD22_12x_0)</f>
        <v>415.7</v>
      </c>
      <c r="E100" s="1"/>
      <c r="F100" s="5">
        <f t="shared" ref="F100:F103" si="52">IF(D$12=0,0,D100/D$12)</f>
        <v>6.4268355711821117E-3</v>
      </c>
      <c r="G100" s="1"/>
      <c r="H100" s="1">
        <f>SUM(OSRRefH22_12x_0)</f>
        <v>250</v>
      </c>
      <c r="I100" s="1"/>
      <c r="J100" s="5">
        <f t="shared" ref="J100:J103" si="53">IF(H$12=0,0,H100/H$12)</f>
        <v>8.1997323607357453E-4</v>
      </c>
      <c r="K100" s="1"/>
      <c r="L100" s="1">
        <f t="shared" ref="L100:L103" si="54">+D100-H100</f>
        <v>165.7</v>
      </c>
      <c r="M100" s="1"/>
      <c r="N100" s="5">
        <f t="shared" ref="N100:N103" si="55">IF(H100=0,0,L100/H100)</f>
        <v>0.66279999999999994</v>
      </c>
      <c r="O100" s="13"/>
      <c r="P100" s="1">
        <f>SUM(OSRRefP22_12x_0)</f>
        <v>3676.45</v>
      </c>
      <c r="Q100" s="1"/>
      <c r="R100" s="5">
        <f t="shared" ref="R100:R103" si="56">IF(P$12=0,0,P100/P$12)</f>
        <v>1.3940487267551157E-3</v>
      </c>
      <c r="S100" s="1"/>
      <c r="T100" s="1">
        <f>SUM(OSRRefT22_12x_0)</f>
        <v>3010</v>
      </c>
      <c r="U100" s="1"/>
      <c r="V100" s="5">
        <f t="shared" ref="V100:V103" si="57">IF(T$12=0,0,T100/T$12)</f>
        <v>1.1968328859458021E-3</v>
      </c>
      <c r="W100" s="1"/>
      <c r="X100" s="1">
        <f t="shared" ref="X100:X103" si="58">+P100-T100</f>
        <v>666.44999999999982</v>
      </c>
      <c r="Y100" s="1"/>
      <c r="Z100" s="5">
        <f t="shared" ref="Z100:Z103" si="59">IF(T100=0,0,X100/T100)</f>
        <v>0.2214119601328903</v>
      </c>
    </row>
    <row r="101" spans="1:26" s="24" customFormat="1" hidden="1" outlineLevel="2" x14ac:dyDescent="0.25">
      <c r="A101" s="26"/>
      <c r="B101" s="11" t="str">
        <f>CONCATENATE("          ", "6309", " - ", "TELEPHONE")</f>
        <v xml:space="preserve">          6309 - TELEPHONE</v>
      </c>
      <c r="C101" s="11"/>
      <c r="D101" s="6">
        <v>415.7</v>
      </c>
      <c r="E101" s="2"/>
      <c r="F101" s="7">
        <f t="shared" si="52"/>
        <v>6.4268355711821117E-3</v>
      </c>
      <c r="G101" s="2"/>
      <c r="H101" s="6">
        <v>250</v>
      </c>
      <c r="I101" s="2"/>
      <c r="J101" s="7">
        <f t="shared" si="53"/>
        <v>8.1997323607357453E-4</v>
      </c>
      <c r="K101" s="2"/>
      <c r="L101" s="6">
        <f t="shared" si="54"/>
        <v>165.7</v>
      </c>
      <c r="M101" s="2"/>
      <c r="N101" s="7">
        <f t="shared" si="55"/>
        <v>0.66279999999999994</v>
      </c>
      <c r="O101" s="11"/>
      <c r="P101" s="6">
        <v>3676.45</v>
      </c>
      <c r="Q101" s="2"/>
      <c r="R101" s="7">
        <f t="shared" si="56"/>
        <v>1.3940487267551157E-3</v>
      </c>
      <c r="S101" s="2"/>
      <c r="T101" s="6">
        <v>3010</v>
      </c>
      <c r="U101" s="2"/>
      <c r="V101" s="7">
        <f t="shared" si="57"/>
        <v>1.1968328859458021E-3</v>
      </c>
      <c r="W101" s="2"/>
      <c r="X101" s="6">
        <f t="shared" si="58"/>
        <v>666.44999999999982</v>
      </c>
      <c r="Y101" s="2"/>
      <c r="Z101" s="7">
        <f t="shared" si="59"/>
        <v>0.2214119601328903</v>
      </c>
    </row>
    <row r="102" spans="1:26" s="27" customFormat="1" outlineLevel="1" collapsed="1" x14ac:dyDescent="0.25">
      <c r="A102" s="25"/>
      <c r="B102" s="13" t="str">
        <f>CONCATENATE("     ","Training                                          ")</f>
        <v xml:space="preserve">     Training                                          </v>
      </c>
      <c r="C102" s="13"/>
      <c r="D102" s="1">
        <f>SUM(OSRRefD22_13x_0)</f>
        <v>0</v>
      </c>
      <c r="E102" s="1"/>
      <c r="F102" s="5">
        <f t="shared" si="52"/>
        <v>0</v>
      </c>
      <c r="G102" s="1"/>
      <c r="H102" s="1">
        <f>SUM(OSRRefH22_13x_0)</f>
        <v>0</v>
      </c>
      <c r="I102" s="1"/>
      <c r="J102" s="5">
        <f t="shared" si="53"/>
        <v>0</v>
      </c>
      <c r="K102" s="1"/>
      <c r="L102" s="1">
        <f t="shared" si="54"/>
        <v>0</v>
      </c>
      <c r="M102" s="1"/>
      <c r="N102" s="5">
        <f t="shared" si="55"/>
        <v>0</v>
      </c>
      <c r="O102" s="13"/>
      <c r="P102" s="1">
        <f>SUM(OSRRefP22_13x_0)</f>
        <v>100</v>
      </c>
      <c r="Q102" s="1"/>
      <c r="R102" s="5">
        <f t="shared" si="56"/>
        <v>3.7918337710430325E-5</v>
      </c>
      <c r="S102" s="1"/>
      <c r="T102" s="1">
        <f>SUM(OSRRefT22_13x_0)</f>
        <v>2500</v>
      </c>
      <c r="U102" s="1"/>
      <c r="V102" s="5">
        <f t="shared" si="57"/>
        <v>9.9404724746329082E-4</v>
      </c>
      <c r="W102" s="1"/>
      <c r="X102" s="1">
        <f t="shared" si="58"/>
        <v>-2400</v>
      </c>
      <c r="Y102" s="1"/>
      <c r="Z102" s="5">
        <f t="shared" si="59"/>
        <v>-0.96</v>
      </c>
    </row>
    <row r="103" spans="1:26" s="24" customFormat="1" hidden="1" outlineLevel="2" x14ac:dyDescent="0.25">
      <c r="A103" s="26"/>
      <c r="B103" s="11" t="str">
        <f>CONCATENATE("          ", "6376", " - ", "TRAINING")</f>
        <v xml:space="preserve">          6376 - TRAINING</v>
      </c>
      <c r="C103" s="11"/>
      <c r="D103" s="6"/>
      <c r="E103" s="2"/>
      <c r="F103" s="7">
        <f t="shared" si="52"/>
        <v>0</v>
      </c>
      <c r="G103" s="2"/>
      <c r="H103" s="6"/>
      <c r="I103" s="2"/>
      <c r="J103" s="7">
        <f t="shared" si="53"/>
        <v>0</v>
      </c>
      <c r="K103" s="2"/>
      <c r="L103" s="6">
        <f t="shared" si="54"/>
        <v>0</v>
      </c>
      <c r="M103" s="2"/>
      <c r="N103" s="7">
        <f t="shared" si="55"/>
        <v>0</v>
      </c>
      <c r="O103" s="11"/>
      <c r="P103" s="6">
        <v>100</v>
      </c>
      <c r="Q103" s="2"/>
      <c r="R103" s="7">
        <f t="shared" si="56"/>
        <v>3.7918337710430325E-5</v>
      </c>
      <c r="S103" s="2"/>
      <c r="T103" s="6">
        <v>2500</v>
      </c>
      <c r="U103" s="2"/>
      <c r="V103" s="7">
        <f t="shared" si="57"/>
        <v>9.9404724746329082E-4</v>
      </c>
      <c r="W103" s="2"/>
      <c r="X103" s="6">
        <f t="shared" si="58"/>
        <v>-2400</v>
      </c>
      <c r="Y103" s="2"/>
      <c r="Z103" s="7">
        <f t="shared" si="59"/>
        <v>-0.96</v>
      </c>
    </row>
    <row r="104" spans="1:26" s="61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9" t="s">
        <v>293</v>
      </c>
      <c r="C105" s="10"/>
      <c r="D105" s="4">
        <f>SUM(OSRRefD25x_0)</f>
        <v>-2.1800000000000068</v>
      </c>
      <c r="E105" s="4"/>
      <c r="F105" s="12">
        <f t="shared" ref="F105:F107" si="60">IF(D$12=0,0,D105/D$12)</f>
        <v>-3.3703395586184868E-5</v>
      </c>
      <c r="G105" s="4"/>
      <c r="H105" s="4">
        <f>SUM(OSRRefH25x_0)</f>
        <v>2424</v>
      </c>
      <c r="I105" s="4"/>
      <c r="J105" s="12">
        <f t="shared" ref="J105:J107" si="61">IF(H$12=0,0,H105/H$12)</f>
        <v>7.9504604969693783E-3</v>
      </c>
      <c r="K105" s="4"/>
      <c r="L105" s="4">
        <f t="shared" ref="L105:L107" si="62">+D105-H105</f>
        <v>-2426.1799999999998</v>
      </c>
      <c r="M105" s="4"/>
      <c r="N105" s="12">
        <f t="shared" ref="N105:N107" si="63">IF(H105=0,0,L105/H105)</f>
        <v>-1.0008993399339934</v>
      </c>
      <c r="O105" s="10"/>
      <c r="P105" s="4">
        <f>SUM(OSRRefP25x_0)</f>
        <v>4030.6</v>
      </c>
      <c r="Q105" s="4"/>
      <c r="R105" s="12">
        <f t="shared" ref="R105:R107" si="64">IF(P$12=0,0,P105/P$12)</f>
        <v>1.5283365197566047E-3</v>
      </c>
      <c r="S105" s="4"/>
      <c r="T105" s="4">
        <f>SUM(OSRRefT25x_0)</f>
        <v>20000</v>
      </c>
      <c r="U105" s="4"/>
      <c r="V105" s="12">
        <f t="shared" ref="V105:V107" si="65">IF(T$12=0,0,T105/T$12)</f>
        <v>7.9523779797063265E-3</v>
      </c>
      <c r="W105" s="4"/>
      <c r="X105" s="4">
        <f t="shared" ref="X105:X107" si="66">+P105-T105</f>
        <v>-15969.4</v>
      </c>
      <c r="Y105" s="4"/>
      <c r="Z105" s="12">
        <f t="shared" ref="Z105:Z107" si="67">IF(T105=0,0,X105/T105)</f>
        <v>-0.79847000000000001</v>
      </c>
    </row>
    <row r="106" spans="1:26" s="24" customFormat="1" hidden="1" outlineLevel="1" x14ac:dyDescent="0.25">
      <c r="A106" s="44"/>
      <c r="B106" s="11" t="str">
        <f>CONCATENATE("          ", "4187", " - ", "NON-TAXABLE SALES-COMPUTER REP")</f>
        <v xml:space="preserve">          4187 - NON-TAXABLE SALES-COMPUTER REP</v>
      </c>
      <c r="C106" s="11"/>
      <c r="D106" s="2">
        <f>--189.31</f>
        <v>189.31</v>
      </c>
      <c r="E106" s="2"/>
      <c r="F106" s="19">
        <f t="shared" si="60"/>
        <v>2.9267843203764389E-3</v>
      </c>
      <c r="G106" s="2"/>
      <c r="H106" s="2"/>
      <c r="I106" s="2"/>
      <c r="J106" s="19">
        <f t="shared" si="61"/>
        <v>0</v>
      </c>
      <c r="K106" s="2"/>
      <c r="L106" s="2">
        <f t="shared" si="62"/>
        <v>189.31</v>
      </c>
      <c r="M106" s="2"/>
      <c r="N106" s="19">
        <f t="shared" si="63"/>
        <v>0</v>
      </c>
      <c r="O106" s="11"/>
      <c r="P106" s="2">
        <f>--3769.75</f>
        <v>3769.75</v>
      </c>
      <c r="Q106" s="2"/>
      <c r="R106" s="19">
        <f t="shared" si="64"/>
        <v>1.4294265358389471E-3</v>
      </c>
      <c r="S106" s="2"/>
      <c r="T106" s="2"/>
      <c r="U106" s="2"/>
      <c r="V106" s="19">
        <f t="shared" si="65"/>
        <v>0</v>
      </c>
      <c r="W106" s="2"/>
      <c r="X106" s="2">
        <f t="shared" si="66"/>
        <v>3769.75</v>
      </c>
      <c r="Y106" s="2"/>
      <c r="Z106" s="19">
        <f t="shared" si="67"/>
        <v>0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-191.49</f>
        <v>-191.49</v>
      </c>
      <c r="E107" s="2"/>
      <c r="F107" s="19">
        <f t="shared" si="60"/>
        <v>-2.9604877159626238E-3</v>
      </c>
      <c r="G107" s="2"/>
      <c r="H107" s="2">
        <v>2424</v>
      </c>
      <c r="I107" s="2"/>
      <c r="J107" s="19">
        <f t="shared" si="61"/>
        <v>7.9504604969693783E-3</v>
      </c>
      <c r="K107" s="2"/>
      <c r="L107" s="2">
        <f t="shared" si="62"/>
        <v>-2615.4899999999998</v>
      </c>
      <c r="M107" s="2"/>
      <c r="N107" s="19">
        <f t="shared" si="63"/>
        <v>-1.0789975247524752</v>
      </c>
      <c r="O107" s="11"/>
      <c r="P107" s="2">
        <f>--260.85</f>
        <v>260.85000000000002</v>
      </c>
      <c r="Q107" s="2"/>
      <c r="R107" s="19">
        <f t="shared" si="64"/>
        <v>9.8909983917657511E-5</v>
      </c>
      <c r="S107" s="2"/>
      <c r="T107" s="2">
        <v>20000</v>
      </c>
      <c r="U107" s="2"/>
      <c r="V107" s="19">
        <f t="shared" si="65"/>
        <v>7.9523779797063265E-3</v>
      </c>
      <c r="W107" s="2"/>
      <c r="X107" s="2">
        <f t="shared" si="66"/>
        <v>-19739.150000000001</v>
      </c>
      <c r="Y107" s="2"/>
      <c r="Z107" s="19">
        <f t="shared" si="67"/>
        <v>-0.98695750000000004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277</v>
      </c>
      <c r="C109" s="28"/>
      <c r="D109" s="20">
        <f>+D50-D52+D105</f>
        <v>40385.139999999992</v>
      </c>
      <c r="E109" s="14"/>
      <c r="F109" s="22">
        <f>IF(D$12=0,0,D109/D$12)</f>
        <v>0.62436529780892358</v>
      </c>
      <c r="G109" s="14"/>
      <c r="H109" s="20">
        <f>+H50-H52+H105</f>
        <v>32993.049012593845</v>
      </c>
      <c r="I109" s="14"/>
      <c r="J109" s="22">
        <f>IF(H$12=0,0,H109/H$12)</f>
        <v>0.10821366866716252</v>
      </c>
      <c r="K109" s="16"/>
      <c r="L109" s="20">
        <f>+D109-H109</f>
        <v>7392.0909874061472</v>
      </c>
      <c r="M109" s="16"/>
      <c r="N109" s="22">
        <f>IF(H109=0,0,L109/H109)</f>
        <v>0.22404995017539897</v>
      </c>
      <c r="O109" s="29"/>
      <c r="P109" s="20">
        <f>+P50-P52+P105</f>
        <v>175048.1599999996</v>
      </c>
      <c r="Q109" s="14"/>
      <c r="R109" s="22">
        <f>IF(P$12=0,0,P109/P$12)</f>
        <v>6.6375352464694254E-2</v>
      </c>
      <c r="S109" s="14"/>
      <c r="T109" s="20">
        <f>+T50-T52+T105</f>
        <v>211440.82399403999</v>
      </c>
      <c r="U109" s="14"/>
      <c r="V109" s="22">
        <f>IF(T$12=0,0,T109/T$12)</f>
        <v>8.4072867637058235E-2</v>
      </c>
      <c r="W109" s="16"/>
      <c r="X109" s="20">
        <f>+P109-T109</f>
        <v>-36392.663994040398</v>
      </c>
      <c r="Y109" s="16"/>
      <c r="Z109" s="22">
        <f>IF(T109=0,0,X109/T109)</f>
        <v>-0.1721174904003695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180243.05</v>
      </c>
      <c r="E111" s="4"/>
      <c r="F111" s="12">
        <f>IF(D$12=0,0,D111/D$12)</f>
        <v>2.7866067962433387</v>
      </c>
      <c r="G111" s="4"/>
      <c r="H111" s="4">
        <v>16960</v>
      </c>
      <c r="I111" s="4"/>
      <c r="J111" s="12">
        <f>IF(H$12=0,0,H111/H$12)</f>
        <v>5.5626984335231298E-2</v>
      </c>
      <c r="K111" s="4"/>
      <c r="L111" s="4">
        <f>+D111-H111</f>
        <v>163283.04999999999</v>
      </c>
      <c r="M111" s="4"/>
      <c r="N111" s="12">
        <f>IF(H111=0,0,L111/H111)</f>
        <v>9.6275383254716971</v>
      </c>
      <c r="O111" s="10"/>
      <c r="P111" s="4">
        <v>729975.69</v>
      </c>
      <c r="Q111" s="4"/>
      <c r="R111" s="12">
        <f>IF(P$12=0,0,P111/P$12)</f>
        <v>0.27679464733824394</v>
      </c>
      <c r="S111" s="4"/>
      <c r="T111" s="4">
        <v>424975</v>
      </c>
      <c r="U111" s="4"/>
      <c r="V111" s="12">
        <f>IF(T$12=0,0,T111/T$12)</f>
        <v>0.1689780915962848</v>
      </c>
      <c r="W111" s="4"/>
      <c r="X111" s="4">
        <f>+P111-T111</f>
        <v>305000.68999999994</v>
      </c>
      <c r="Y111" s="4"/>
      <c r="Z111" s="12">
        <f>IF(T111=0,0,X111/T111)</f>
        <v>0.71769089946467424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126</v>
      </c>
      <c r="C113" s="28"/>
      <c r="D113" s="34">
        <f>+D109-D111</f>
        <v>-139857.91</v>
      </c>
      <c r="E113" s="14"/>
      <c r="F113" s="35">
        <f>IF(D$12=0,0,D113/D$12)</f>
        <v>-2.1622414984344154</v>
      </c>
      <c r="G113" s="14"/>
      <c r="H113" s="34">
        <f>+H109-H111</f>
        <v>16033.049012593845</v>
      </c>
      <c r="I113" s="14"/>
      <c r="J113" s="35">
        <f>IF(H$12=0,0,H113/H$12)</f>
        <v>5.258668433193122E-2</v>
      </c>
      <c r="K113" s="16"/>
      <c r="L113" s="34">
        <f>D113-H113</f>
        <v>-155890.95901259384</v>
      </c>
      <c r="M113" s="16"/>
      <c r="N113" s="35">
        <f>IF(H113=0,0,L113/H113)</f>
        <v>-9.7231012572931448</v>
      </c>
      <c r="O113" s="29"/>
      <c r="P113" s="34">
        <f>+P109-P111</f>
        <v>-554927.53000000038</v>
      </c>
      <c r="Q113" s="14"/>
      <c r="R113" s="35">
        <f>IF(P$12=0,0,P113/P$12)</f>
        <v>-0.21041929487354971</v>
      </c>
      <c r="S113" s="14"/>
      <c r="T113" s="34">
        <f>+T109-T111</f>
        <v>-213534.17600596001</v>
      </c>
      <c r="U113" s="14"/>
      <c r="V113" s="35">
        <f>IF(T$12=0,0,T113/T$12)</f>
        <v>-8.4905223959226575E-2</v>
      </c>
      <c r="W113" s="16"/>
      <c r="X113" s="34">
        <f>P113-T113</f>
        <v>-341393.3539940404</v>
      </c>
      <c r="Y113" s="16"/>
      <c r="Z113" s="35">
        <f>IF(T113=0,0,X113/T113)</f>
        <v>1.5987761789687085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294</v>
      </c>
      <c r="C116" s="28"/>
      <c r="D116" s="33">
        <f>SUM(D113:D115)</f>
        <v>-139857.91</v>
      </c>
      <c r="E116" s="14"/>
      <c r="F116" s="31">
        <f>IF(D$12=0,0,D116/D$12)</f>
        <v>-2.1622414984344154</v>
      </c>
      <c r="G116" s="14"/>
      <c r="H116" s="33">
        <f>SUM(H113:H115)</f>
        <v>16033.049012593845</v>
      </c>
      <c r="I116" s="14"/>
      <c r="J116" s="31">
        <f>IF(H$12=0,0,H116/H$12)</f>
        <v>5.258668433193122E-2</v>
      </c>
      <c r="K116" s="16"/>
      <c r="L116" s="33">
        <f>+D116-H116</f>
        <v>-155890.95901259384</v>
      </c>
      <c r="M116" s="16"/>
      <c r="N116" s="31">
        <f>IF(H116=0,0,L116/H116)</f>
        <v>-9.7231012572931448</v>
      </c>
      <c r="O116" s="29"/>
      <c r="P116" s="33">
        <f>SUM(P113:P115)</f>
        <v>-554927.53000000038</v>
      </c>
      <c r="Q116" s="14"/>
      <c r="R116" s="31">
        <f>IF(P$12=0,0,P116/P$12)</f>
        <v>-0.21041929487354971</v>
      </c>
      <c r="S116" s="14"/>
      <c r="T116" s="33">
        <f>SUM(T113:T115)</f>
        <v>-213534.17600596001</v>
      </c>
      <c r="U116" s="14"/>
      <c r="V116" s="31">
        <f>IF(T$12=0,0,T116/T$12)</f>
        <v>-8.4905223959226575E-2</v>
      </c>
      <c r="W116" s="16"/>
      <c r="X116" s="33">
        <f>+P116-T116</f>
        <v>-341393.3539940404</v>
      </c>
      <c r="Y116" s="16"/>
      <c r="Z116" s="31">
        <f>IF(T116=0,0,X116/T116)</f>
        <v>1.5987761789687085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6">
        <v>44454.686096759258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5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63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64681.91</v>
      </c>
      <c r="E12" s="4"/>
      <c r="F12" s="12"/>
      <c r="G12" s="4"/>
      <c r="H12" s="4">
        <f>SUM(OSRRefH13x_0)</f>
        <v>304888</v>
      </c>
      <c r="I12" s="4"/>
      <c r="J12" s="12"/>
      <c r="K12" s="4"/>
      <c r="L12" s="4">
        <f t="shared" ref="L12:L31" si="0">+D12-H12</f>
        <v>-240206.09</v>
      </c>
      <c r="M12" s="4"/>
      <c r="N12" s="12">
        <f t="shared" ref="N12:N31" si="1">IF(H12=0,0,L12/H12)</f>
        <v>-0.78785025976752121</v>
      </c>
      <c r="O12" s="10"/>
      <c r="P12" s="4">
        <f>SUM(OSRRefP13x_0)</f>
        <v>2637246.41</v>
      </c>
      <c r="Q12" s="4"/>
      <c r="R12" s="12"/>
      <c r="S12" s="4"/>
      <c r="T12" s="4">
        <f>SUM(OSRRefT13x_0)</f>
        <v>2514971</v>
      </c>
      <c r="U12" s="4"/>
      <c r="V12" s="12"/>
      <c r="W12" s="4"/>
      <c r="X12" s="4">
        <f t="shared" ref="X12:X31" si="2">+P12-T12</f>
        <v>122275.41000000015</v>
      </c>
      <c r="Y12" s="4"/>
      <c r="Z12" s="12">
        <f t="shared" ref="Z12:Z31" si="3">IF(T12=0,0,X12/T12)</f>
        <v>4.8619013897178195E-2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-113.77</f>
        <v>-113.77</v>
      </c>
      <c r="E13" s="2"/>
      <c r="F13" s="19"/>
      <c r="G13" s="2"/>
      <c r="H13" s="2">
        <v>268301</v>
      </c>
      <c r="I13" s="2"/>
      <c r="J13" s="19"/>
      <c r="K13" s="2"/>
      <c r="L13" s="2">
        <f t="shared" si="0"/>
        <v>-268414.77</v>
      </c>
      <c r="M13" s="2"/>
      <c r="N13" s="19">
        <f t="shared" si="1"/>
        <v>-1.000424038672983</v>
      </c>
      <c r="O13" s="11"/>
      <c r="P13" s="2">
        <f>-3077.68</f>
        <v>-3077.68</v>
      </c>
      <c r="Q13" s="2"/>
      <c r="R13" s="19"/>
      <c r="S13" s="2"/>
      <c r="T13" s="2">
        <v>2303382</v>
      </c>
      <c r="U13" s="2"/>
      <c r="V13" s="19"/>
      <c r="W13" s="2"/>
      <c r="X13" s="2">
        <f t="shared" si="2"/>
        <v>-2306459.6800000002</v>
      </c>
      <c r="Y13" s="2"/>
      <c r="Z13" s="19">
        <f t="shared" si="3"/>
        <v>-1.0013361570073918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--1743.92</f>
        <v>1743.92</v>
      </c>
      <c r="E14" s="2"/>
      <c r="F14" s="19"/>
      <c r="G14" s="2"/>
      <c r="H14" s="2"/>
      <c r="I14" s="2"/>
      <c r="J14" s="19"/>
      <c r="K14" s="2"/>
      <c r="L14" s="2">
        <f t="shared" si="0"/>
        <v>1743.92</v>
      </c>
      <c r="M14" s="2"/>
      <c r="N14" s="19">
        <f t="shared" si="1"/>
        <v>0</v>
      </c>
      <c r="O14" s="11"/>
      <c r="P14" s="2">
        <f>--65697.9</f>
        <v>65697.899999999994</v>
      </c>
      <c r="Q14" s="2"/>
      <c r="R14" s="19"/>
      <c r="S14" s="2"/>
      <c r="T14" s="2"/>
      <c r="U14" s="2"/>
      <c r="V14" s="19"/>
      <c r="W14" s="2"/>
      <c r="X14" s="2">
        <f t="shared" si="2"/>
        <v>65697.899999999994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--78232.49</f>
        <v>78232.490000000005</v>
      </c>
      <c r="E15" s="2"/>
      <c r="F15" s="19"/>
      <c r="G15" s="2"/>
      <c r="H15" s="2"/>
      <c r="I15" s="2"/>
      <c r="J15" s="19"/>
      <c r="K15" s="2"/>
      <c r="L15" s="2">
        <f t="shared" si="0"/>
        <v>78232.490000000005</v>
      </c>
      <c r="M15" s="2"/>
      <c r="N15" s="19">
        <f t="shared" si="1"/>
        <v>0</v>
      </c>
      <c r="O15" s="11"/>
      <c r="P15" s="2">
        <f>--2207891.11</f>
        <v>2207891.11</v>
      </c>
      <c r="Q15" s="2"/>
      <c r="R15" s="19"/>
      <c r="S15" s="2"/>
      <c r="T15" s="2"/>
      <c r="U15" s="2"/>
      <c r="V15" s="19"/>
      <c r="W15" s="2"/>
      <c r="X15" s="2">
        <f t="shared" si="2"/>
        <v>2207891.11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--3971.25</f>
        <v>3971.25</v>
      </c>
      <c r="E16" s="2"/>
      <c r="F16" s="19"/>
      <c r="G16" s="2"/>
      <c r="H16" s="2"/>
      <c r="I16" s="2"/>
      <c r="J16" s="19"/>
      <c r="K16" s="2"/>
      <c r="L16" s="2">
        <f t="shared" si="0"/>
        <v>3971.25</v>
      </c>
      <c r="M16" s="2"/>
      <c r="N16" s="19">
        <f t="shared" si="1"/>
        <v>0</v>
      </c>
      <c r="O16" s="11"/>
      <c r="P16" s="2">
        <f>--141108.24</f>
        <v>141108.24</v>
      </c>
      <c r="Q16" s="2"/>
      <c r="R16" s="19"/>
      <c r="S16" s="2"/>
      <c r="T16" s="2"/>
      <c r="U16" s="2"/>
      <c r="V16" s="19"/>
      <c r="W16" s="2"/>
      <c r="X16" s="2">
        <f t="shared" si="2"/>
        <v>141108.24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--850.72</f>
        <v>850.72</v>
      </c>
      <c r="E18" s="2"/>
      <c r="F18" s="19"/>
      <c r="G18" s="2"/>
      <c r="H18" s="2"/>
      <c r="I18" s="2"/>
      <c r="J18" s="19"/>
      <c r="K18" s="2"/>
      <c r="L18" s="2">
        <f t="shared" si="0"/>
        <v>850.72</v>
      </c>
      <c r="M18" s="2"/>
      <c r="N18" s="19">
        <f t="shared" si="1"/>
        <v>0</v>
      </c>
      <c r="O18" s="11"/>
      <c r="P18" s="2">
        <f>--67783.14</f>
        <v>67783.14</v>
      </c>
      <c r="Q18" s="2"/>
      <c r="R18" s="19"/>
      <c r="S18" s="2"/>
      <c r="T18" s="2"/>
      <c r="U18" s="2"/>
      <c r="V18" s="19"/>
      <c r="W18" s="2"/>
      <c r="X18" s="2">
        <f t="shared" si="2"/>
        <v>67783.14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36587</v>
      </c>
      <c r="I19" s="2"/>
      <c r="J19" s="19"/>
      <c r="K19" s="2"/>
      <c r="L19" s="2">
        <f t="shared" si="0"/>
        <v>-36587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211589</v>
      </c>
      <c r="U19" s="2"/>
      <c r="V19" s="19"/>
      <c r="W19" s="2"/>
      <c r="X19" s="2">
        <f t="shared" si="2"/>
        <v>-211589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--33.97</f>
        <v>33.97</v>
      </c>
      <c r="E20" s="2"/>
      <c r="F20" s="19"/>
      <c r="G20" s="2"/>
      <c r="H20" s="2"/>
      <c r="I20" s="2"/>
      <c r="J20" s="19"/>
      <c r="K20" s="2"/>
      <c r="L20" s="2">
        <f t="shared" si="0"/>
        <v>33.97</v>
      </c>
      <c r="M20" s="2"/>
      <c r="N20" s="19">
        <f t="shared" si="1"/>
        <v>0</v>
      </c>
      <c r="O20" s="11"/>
      <c r="P20" s="2">
        <f>--14322.55</f>
        <v>14322.55</v>
      </c>
      <c r="Q20" s="2"/>
      <c r="R20" s="19"/>
      <c r="S20" s="2"/>
      <c r="T20" s="2"/>
      <c r="U20" s="2"/>
      <c r="V20" s="19"/>
      <c r="W20" s="2"/>
      <c r="X20" s="2">
        <f t="shared" si="2"/>
        <v>14322.55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--19892.86</f>
        <v>19892.86</v>
      </c>
      <c r="E21" s="2"/>
      <c r="F21" s="19"/>
      <c r="G21" s="2"/>
      <c r="H21" s="2"/>
      <c r="I21" s="2"/>
      <c r="J21" s="19"/>
      <c r="K21" s="2"/>
      <c r="L21" s="2">
        <f t="shared" si="0"/>
        <v>19892.86</v>
      </c>
      <c r="M21" s="2"/>
      <c r="N21" s="19">
        <f t="shared" si="1"/>
        <v>0</v>
      </c>
      <c r="O21" s="11"/>
      <c r="P21" s="2">
        <f>--367422.08</f>
        <v>367422.08</v>
      </c>
      <c r="Q21" s="2"/>
      <c r="R21" s="19"/>
      <c r="S21" s="2"/>
      <c r="T21" s="2"/>
      <c r="U21" s="2"/>
      <c r="V21" s="19"/>
      <c r="W21" s="2"/>
      <c r="X21" s="2">
        <f t="shared" si="2"/>
        <v>367422.08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--1441.27</f>
        <v>1441.27</v>
      </c>
      <c r="E22" s="2"/>
      <c r="F22" s="19"/>
      <c r="G22" s="2"/>
      <c r="H22" s="2"/>
      <c r="I22" s="2"/>
      <c r="J22" s="19"/>
      <c r="K22" s="2"/>
      <c r="L22" s="2">
        <f t="shared" si="0"/>
        <v>1441.27</v>
      </c>
      <c r="M22" s="2"/>
      <c r="N22" s="19">
        <f t="shared" si="1"/>
        <v>0</v>
      </c>
      <c r="O22" s="11"/>
      <c r="P22" s="2">
        <f>--23887.02</f>
        <v>23887.02</v>
      </c>
      <c r="Q22" s="2"/>
      <c r="R22" s="19"/>
      <c r="S22" s="2"/>
      <c r="T22" s="2"/>
      <c r="U22" s="2"/>
      <c r="V22" s="19"/>
      <c r="W22" s="2"/>
      <c r="X22" s="2">
        <f t="shared" si="2"/>
        <v>23887.02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--3849.74</f>
        <v>3849.74</v>
      </c>
      <c r="E23" s="2"/>
      <c r="F23" s="19"/>
      <c r="G23" s="2"/>
      <c r="H23" s="2"/>
      <c r="I23" s="2"/>
      <c r="J23" s="19"/>
      <c r="K23" s="2"/>
      <c r="L23" s="2">
        <f t="shared" si="0"/>
        <v>3849.74</v>
      </c>
      <c r="M23" s="2"/>
      <c r="N23" s="19">
        <f t="shared" si="1"/>
        <v>0</v>
      </c>
      <c r="O23" s="11"/>
      <c r="P23" s="2">
        <f>--59807.35</f>
        <v>59807.35</v>
      </c>
      <c r="Q23" s="2"/>
      <c r="R23" s="19"/>
      <c r="S23" s="2"/>
      <c r="T23" s="2"/>
      <c r="U23" s="2"/>
      <c r="V23" s="19"/>
      <c r="W23" s="2"/>
      <c r="X23" s="2">
        <f t="shared" si="2"/>
        <v>59807.35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--317.9</f>
        <v>317.89999999999998</v>
      </c>
      <c r="E24" s="2"/>
      <c r="F24" s="19"/>
      <c r="G24" s="2"/>
      <c r="H24" s="2"/>
      <c r="I24" s="2"/>
      <c r="J24" s="19"/>
      <c r="K24" s="2"/>
      <c r="L24" s="2">
        <f t="shared" si="0"/>
        <v>317.89999999999998</v>
      </c>
      <c r="M24" s="2"/>
      <c r="N24" s="19">
        <f t="shared" si="1"/>
        <v>0</v>
      </c>
      <c r="O24" s="11"/>
      <c r="P24" s="2">
        <f>--3797.04</f>
        <v>3797.04</v>
      </c>
      <c r="Q24" s="2"/>
      <c r="R24" s="19"/>
      <c r="S24" s="2"/>
      <c r="T24" s="2"/>
      <c r="U24" s="2"/>
      <c r="V24" s="19"/>
      <c r="W24" s="2"/>
      <c r="X24" s="2">
        <f t="shared" si="2"/>
        <v>3797.04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-529.99</f>
        <v>-529.99</v>
      </c>
      <c r="E25" s="2"/>
      <c r="F25" s="19"/>
      <c r="G25" s="2"/>
      <c r="H25" s="2"/>
      <c r="I25" s="2"/>
      <c r="J25" s="19"/>
      <c r="K25" s="2"/>
      <c r="L25" s="2">
        <f t="shared" si="0"/>
        <v>-529.99</v>
      </c>
      <c r="M25" s="2"/>
      <c r="N25" s="19">
        <f t="shared" si="1"/>
        <v>0</v>
      </c>
      <c r="O25" s="11"/>
      <c r="P25" s="2">
        <f>-15372.12</f>
        <v>-15372.12</v>
      </c>
      <c r="Q25" s="2"/>
      <c r="R25" s="19"/>
      <c r="S25" s="2"/>
      <c r="T25" s="2"/>
      <c r="U25" s="2"/>
      <c r="V25" s="19"/>
      <c r="W25" s="2"/>
      <c r="X25" s="2">
        <f t="shared" si="2"/>
        <v>-15372.12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-44973</f>
        <v>-44973</v>
      </c>
      <c r="E26" s="2"/>
      <c r="F26" s="19"/>
      <c r="G26" s="2"/>
      <c r="H26" s="2"/>
      <c r="I26" s="2"/>
      <c r="J26" s="19"/>
      <c r="K26" s="2"/>
      <c r="L26" s="2">
        <f t="shared" si="0"/>
        <v>-44973</v>
      </c>
      <c r="M26" s="2"/>
      <c r="N26" s="19">
        <f t="shared" si="1"/>
        <v>0</v>
      </c>
      <c r="O26" s="11"/>
      <c r="P26" s="2">
        <f>-285193.17</f>
        <v>-285193.17</v>
      </c>
      <c r="Q26" s="2"/>
      <c r="R26" s="19"/>
      <c r="S26" s="2"/>
      <c r="T26" s="2"/>
      <c r="U26" s="2"/>
      <c r="V26" s="19"/>
      <c r="W26" s="2"/>
      <c r="X26" s="2">
        <f t="shared" si="2"/>
        <v>-285193.17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-23.47</f>
        <v>-23.47</v>
      </c>
      <c r="E27" s="2"/>
      <c r="F27" s="19"/>
      <c r="G27" s="2"/>
      <c r="H27" s="2"/>
      <c r="I27" s="2"/>
      <c r="J27" s="19"/>
      <c r="K27" s="2"/>
      <c r="L27" s="2">
        <f t="shared" si="0"/>
        <v>-23.47</v>
      </c>
      <c r="M27" s="2"/>
      <c r="N27" s="19">
        <f t="shared" si="1"/>
        <v>0</v>
      </c>
      <c r="O27" s="11"/>
      <c r="P27" s="2">
        <f>-4152.64</f>
        <v>-4152.6400000000003</v>
      </c>
      <c r="Q27" s="2"/>
      <c r="R27" s="19"/>
      <c r="S27" s="2"/>
      <c r="T27" s="2"/>
      <c r="U27" s="2"/>
      <c r="V27" s="19"/>
      <c r="W27" s="2"/>
      <c r="X27" s="2">
        <f t="shared" si="2"/>
        <v>-4152.6400000000003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-9.99</f>
        <v>-9.99</v>
      </c>
      <c r="E29" s="2"/>
      <c r="F29" s="19"/>
      <c r="G29" s="2"/>
      <c r="H29" s="2"/>
      <c r="I29" s="2"/>
      <c r="J29" s="19"/>
      <c r="K29" s="2"/>
      <c r="L29" s="2">
        <f t="shared" si="0"/>
        <v>-9.99</v>
      </c>
      <c r="M29" s="2"/>
      <c r="N29" s="19">
        <f t="shared" si="1"/>
        <v>0</v>
      </c>
      <c r="O29" s="11"/>
      <c r="P29" s="2">
        <f>-4812.28</f>
        <v>-4812.28</v>
      </c>
      <c r="Q29" s="2"/>
      <c r="R29" s="19"/>
      <c r="S29" s="2"/>
      <c r="T29" s="2"/>
      <c r="U29" s="2"/>
      <c r="V29" s="19"/>
      <c r="W29" s="2"/>
      <c r="X29" s="2">
        <f t="shared" si="2"/>
        <v>-4812.28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-1.99</f>
        <v>-1.99</v>
      </c>
      <c r="E30" s="2"/>
      <c r="F30" s="19"/>
      <c r="G30" s="2"/>
      <c r="H30" s="2"/>
      <c r="I30" s="2"/>
      <c r="J30" s="19"/>
      <c r="K30" s="2"/>
      <c r="L30" s="2">
        <f t="shared" si="0"/>
        <v>-1.99</v>
      </c>
      <c r="M30" s="2"/>
      <c r="N30" s="19">
        <f t="shared" si="1"/>
        <v>0</v>
      </c>
      <c r="O30" s="11"/>
      <c r="P30" s="2">
        <f>-5626.14</f>
        <v>-5626.14</v>
      </c>
      <c r="Q30" s="2"/>
      <c r="R30" s="19"/>
      <c r="S30" s="2"/>
      <c r="T30" s="2"/>
      <c r="U30" s="2"/>
      <c r="V30" s="19"/>
      <c r="W30" s="2"/>
      <c r="X30" s="2">
        <f t="shared" si="2"/>
        <v>-5626.14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25290.510000000009</v>
      </c>
      <c r="E33" s="4"/>
      <c r="F33" s="12">
        <f t="shared" ref="F33:F48" si="4">IF(D$12=0,0,D33/D$12)</f>
        <v>0.39099819408548708</v>
      </c>
      <c r="G33" s="4"/>
      <c r="H33" s="4">
        <f>SUM(OSRRefH16x_0)</f>
        <v>256112</v>
      </c>
      <c r="I33" s="4"/>
      <c r="J33" s="12">
        <f t="shared" ref="J33:J48" si="5">IF(H$12=0,0,H33/H$12)</f>
        <v>0.84001994174910133</v>
      </c>
      <c r="K33" s="4"/>
      <c r="L33" s="4">
        <f t="shared" ref="L33:L48" si="6">+D33-H33</f>
        <v>-230821.49</v>
      </c>
      <c r="M33" s="4"/>
      <c r="N33" s="12">
        <f t="shared" ref="N33:N48" si="7">IF(H33=0,0,L33/H33)</f>
        <v>-0.90125214749796956</v>
      </c>
      <c r="O33" s="10"/>
      <c r="P33" s="4">
        <f>SUM(OSRRefP16x_0)</f>
        <v>2315780.3500000006</v>
      </c>
      <c r="Q33" s="4"/>
      <c r="R33" s="12">
        <f t="shared" ref="R33:R48" si="8">IF(P$12=0,0,P33/P$12)</f>
        <v>0.87810541374478557</v>
      </c>
      <c r="S33" s="4"/>
      <c r="T33" s="4">
        <f>SUM(OSRRefT16x_0)</f>
        <v>2090377</v>
      </c>
      <c r="U33" s="4"/>
      <c r="V33" s="12">
        <f t="shared" ref="V33:V48" si="9">IF(T$12=0,0,T33/T$12)</f>
        <v>0.83117340120422856</v>
      </c>
      <c r="W33" s="4"/>
      <c r="X33" s="4">
        <f t="shared" ref="X33:X48" si="10">+P33-T33</f>
        <v>225403.35000000056</v>
      </c>
      <c r="Y33" s="4"/>
      <c r="Z33" s="12">
        <f t="shared" ref="Z33:Z48" si="11">IF(T33=0,0,X33/T33)</f>
        <v>0.1078290423210744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4"/>
        <v>0</v>
      </c>
      <c r="G34" s="2"/>
      <c r="H34" s="2">
        <v>256112</v>
      </c>
      <c r="I34" s="2"/>
      <c r="J34" s="19">
        <f t="shared" si="5"/>
        <v>0.84001994174910133</v>
      </c>
      <c r="K34" s="2"/>
      <c r="L34" s="2">
        <f t="shared" si="6"/>
        <v>-256112</v>
      </c>
      <c r="M34" s="2"/>
      <c r="N34" s="19">
        <f t="shared" si="7"/>
        <v>-1</v>
      </c>
      <c r="O34" s="11"/>
      <c r="P34" s="2">
        <v>0</v>
      </c>
      <c r="Q34" s="2"/>
      <c r="R34" s="19">
        <f t="shared" si="8"/>
        <v>0</v>
      </c>
      <c r="S34" s="2"/>
      <c r="T34" s="2">
        <v>2090377</v>
      </c>
      <c r="U34" s="2"/>
      <c r="V34" s="19">
        <f t="shared" si="9"/>
        <v>0.83117340120422856</v>
      </c>
      <c r="W34" s="2"/>
      <c r="X34" s="2">
        <f t="shared" si="10"/>
        <v>-2090377</v>
      </c>
      <c r="Y34" s="2"/>
      <c r="Z34" s="19">
        <f t="shared" si="11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-5028.84</v>
      </c>
      <c r="E35" s="2"/>
      <c r="F35" s="19">
        <f t="shared" si="4"/>
        <v>-7.7747240302582288E-2</v>
      </c>
      <c r="G35" s="2"/>
      <c r="H35" s="2"/>
      <c r="I35" s="2"/>
      <c r="J35" s="19">
        <f t="shared" si="5"/>
        <v>0</v>
      </c>
      <c r="K35" s="2"/>
      <c r="L35" s="2">
        <f t="shared" si="6"/>
        <v>-5028.84</v>
      </c>
      <c r="M35" s="2"/>
      <c r="N35" s="19">
        <f t="shared" si="7"/>
        <v>0</v>
      </c>
      <c r="O35" s="11"/>
      <c r="P35" s="2">
        <v>27390.62</v>
      </c>
      <c r="Q35" s="2"/>
      <c r="R35" s="19">
        <f t="shared" si="8"/>
        <v>1.038606779258067E-2</v>
      </c>
      <c r="S35" s="2"/>
      <c r="T35" s="2"/>
      <c r="U35" s="2"/>
      <c r="V35" s="19">
        <f t="shared" si="9"/>
        <v>0</v>
      </c>
      <c r="W35" s="2"/>
      <c r="X35" s="2">
        <f t="shared" si="10"/>
        <v>27390.62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152090.79</v>
      </c>
      <c r="E36" s="2"/>
      <c r="F36" s="19">
        <f t="shared" si="4"/>
        <v>2.3513651653143826</v>
      </c>
      <c r="G36" s="2"/>
      <c r="H36" s="2"/>
      <c r="I36" s="2"/>
      <c r="J36" s="19">
        <f t="shared" si="5"/>
        <v>0</v>
      </c>
      <c r="K36" s="2"/>
      <c r="L36" s="2">
        <f t="shared" si="6"/>
        <v>152090.79</v>
      </c>
      <c r="M36" s="2"/>
      <c r="N36" s="19">
        <f t="shared" si="7"/>
        <v>0</v>
      </c>
      <c r="O36" s="11"/>
      <c r="P36" s="2">
        <v>1954625.66</v>
      </c>
      <c r="Q36" s="2"/>
      <c r="R36" s="19">
        <f t="shared" si="8"/>
        <v>0.74116155873352763</v>
      </c>
      <c r="S36" s="2"/>
      <c r="T36" s="2"/>
      <c r="U36" s="2"/>
      <c r="V36" s="19">
        <f t="shared" si="9"/>
        <v>0</v>
      </c>
      <c r="W36" s="2"/>
      <c r="X36" s="2">
        <f t="shared" si="10"/>
        <v>1954625.66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24621.69</v>
      </c>
      <c r="E37" s="2"/>
      <c r="F37" s="19">
        <f t="shared" si="4"/>
        <v>0.38065805416073828</v>
      </c>
      <c r="G37" s="2"/>
      <c r="H37" s="2"/>
      <c r="I37" s="2"/>
      <c r="J37" s="19">
        <f t="shared" si="5"/>
        <v>0</v>
      </c>
      <c r="K37" s="2"/>
      <c r="L37" s="2">
        <f t="shared" si="6"/>
        <v>24621.69</v>
      </c>
      <c r="M37" s="2"/>
      <c r="N37" s="19">
        <f t="shared" si="7"/>
        <v>0</v>
      </c>
      <c r="O37" s="11"/>
      <c r="P37" s="2">
        <v>151651.63</v>
      </c>
      <c r="Q37" s="2"/>
      <c r="R37" s="19">
        <f t="shared" si="8"/>
        <v>5.7503777206772272E-2</v>
      </c>
      <c r="S37" s="2"/>
      <c r="T37" s="2"/>
      <c r="U37" s="2"/>
      <c r="V37" s="19">
        <f t="shared" si="9"/>
        <v>0</v>
      </c>
      <c r="W37" s="2"/>
      <c r="X37" s="2">
        <f t="shared" si="10"/>
        <v>151651.63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"5084", " - ", "PURCHASES @ COST-SOFTWARE LICE")</f>
        <v xml:space="preserve">          5084 - PURCHASES @ COST-SOFTWARE LICE</v>
      </c>
      <c r="C38" s="11"/>
      <c r="D38" s="2">
        <v>2421</v>
      </c>
      <c r="E38" s="2"/>
      <c r="F38" s="19">
        <f t="shared" si="4"/>
        <v>3.7429321428510687E-2</v>
      </c>
      <c r="G38" s="2"/>
      <c r="H38" s="2"/>
      <c r="I38" s="2"/>
      <c r="J38" s="19">
        <f t="shared" si="5"/>
        <v>0</v>
      </c>
      <c r="K38" s="2"/>
      <c r="L38" s="2">
        <f t="shared" si="6"/>
        <v>2421</v>
      </c>
      <c r="M38" s="2"/>
      <c r="N38" s="19">
        <f t="shared" si="7"/>
        <v>0</v>
      </c>
      <c r="O38" s="11"/>
      <c r="P38" s="2">
        <v>2421</v>
      </c>
      <c r="Q38" s="2"/>
      <c r="R38" s="19">
        <f t="shared" si="8"/>
        <v>9.1800295596951818E-4</v>
      </c>
      <c r="S38" s="2"/>
      <c r="T38" s="2"/>
      <c r="U38" s="2"/>
      <c r="V38" s="19">
        <f t="shared" si="9"/>
        <v>0</v>
      </c>
      <c r="W38" s="2"/>
      <c r="X38" s="2">
        <f t="shared" si="10"/>
        <v>2421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>
        <v>10694.79</v>
      </c>
      <c r="E39" s="2"/>
      <c r="F39" s="19">
        <f t="shared" si="4"/>
        <v>0.1653443752665931</v>
      </c>
      <c r="G39" s="2"/>
      <c r="H39" s="2"/>
      <c r="I39" s="2"/>
      <c r="J39" s="19">
        <f t="shared" si="5"/>
        <v>0</v>
      </c>
      <c r="K39" s="2"/>
      <c r="L39" s="2">
        <f t="shared" si="6"/>
        <v>10694.79</v>
      </c>
      <c r="M39" s="2"/>
      <c r="N39" s="19">
        <f t="shared" si="7"/>
        <v>0</v>
      </c>
      <c r="O39" s="11"/>
      <c r="P39" s="2">
        <v>56981.16</v>
      </c>
      <c r="Q39" s="2"/>
      <c r="R39" s="19">
        <f t="shared" si="8"/>
        <v>2.1606308680120642E-2</v>
      </c>
      <c r="S39" s="2"/>
      <c r="T39" s="2"/>
      <c r="U39" s="2"/>
      <c r="V39" s="19">
        <f t="shared" si="9"/>
        <v>0</v>
      </c>
      <c r="W39" s="2"/>
      <c r="X39" s="2">
        <f t="shared" si="10"/>
        <v>56981.16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>
        <v>697.28</v>
      </c>
      <c r="E40" s="2"/>
      <c r="F40" s="19">
        <f t="shared" si="4"/>
        <v>1.0780139300153627E-2</v>
      </c>
      <c r="G40" s="2"/>
      <c r="H40" s="2"/>
      <c r="I40" s="2"/>
      <c r="J40" s="19">
        <f t="shared" si="5"/>
        <v>0</v>
      </c>
      <c r="K40" s="2"/>
      <c r="L40" s="2">
        <f t="shared" si="6"/>
        <v>697.28</v>
      </c>
      <c r="M40" s="2"/>
      <c r="N40" s="19">
        <f t="shared" si="7"/>
        <v>0</v>
      </c>
      <c r="O40" s="11"/>
      <c r="P40" s="2">
        <v>24460.29</v>
      </c>
      <c r="Q40" s="2"/>
      <c r="R40" s="19">
        <f t="shared" si="8"/>
        <v>9.2749353671506187E-3</v>
      </c>
      <c r="S40" s="2"/>
      <c r="T40" s="2"/>
      <c r="U40" s="2"/>
      <c r="V40" s="19">
        <f t="shared" si="9"/>
        <v>0</v>
      </c>
      <c r="W40" s="2"/>
      <c r="X40" s="2">
        <f t="shared" si="10"/>
        <v>24460.29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-228321.2</v>
      </c>
      <c r="E41" s="2"/>
      <c r="F41" s="19">
        <f t="shared" si="4"/>
        <v>-3.5299081304185358</v>
      </c>
      <c r="G41" s="2"/>
      <c r="H41" s="2"/>
      <c r="I41" s="2"/>
      <c r="J41" s="19">
        <f t="shared" si="5"/>
        <v>0</v>
      </c>
      <c r="K41" s="2"/>
      <c r="L41" s="2">
        <f t="shared" si="6"/>
        <v>-228321.2</v>
      </c>
      <c r="M41" s="2"/>
      <c r="N41" s="19">
        <f t="shared" si="7"/>
        <v>0</v>
      </c>
      <c r="O41" s="11"/>
      <c r="P41" s="2">
        <v>-2256861</v>
      </c>
      <c r="Q41" s="2"/>
      <c r="R41" s="19">
        <f t="shared" si="8"/>
        <v>-0.85576417563499496</v>
      </c>
      <c r="S41" s="2"/>
      <c r="T41" s="2"/>
      <c r="U41" s="2"/>
      <c r="V41" s="19">
        <f t="shared" si="9"/>
        <v>0</v>
      </c>
      <c r="W41" s="2"/>
      <c r="X41" s="2">
        <f t="shared" si="10"/>
        <v>-2256861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68115</v>
      </c>
      <c r="E42" s="2"/>
      <c r="F42" s="19">
        <f t="shared" si="4"/>
        <v>1.0530765093362271</v>
      </c>
      <c r="G42" s="2"/>
      <c r="H42" s="2"/>
      <c r="I42" s="2"/>
      <c r="J42" s="19">
        <f t="shared" si="5"/>
        <v>0</v>
      </c>
      <c r="K42" s="2"/>
      <c r="L42" s="2">
        <f t="shared" si="6"/>
        <v>68115</v>
      </c>
      <c r="M42" s="2"/>
      <c r="N42" s="19">
        <f t="shared" si="7"/>
        <v>0</v>
      </c>
      <c r="O42" s="11"/>
      <c r="P42" s="2">
        <v>2354659</v>
      </c>
      <c r="Q42" s="2"/>
      <c r="R42" s="19">
        <f t="shared" si="8"/>
        <v>0.89284755154904161</v>
      </c>
      <c r="S42" s="2"/>
      <c r="T42" s="2"/>
      <c r="U42" s="2"/>
      <c r="V42" s="19">
        <f t="shared" si="9"/>
        <v>0</v>
      </c>
      <c r="W42" s="2"/>
      <c r="X42" s="2">
        <f t="shared" si="10"/>
        <v>2354659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"5581", " - ", "FREIGHT-IN-ELECTRONICS")</f>
        <v xml:space="preserve">          5581 - FREIGHT-IN-ELECTRONICS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31</v>
      </c>
      <c r="Q44" s="2"/>
      <c r="R44" s="19">
        <f t="shared" si="8"/>
        <v>1.17546846902334E-5</v>
      </c>
      <c r="S44" s="2"/>
      <c r="T44" s="2"/>
      <c r="U44" s="2"/>
      <c r="V44" s="19">
        <f t="shared" si="9"/>
        <v>0</v>
      </c>
      <c r="W44" s="2"/>
      <c r="X44" s="2">
        <f t="shared" si="10"/>
        <v>31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145</v>
      </c>
      <c r="Q45" s="2"/>
      <c r="R45" s="19">
        <f t="shared" si="8"/>
        <v>5.4981589680123972E-5</v>
      </c>
      <c r="S45" s="2"/>
      <c r="T45" s="2"/>
      <c r="U45" s="2"/>
      <c r="V45" s="19">
        <f t="shared" si="9"/>
        <v>0</v>
      </c>
      <c r="W45" s="2"/>
      <c r="X45" s="2">
        <f t="shared" si="10"/>
        <v>145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242.46</v>
      </c>
      <c r="Q46" s="2"/>
      <c r="R46" s="19">
        <f t="shared" si="8"/>
        <v>9.1936801612709366E-5</v>
      </c>
      <c r="S46" s="2"/>
      <c r="T46" s="2"/>
      <c r="U46" s="2"/>
      <c r="V46" s="19">
        <f t="shared" si="9"/>
        <v>0</v>
      </c>
      <c r="W46" s="2"/>
      <c r="X46" s="2">
        <f t="shared" si="10"/>
        <v>242.46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"5585", " - ", "FREIGHT-IN-SOFTWARE")</f>
        <v xml:space="preserve">          5585 - FREIGHT-IN-SOFTWARE</v>
      </c>
      <c r="C47" s="11"/>
      <c r="D47" s="2"/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9.41</v>
      </c>
      <c r="Q47" s="2"/>
      <c r="R47" s="19">
        <f t="shared" si="8"/>
        <v>3.5681155785514936E-6</v>
      </c>
      <c r="S47" s="2"/>
      <c r="T47" s="2"/>
      <c r="U47" s="2"/>
      <c r="V47" s="19">
        <f t="shared" si="9"/>
        <v>0</v>
      </c>
      <c r="W47" s="2"/>
      <c r="X47" s="2">
        <f t="shared" si="10"/>
        <v>9.41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24.12</v>
      </c>
      <c r="Q48" s="2"/>
      <c r="R48" s="19">
        <f t="shared" si="8"/>
        <v>9.1459030557557945E-6</v>
      </c>
      <c r="S48" s="2"/>
      <c r="T48" s="2"/>
      <c r="U48" s="2"/>
      <c r="V48" s="19">
        <f t="shared" si="9"/>
        <v>0</v>
      </c>
      <c r="W48" s="2"/>
      <c r="X48" s="2">
        <f t="shared" si="10"/>
        <v>24.12</v>
      </c>
      <c r="Y48" s="2"/>
      <c r="Z48" s="19">
        <f t="shared" si="11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108</v>
      </c>
      <c r="C50" s="28"/>
      <c r="D50" s="20">
        <f>D12-D33</f>
        <v>39391.399999999994</v>
      </c>
      <c r="E50" s="14"/>
      <c r="F50" s="22">
        <f>IF(D$12=0,0,D50/D$12)</f>
        <v>0.60900180591451292</v>
      </c>
      <c r="G50" s="14"/>
      <c r="H50" s="20">
        <f>H12-H33</f>
        <v>48776</v>
      </c>
      <c r="I50" s="14"/>
      <c r="J50" s="22">
        <f>IF(H$12=0,0,H50/H$12)</f>
        <v>0.1599800582508987</v>
      </c>
      <c r="K50" s="16"/>
      <c r="L50" s="20">
        <f>+D50-H50</f>
        <v>-9384.6000000000058</v>
      </c>
      <c r="M50" s="16"/>
      <c r="N50" s="22">
        <f>IF(H50=0,0,L50/H50)</f>
        <v>-0.19240200098409066</v>
      </c>
      <c r="O50" s="29"/>
      <c r="P50" s="20">
        <f>P12-P33</f>
        <v>321466.05999999959</v>
      </c>
      <c r="Q50" s="14"/>
      <c r="R50" s="22">
        <f>IF(P$12=0,0,P50/P$12)</f>
        <v>0.12189458625521442</v>
      </c>
      <c r="S50" s="14"/>
      <c r="T50" s="20">
        <f>T12-T33</f>
        <v>424594</v>
      </c>
      <c r="U50" s="14"/>
      <c r="V50" s="22">
        <f>IF(T$12=0,0,T50/T$12)</f>
        <v>0.16882659879577142</v>
      </c>
      <c r="W50" s="16"/>
      <c r="X50" s="20">
        <f>+P50-T50</f>
        <v>-103127.94000000041</v>
      </c>
      <c r="Y50" s="16"/>
      <c r="Z50" s="22">
        <f>IF(T50=0,0,X50/T50)</f>
        <v>-0.24288600404150884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295</v>
      </c>
      <c r="C52" s="10"/>
      <c r="D52" s="21">
        <f>SUM(OSRRefD22x_0)</f>
        <v>-995.91999999999894</v>
      </c>
      <c r="E52" s="21"/>
      <c r="F52" s="30">
        <f t="shared" ref="F52:F63" si="12">IF(D$12=0,0,D52/D$12)</f>
        <v>-1.5397195289996831E-2</v>
      </c>
      <c r="G52" s="21"/>
      <c r="H52" s="21">
        <f>SUM(OSRRefH22x_0)</f>
        <v>18206.950987406155</v>
      </c>
      <c r="I52" s="21"/>
      <c r="J52" s="30">
        <f t="shared" ref="J52:J63" si="13">IF(H$12=0,0,H52/H$12)</f>
        <v>5.9716850080705555E-2</v>
      </c>
      <c r="K52" s="4"/>
      <c r="L52" s="21">
        <f t="shared" ref="L52:L63" si="14">+D52-H52</f>
        <v>-19202.870987406153</v>
      </c>
      <c r="M52" s="4"/>
      <c r="N52" s="30">
        <f t="shared" ref="N52:N63" si="15">IF(H52=0,0,L52/H52)</f>
        <v>-1.0546999879710162</v>
      </c>
      <c r="O52" s="10"/>
      <c r="P52" s="21">
        <f>SUM(OSRRefP22x_0)</f>
        <v>150448.5</v>
      </c>
      <c r="Q52" s="21"/>
      <c r="R52" s="30">
        <f t="shared" ref="R52:R63" si="16">IF(P$12=0,0,P52/P$12)</f>
        <v>5.7047570310276768E-2</v>
      </c>
      <c r="S52" s="21"/>
      <c r="T52" s="21">
        <f>SUM(OSRRefT22x_0)</f>
        <v>233153.17600596001</v>
      </c>
      <c r="U52" s="21"/>
      <c r="V52" s="30">
        <f t="shared" ref="V52:V63" si="17">IF(T$12=0,0,T52/T$12)</f>
        <v>9.2706109138419493E-2</v>
      </c>
      <c r="W52" s="4"/>
      <c r="X52" s="21">
        <f t="shared" ref="X52:X63" si="18">+P52-T52</f>
        <v>-82704.676005960006</v>
      </c>
      <c r="Y52" s="4"/>
      <c r="Z52" s="30">
        <f t="shared" ref="Z52:Z63" si="19">IF(T52=0,0,X52/T52)</f>
        <v>-0.35472249369592912</v>
      </c>
    </row>
    <row r="53" spans="1:26" s="27" customFormat="1" outlineLevel="1" collapsed="1" x14ac:dyDescent="0.25">
      <c r="A53" s="25"/>
      <c r="B53" s="13" t="str">
        <f>CONCATENATE("     ","*Benefits                                         ")</f>
        <v xml:space="preserve">     *Benefits                                         </v>
      </c>
      <c r="C53" s="13"/>
      <c r="D53" s="1">
        <f>SUM(OSRRefD22_0x_0)</f>
        <v>3035.8100000000004</v>
      </c>
      <c r="E53" s="1"/>
      <c r="F53" s="5">
        <f t="shared" si="12"/>
        <v>4.6934451997475035E-2</v>
      </c>
      <c r="G53" s="1"/>
      <c r="H53" s="1">
        <f>SUM(OSRRefH22_0x_0)</f>
        <v>2578.2873474061539</v>
      </c>
      <c r="I53" s="1"/>
      <c r="J53" s="5">
        <f t="shared" si="13"/>
        <v>8.4565064791207057E-3</v>
      </c>
      <c r="K53" s="1"/>
      <c r="L53" s="1">
        <f t="shared" si="14"/>
        <v>457.52265259384649</v>
      </c>
      <c r="M53" s="1"/>
      <c r="N53" s="5">
        <f t="shared" si="15"/>
        <v>0.17745215755494828</v>
      </c>
      <c r="O53" s="13"/>
      <c r="P53" s="1">
        <f>SUM(OSRRefP22_0x_0)</f>
        <v>35524.879999999997</v>
      </c>
      <c r="Q53" s="1"/>
      <c r="R53" s="5">
        <f t="shared" si="16"/>
        <v>1.347044396962512E-2</v>
      </c>
      <c r="S53" s="1"/>
      <c r="T53" s="1">
        <f>SUM(OSRRefT22_0x_0)</f>
        <v>31597.842485960002</v>
      </c>
      <c r="U53" s="1"/>
      <c r="V53" s="5">
        <f t="shared" si="17"/>
        <v>1.2563899339578867E-2</v>
      </c>
      <c r="W53" s="1"/>
      <c r="X53" s="1">
        <f t="shared" si="18"/>
        <v>3927.0375140399956</v>
      </c>
      <c r="Y53" s="1"/>
      <c r="Z53" s="5">
        <f t="shared" si="19"/>
        <v>0.12428182448801409</v>
      </c>
    </row>
    <row r="54" spans="1:26" s="24" customFormat="1" hidden="1" outlineLevel="2" x14ac:dyDescent="0.25">
      <c r="A54" s="26"/>
      <c r="B54" s="11" t="str">
        <f>CONCATENATE("          ", "6111", " - ", "F.I.C.A.")</f>
        <v xml:space="preserve">          6111 - F.I.C.A.</v>
      </c>
      <c r="C54" s="11"/>
      <c r="D54" s="6">
        <v>622.99</v>
      </c>
      <c r="E54" s="2"/>
      <c r="F54" s="7">
        <f t="shared" si="12"/>
        <v>9.6315956037785529E-3</v>
      </c>
      <c r="G54" s="2"/>
      <c r="H54" s="6">
        <v>672.50064036000003</v>
      </c>
      <c r="I54" s="2"/>
      <c r="J54" s="7">
        <f t="shared" si="13"/>
        <v>2.2057301053501617E-3</v>
      </c>
      <c r="K54" s="2"/>
      <c r="L54" s="6">
        <f t="shared" si="14"/>
        <v>-49.510640360000025</v>
      </c>
      <c r="M54" s="2"/>
      <c r="N54" s="7">
        <f t="shared" si="15"/>
        <v>-7.3621699948859837E-2</v>
      </c>
      <c r="O54" s="11"/>
      <c r="P54" s="6">
        <v>6560.19</v>
      </c>
      <c r="Q54" s="2"/>
      <c r="R54" s="7">
        <f t="shared" si="16"/>
        <v>2.4875149986458788E-3</v>
      </c>
      <c r="S54" s="2"/>
      <c r="T54" s="6">
        <v>6208.0379883599999</v>
      </c>
      <c r="U54" s="2"/>
      <c r="V54" s="7">
        <f t="shared" si="17"/>
        <v>2.4684332297907211E-3</v>
      </c>
      <c r="W54" s="2"/>
      <c r="X54" s="6">
        <f t="shared" si="18"/>
        <v>352.15201163999973</v>
      </c>
      <c r="Y54" s="2"/>
      <c r="Z54" s="7">
        <f t="shared" si="19"/>
        <v>5.6725170222907899E-2</v>
      </c>
    </row>
    <row r="55" spans="1:26" s="24" customFormat="1" hidden="1" outlineLevel="2" x14ac:dyDescent="0.25">
      <c r="A55" s="26"/>
      <c r="B55" s="11" t="str">
        <f>CONCATENATE("          ", "6112", " - ", "COMPENSATION INSURANCE")</f>
        <v xml:space="preserve">          6112 - COMPENSATION INSURANCE</v>
      </c>
      <c r="C55" s="11"/>
      <c r="D55" s="6">
        <v>132.6</v>
      </c>
      <c r="E55" s="2"/>
      <c r="F55" s="7">
        <f t="shared" si="12"/>
        <v>2.0500322269394948E-3</v>
      </c>
      <c r="G55" s="2"/>
      <c r="H55" s="6">
        <v>162.56712200000001</v>
      </c>
      <c r="I55" s="2"/>
      <c r="J55" s="7">
        <f t="shared" si="13"/>
        <v>5.3320275642203046E-4</v>
      </c>
      <c r="K55" s="2"/>
      <c r="L55" s="6">
        <f t="shared" si="14"/>
        <v>-29.967122000000018</v>
      </c>
      <c r="M55" s="2"/>
      <c r="N55" s="7">
        <f t="shared" si="15"/>
        <v>-0.18433691653838846</v>
      </c>
      <c r="O55" s="11"/>
      <c r="P55" s="6">
        <v>1867.88</v>
      </c>
      <c r="Q55" s="2"/>
      <c r="R55" s="7">
        <f t="shared" si="16"/>
        <v>7.0826904642558601E-4</v>
      </c>
      <c r="S55" s="2"/>
      <c r="T55" s="6">
        <v>2519.604096</v>
      </c>
      <c r="U55" s="2"/>
      <c r="V55" s="7">
        <f t="shared" si="17"/>
        <v>1.0018422065304132E-3</v>
      </c>
      <c r="W55" s="2"/>
      <c r="X55" s="6">
        <f t="shared" si="18"/>
        <v>-651.72409599999992</v>
      </c>
      <c r="Y55" s="2"/>
      <c r="Z55" s="7">
        <f t="shared" si="19"/>
        <v>-0.25866130993938496</v>
      </c>
    </row>
    <row r="56" spans="1:26" s="24" customFormat="1" hidden="1" outlineLevel="2" x14ac:dyDescent="0.25">
      <c r="A56" s="26"/>
      <c r="B56" s="11" t="str">
        <f>CONCATENATE("          ", "6113", " - ", "GROUP INSURANCE")</f>
        <v xml:space="preserve">          6113 - GROUP INSURANCE</v>
      </c>
      <c r="C56" s="11"/>
      <c r="D56" s="6">
        <v>1053.8499999999999</v>
      </c>
      <c r="E56" s="2"/>
      <c r="F56" s="7">
        <f t="shared" si="12"/>
        <v>1.6292808916743489E-2</v>
      </c>
      <c r="G56" s="2"/>
      <c r="H56" s="6">
        <v>946.34615384615404</v>
      </c>
      <c r="I56" s="2"/>
      <c r="J56" s="7">
        <f t="shared" si="13"/>
        <v>3.1039140728600471E-3</v>
      </c>
      <c r="K56" s="2"/>
      <c r="L56" s="6">
        <f t="shared" si="14"/>
        <v>107.50384615384587</v>
      </c>
      <c r="M56" s="2"/>
      <c r="N56" s="7">
        <f t="shared" si="15"/>
        <v>0.11359886201991433</v>
      </c>
      <c r="O56" s="11"/>
      <c r="P56" s="6">
        <v>12537.88</v>
      </c>
      <c r="Q56" s="2"/>
      <c r="R56" s="7">
        <f t="shared" si="16"/>
        <v>4.7541556801285016E-3</v>
      </c>
      <c r="S56" s="2"/>
      <c r="T56" s="6">
        <v>11970</v>
      </c>
      <c r="U56" s="2"/>
      <c r="V56" s="7">
        <f t="shared" si="17"/>
        <v>4.7594982208542368E-3</v>
      </c>
      <c r="W56" s="2"/>
      <c r="X56" s="6">
        <f t="shared" si="18"/>
        <v>567.8799999999992</v>
      </c>
      <c r="Y56" s="2"/>
      <c r="Z56" s="7">
        <f t="shared" si="19"/>
        <v>4.7441938178780216E-2</v>
      </c>
    </row>
    <row r="57" spans="1:26" s="24" customFormat="1" hidden="1" outlineLevel="2" x14ac:dyDescent="0.25">
      <c r="A57" s="26"/>
      <c r="B57" s="11" t="str">
        <f>CONCATENATE("          ", "6114", " - ", "STATE UNEMPLOYMENT INSURANCE")</f>
        <v xml:space="preserve">          6114 - STATE UNEMPLOYMENT INSURANCE</v>
      </c>
      <c r="C57" s="11"/>
      <c r="D57" s="6">
        <v>18.63</v>
      </c>
      <c r="E57" s="2"/>
      <c r="F57" s="7">
        <f t="shared" si="12"/>
        <v>2.8802488980303763E-4</v>
      </c>
      <c r="G57" s="2"/>
      <c r="H57" s="6">
        <v>22.847271200000002</v>
      </c>
      <c r="I57" s="2"/>
      <c r="J57" s="7">
        <f t="shared" si="13"/>
        <v>7.4936603605258334E-5</v>
      </c>
      <c r="K57" s="2"/>
      <c r="L57" s="6">
        <f t="shared" si="14"/>
        <v>-4.2172712000000026</v>
      </c>
      <c r="M57" s="2"/>
      <c r="N57" s="7">
        <f t="shared" si="15"/>
        <v>-0.18458533463724991</v>
      </c>
      <c r="O57" s="11"/>
      <c r="P57" s="6">
        <v>277.20999999999998</v>
      </c>
      <c r="Q57" s="2"/>
      <c r="R57" s="7">
        <f t="shared" si="16"/>
        <v>1.051134239670839E-4</v>
      </c>
      <c r="S57" s="2"/>
      <c r="T57" s="6">
        <v>354.10652160000001</v>
      </c>
      <c r="U57" s="2"/>
      <c r="V57" s="7">
        <f t="shared" si="17"/>
        <v>1.4079944524211213E-4</v>
      </c>
      <c r="W57" s="2"/>
      <c r="X57" s="6">
        <f t="shared" si="18"/>
        <v>-76.896521600000028</v>
      </c>
      <c r="Y57" s="2"/>
      <c r="Z57" s="7">
        <f t="shared" si="19"/>
        <v>-0.21715646820778584</v>
      </c>
    </row>
    <row r="58" spans="1:26" s="24" customFormat="1" hidden="1" outlineLevel="2" x14ac:dyDescent="0.25">
      <c r="A58" s="26"/>
      <c r="B58" s="11" t="str">
        <f>CONCATENATE("          ", "6115", " - ", "P.E.R.S.")</f>
        <v xml:space="preserve">          6115 - P.E.R.S.</v>
      </c>
      <c r="C58" s="11"/>
      <c r="D58" s="6">
        <v>287.82</v>
      </c>
      <c r="E58" s="2"/>
      <c r="F58" s="7">
        <f t="shared" si="12"/>
        <v>4.4497758337686683E-3</v>
      </c>
      <c r="G58" s="2"/>
      <c r="H58" s="6">
        <v>196.27780000000001</v>
      </c>
      <c r="I58" s="2"/>
      <c r="J58" s="7">
        <f t="shared" si="13"/>
        <v>6.4377017134160746E-4</v>
      </c>
      <c r="K58" s="2"/>
      <c r="L58" s="6">
        <f t="shared" si="14"/>
        <v>91.54219999999998</v>
      </c>
      <c r="M58" s="2"/>
      <c r="N58" s="7">
        <f t="shared" si="15"/>
        <v>0.46639100295601427</v>
      </c>
      <c r="O58" s="11"/>
      <c r="P58" s="6">
        <v>2404.86</v>
      </c>
      <c r="Q58" s="2"/>
      <c r="R58" s="7">
        <f t="shared" si="16"/>
        <v>9.1188293626305475E-4</v>
      </c>
      <c r="S58" s="2"/>
      <c r="T58" s="6">
        <v>2551.6113999999998</v>
      </c>
      <c r="U58" s="2"/>
      <c r="V58" s="7">
        <f t="shared" si="17"/>
        <v>1.0145689155063814E-3</v>
      </c>
      <c r="W58" s="2"/>
      <c r="X58" s="6">
        <f t="shared" si="18"/>
        <v>-146.75139999999965</v>
      </c>
      <c r="Y58" s="2"/>
      <c r="Z58" s="7">
        <f t="shared" si="19"/>
        <v>-5.7513224780230902E-2</v>
      </c>
    </row>
    <row r="59" spans="1:26" s="24" customFormat="1" hidden="1" outlineLevel="2" x14ac:dyDescent="0.25">
      <c r="A59" s="26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2"/>
        <v>0</v>
      </c>
      <c r="G59" s="2"/>
      <c r="H59" s="6">
        <v>0</v>
      </c>
      <c r="I59" s="2"/>
      <c r="J59" s="7">
        <f t="shared" si="13"/>
        <v>0</v>
      </c>
      <c r="K59" s="2"/>
      <c r="L59" s="6">
        <f t="shared" si="14"/>
        <v>0</v>
      </c>
      <c r="M59" s="2"/>
      <c r="N59" s="7">
        <f t="shared" si="15"/>
        <v>0</v>
      </c>
      <c r="O59" s="11"/>
      <c r="P59" s="6"/>
      <c r="Q59" s="2"/>
      <c r="R59" s="7">
        <f t="shared" si="16"/>
        <v>0</v>
      </c>
      <c r="S59" s="2"/>
      <c r="T59" s="6">
        <v>0</v>
      </c>
      <c r="U59" s="2"/>
      <c r="V59" s="7">
        <f t="shared" si="17"/>
        <v>0</v>
      </c>
      <c r="W59" s="2"/>
      <c r="X59" s="6">
        <f t="shared" si="18"/>
        <v>0</v>
      </c>
      <c r="Y59" s="2"/>
      <c r="Z59" s="7">
        <f t="shared" si="19"/>
        <v>0</v>
      </c>
    </row>
    <row r="60" spans="1:26" s="24" customFormat="1" hidden="1" outlineLevel="2" x14ac:dyDescent="0.25">
      <c r="A60" s="26"/>
      <c r="B60" s="11" t="str">
        <f>CONCATENATE("          ", "6117", " - ", "RETIREMENT STAFF HOURLY")</f>
        <v xml:space="preserve">          6117 - RETIREMENT STAFF HOURLY</v>
      </c>
      <c r="C60" s="11"/>
      <c r="D60" s="6">
        <v>169.75</v>
      </c>
      <c r="E60" s="2"/>
      <c r="F60" s="7">
        <f t="shared" si="12"/>
        <v>2.6243813764930566E-3</v>
      </c>
      <c r="G60" s="2"/>
      <c r="H60" s="6"/>
      <c r="I60" s="2"/>
      <c r="J60" s="7">
        <f t="shared" si="13"/>
        <v>0</v>
      </c>
      <c r="K60" s="2"/>
      <c r="L60" s="6">
        <f t="shared" si="14"/>
        <v>169.75</v>
      </c>
      <c r="M60" s="2"/>
      <c r="N60" s="7">
        <f t="shared" si="15"/>
        <v>0</v>
      </c>
      <c r="O60" s="11"/>
      <c r="P60" s="6">
        <v>2242.48</v>
      </c>
      <c r="Q60" s="2"/>
      <c r="R60" s="7">
        <f t="shared" si="16"/>
        <v>8.5031113948885793E-4</v>
      </c>
      <c r="S60" s="2"/>
      <c r="T60" s="6"/>
      <c r="U60" s="2"/>
      <c r="V60" s="7">
        <f t="shared" si="17"/>
        <v>0</v>
      </c>
      <c r="W60" s="2"/>
      <c r="X60" s="6">
        <f t="shared" si="18"/>
        <v>2242.48</v>
      </c>
      <c r="Y60" s="2"/>
      <c r="Z60" s="7">
        <f t="shared" si="19"/>
        <v>0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267.04000000000002</v>
      </c>
      <c r="E61" s="2"/>
      <c r="F61" s="7">
        <f t="shared" si="12"/>
        <v>4.1285113565755864E-3</v>
      </c>
      <c r="G61" s="2"/>
      <c r="H61" s="6">
        <v>194.749</v>
      </c>
      <c r="I61" s="2"/>
      <c r="J61" s="7">
        <f t="shared" si="13"/>
        <v>6.3875587100837032E-4</v>
      </c>
      <c r="K61" s="2"/>
      <c r="L61" s="6">
        <f t="shared" si="14"/>
        <v>72.291000000000025</v>
      </c>
      <c r="M61" s="2"/>
      <c r="N61" s="7">
        <f t="shared" si="15"/>
        <v>0.37120087908025218</v>
      </c>
      <c r="O61" s="11"/>
      <c r="P61" s="6">
        <v>3425.3</v>
      </c>
      <c r="Q61" s="2"/>
      <c r="R61" s="7">
        <f t="shared" si="16"/>
        <v>1.29881682159537E-3</v>
      </c>
      <c r="S61" s="2"/>
      <c r="T61" s="6">
        <v>2531.7370000000001</v>
      </c>
      <c r="U61" s="2"/>
      <c r="V61" s="7">
        <f t="shared" si="17"/>
        <v>1.0066664784603879E-3</v>
      </c>
      <c r="W61" s="2"/>
      <c r="X61" s="6">
        <f t="shared" si="18"/>
        <v>893.5630000000001</v>
      </c>
      <c r="Y61" s="2"/>
      <c r="Z61" s="7">
        <f t="shared" si="19"/>
        <v>0.35294463840438406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267.63</v>
      </c>
      <c r="E62" s="2"/>
      <c r="F62" s="7">
        <f t="shared" si="12"/>
        <v>4.1376329177663426E-3</v>
      </c>
      <c r="G62" s="2"/>
      <c r="H62" s="6">
        <v>207.99936</v>
      </c>
      <c r="I62" s="2"/>
      <c r="J62" s="7">
        <f t="shared" si="13"/>
        <v>6.822156332817297E-4</v>
      </c>
      <c r="K62" s="2"/>
      <c r="L62" s="6">
        <f t="shared" si="14"/>
        <v>59.63064</v>
      </c>
      <c r="M62" s="2"/>
      <c r="N62" s="7">
        <f t="shared" si="15"/>
        <v>0.2866866513435426</v>
      </c>
      <c r="O62" s="11"/>
      <c r="P62" s="6">
        <v>3423.89</v>
      </c>
      <c r="Q62" s="2"/>
      <c r="R62" s="7">
        <f t="shared" si="16"/>
        <v>1.2982821730336527E-3</v>
      </c>
      <c r="S62" s="2"/>
      <c r="T62" s="6">
        <v>3362.74548</v>
      </c>
      <c r="U62" s="2"/>
      <c r="V62" s="7">
        <f t="shared" si="17"/>
        <v>1.337091155325449E-3</v>
      </c>
      <c r="W62" s="2"/>
      <c r="X62" s="6">
        <f t="shared" si="18"/>
        <v>61.144519999999829</v>
      </c>
      <c r="Y62" s="2"/>
      <c r="Z62" s="7">
        <f t="shared" si="19"/>
        <v>1.8182916418640113E-2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6">
        <v>215.5</v>
      </c>
      <c r="E63" s="2"/>
      <c r="F63" s="7">
        <f t="shared" si="12"/>
        <v>3.331688875606796E-3</v>
      </c>
      <c r="G63" s="2"/>
      <c r="H63" s="6">
        <v>175</v>
      </c>
      <c r="I63" s="2"/>
      <c r="J63" s="7">
        <f t="shared" si="13"/>
        <v>5.7398126525150218E-4</v>
      </c>
      <c r="K63" s="2"/>
      <c r="L63" s="6">
        <f t="shared" si="14"/>
        <v>40.5</v>
      </c>
      <c r="M63" s="2"/>
      <c r="N63" s="7">
        <f t="shared" si="15"/>
        <v>0.23142857142857143</v>
      </c>
      <c r="O63" s="11"/>
      <c r="P63" s="6">
        <v>2785.19</v>
      </c>
      <c r="Q63" s="2"/>
      <c r="R63" s="7">
        <f t="shared" si="16"/>
        <v>1.0560977500771343E-3</v>
      </c>
      <c r="S63" s="2"/>
      <c r="T63" s="6">
        <v>2100</v>
      </c>
      <c r="U63" s="2"/>
      <c r="V63" s="7">
        <f t="shared" si="17"/>
        <v>8.349996878691643E-4</v>
      </c>
      <c r="W63" s="2"/>
      <c r="X63" s="6">
        <f t="shared" si="18"/>
        <v>685.19</v>
      </c>
      <c r="Y63" s="2"/>
      <c r="Z63" s="7">
        <f t="shared" si="19"/>
        <v>0.32628095238095239</v>
      </c>
    </row>
    <row r="64" spans="1:26" s="27" customFormat="1" outlineLevel="1" collapsed="1" x14ac:dyDescent="0.25">
      <c r="A64" s="25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7568.11</v>
      </c>
      <c r="E64" s="1"/>
      <c r="F64" s="5">
        <f t="shared" ref="F64:F74" si="20">IF(D$12=0,0,D64/D$12)</f>
        <v>0.11700504824300952</v>
      </c>
      <c r="G64" s="1"/>
      <c r="H64" s="1">
        <f>SUM(OSRRefH22_1x_0)</f>
        <v>8384.6636400000007</v>
      </c>
      <c r="I64" s="1"/>
      <c r="J64" s="5">
        <f t="shared" ref="J64:J74" si="21">IF(H$12=0,0,H64/H$12)</f>
        <v>2.7500799113116949E-2</v>
      </c>
      <c r="K64" s="1"/>
      <c r="L64" s="1">
        <f t="shared" ref="L64:L74" si="22">+D64-H64</f>
        <v>-816.553640000001</v>
      </c>
      <c r="M64" s="1"/>
      <c r="N64" s="5">
        <f t="shared" ref="N64:N74" si="23">IF(H64=0,0,L64/H64)</f>
        <v>-9.738657089409504E-2</v>
      </c>
      <c r="O64" s="13"/>
      <c r="P64" s="1">
        <f>SUM(OSRRefP22_1x_0)</f>
        <v>96957.290000000008</v>
      </c>
      <c r="Q64" s="1"/>
      <c r="R64" s="5">
        <f t="shared" ref="R64:R74" si="24">IF(P$12=0,0,P64/P$12)</f>
        <v>3.6764592657081291E-2</v>
      </c>
      <c r="S64" s="1"/>
      <c r="T64" s="1">
        <f>SUM(OSRRefT22_1x_0)</f>
        <v>130300.33352</v>
      </c>
      <c r="U64" s="1"/>
      <c r="V64" s="5">
        <f t="shared" ref="V64:V74" si="25">IF(T$12=0,0,T64/T$12)</f>
        <v>5.1809875151641906E-2</v>
      </c>
      <c r="W64" s="1"/>
      <c r="X64" s="1">
        <f t="shared" ref="X64:X74" si="26">+P64-T64</f>
        <v>-33343.043519999992</v>
      </c>
      <c r="Y64" s="1"/>
      <c r="Z64" s="5">
        <f t="shared" ref="Z64:Z74" si="27">IF(T64=0,0,X64/T64)</f>
        <v>-0.25589376956492682</v>
      </c>
    </row>
    <row r="65" spans="1:26" s="24" customFormat="1" hidden="1" outlineLevel="2" x14ac:dyDescent="0.25">
      <c r="A65" s="26"/>
      <c r="B65" s="11" t="str">
        <f>CONCATENATE("          ", "6001", " - ", "ADMINISTRATIVE SALARIES")</f>
        <v xml:space="preserve">          6001 - ADMINISTRATIVE SALARIES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6"/>
      <c r="B66" s="11" t="str">
        <f>CONCATENATE("          ", "6002", " - ", "STAFF SALARIES")</f>
        <v xml:space="preserve">          6002 - STAFF SALARIES</v>
      </c>
      <c r="C66" s="11"/>
      <c r="D66" s="6">
        <v>2354.0700000000002</v>
      </c>
      <c r="E66" s="2"/>
      <c r="F66" s="7">
        <f t="shared" si="20"/>
        <v>3.6394565342922E-2</v>
      </c>
      <c r="G66" s="2"/>
      <c r="H66" s="6">
        <v>2168.1849999999999</v>
      </c>
      <c r="I66" s="2"/>
      <c r="J66" s="7">
        <f t="shared" si="21"/>
        <v>7.1114146834247325E-3</v>
      </c>
      <c r="K66" s="2"/>
      <c r="L66" s="6">
        <f t="shared" si="22"/>
        <v>185.88500000000022</v>
      </c>
      <c r="M66" s="2"/>
      <c r="N66" s="7">
        <f t="shared" si="23"/>
        <v>8.5732997876103847E-2</v>
      </c>
      <c r="O66" s="11"/>
      <c r="P66" s="6">
        <v>27912.61</v>
      </c>
      <c r="Q66" s="2"/>
      <c r="R66" s="7">
        <f t="shared" si="24"/>
        <v>1.0583997723595346E-2</v>
      </c>
      <c r="S66" s="2"/>
      <c r="T66" s="6">
        <v>28186.404999999999</v>
      </c>
      <c r="U66" s="2"/>
      <c r="V66" s="7">
        <f t="shared" si="25"/>
        <v>1.1207447322454215E-2</v>
      </c>
      <c r="W66" s="2"/>
      <c r="X66" s="6">
        <f t="shared" si="26"/>
        <v>-273.79499999999825</v>
      </c>
      <c r="Y66" s="2"/>
      <c r="Z66" s="7">
        <f t="shared" si="27"/>
        <v>-9.7137254644570053E-3</v>
      </c>
    </row>
    <row r="67" spans="1:26" s="24" customFormat="1" hidden="1" outlineLevel="2" x14ac:dyDescent="0.25">
      <c r="A67" s="26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4" customFormat="1" hidden="1" outlineLevel="2" x14ac:dyDescent="0.25">
      <c r="A68" s="26"/>
      <c r="B68" s="11" t="str">
        <f>CONCATENATE("          ", "6004", " - ", "STAFF HOURLY")</f>
        <v xml:space="preserve">          6004 - STAFF HOURLY</v>
      </c>
      <c r="C68" s="11"/>
      <c r="D68" s="6">
        <v>3168.99</v>
      </c>
      <c r="E68" s="2"/>
      <c r="F68" s="7">
        <f t="shared" si="20"/>
        <v>4.8993451182873224E-2</v>
      </c>
      <c r="G68" s="2"/>
      <c r="H68" s="6">
        <v>3088.12</v>
      </c>
      <c r="I68" s="2"/>
      <c r="J68" s="7">
        <f t="shared" si="21"/>
        <v>1.0128702999134109E-2</v>
      </c>
      <c r="K68" s="2"/>
      <c r="L68" s="6">
        <f t="shared" si="22"/>
        <v>80.869999999999891</v>
      </c>
      <c r="M68" s="2"/>
      <c r="N68" s="7">
        <f t="shared" si="23"/>
        <v>2.6187453855420092E-2</v>
      </c>
      <c r="O68" s="11"/>
      <c r="P68" s="6">
        <v>42904.19</v>
      </c>
      <c r="Q68" s="2"/>
      <c r="R68" s="7">
        <f t="shared" si="24"/>
        <v>1.6268555656124676E-2</v>
      </c>
      <c r="S68" s="2"/>
      <c r="T68" s="6">
        <v>40145.56</v>
      </c>
      <c r="U68" s="2"/>
      <c r="V68" s="7">
        <f t="shared" si="25"/>
        <v>1.5962633366348955E-2</v>
      </c>
      <c r="W68" s="2"/>
      <c r="X68" s="6">
        <f t="shared" si="26"/>
        <v>2758.6300000000047</v>
      </c>
      <c r="Y68" s="2"/>
      <c r="Z68" s="7">
        <f t="shared" si="27"/>
        <v>6.8715693591022392E-2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2045.05</v>
      </c>
      <c r="E71" s="2"/>
      <c r="F71" s="7">
        <f t="shared" si="20"/>
        <v>3.1617031717214285E-2</v>
      </c>
      <c r="G71" s="2"/>
      <c r="H71" s="6">
        <v>3128.3586399999999</v>
      </c>
      <c r="I71" s="2"/>
      <c r="J71" s="7">
        <f t="shared" si="21"/>
        <v>1.0260681430558107E-2</v>
      </c>
      <c r="K71" s="2"/>
      <c r="L71" s="6">
        <f t="shared" si="22"/>
        <v>-1083.30864</v>
      </c>
      <c r="M71" s="2"/>
      <c r="N71" s="7">
        <f t="shared" si="23"/>
        <v>-0.34628658816432889</v>
      </c>
      <c r="O71" s="11"/>
      <c r="P71" s="6">
        <v>26140.49</v>
      </c>
      <c r="Q71" s="2"/>
      <c r="R71" s="7">
        <f t="shared" si="24"/>
        <v>9.9120392773612686E-3</v>
      </c>
      <c r="S71" s="2"/>
      <c r="T71" s="6">
        <v>8544.8386399999999</v>
      </c>
      <c r="U71" s="2"/>
      <c r="V71" s="7">
        <f t="shared" si="25"/>
        <v>3.3975893320439877E-3</v>
      </c>
      <c r="W71" s="2"/>
      <c r="X71" s="6">
        <f t="shared" si="26"/>
        <v>17595.651360000003</v>
      </c>
      <c r="Y71" s="2"/>
      <c r="Z71" s="7">
        <f t="shared" si="27"/>
        <v>2.0592140005583537</v>
      </c>
    </row>
    <row r="72" spans="1:26" s="24" customFormat="1" hidden="1" outlineLevel="2" x14ac:dyDescent="0.25">
      <c r="A72" s="26"/>
      <c r="B72" s="11" t="str">
        <f>CONCATENATE("          ", "6008", " - ", "STUDENT HOURLY-FICA EXEMPT")</f>
        <v xml:space="preserve">          6008 - STUDENT HOURLY-FICA EXEMPT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53423.529880000002</v>
      </c>
      <c r="U72" s="2"/>
      <c r="V72" s="7">
        <f t="shared" si="25"/>
        <v>2.124220513079475E-2</v>
      </c>
      <c r="W72" s="2"/>
      <c r="X72" s="6">
        <f t="shared" si="26"/>
        <v>-53423.529880000002</v>
      </c>
      <c r="Y72" s="2"/>
      <c r="Z72" s="7">
        <f t="shared" si="27"/>
        <v>-1</v>
      </c>
    </row>
    <row r="73" spans="1:26" s="24" customFormat="1" hidden="1" outlineLevel="2" x14ac:dyDescent="0.25">
      <c r="A73" s="26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6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0"/>
        <v>0</v>
      </c>
      <c r="G74" s="2"/>
      <c r="H74" s="6">
        <v>0</v>
      </c>
      <c r="I74" s="2"/>
      <c r="J74" s="7">
        <f t="shared" si="21"/>
        <v>0</v>
      </c>
      <c r="K74" s="2"/>
      <c r="L74" s="6">
        <f t="shared" si="22"/>
        <v>0</v>
      </c>
      <c r="M74" s="2"/>
      <c r="N74" s="7">
        <f t="shared" si="23"/>
        <v>0</v>
      </c>
      <c r="O74" s="11"/>
      <c r="P74" s="6"/>
      <c r="Q74" s="2"/>
      <c r="R74" s="7">
        <f t="shared" si="24"/>
        <v>0</v>
      </c>
      <c r="S74" s="2"/>
      <c r="T74" s="6">
        <v>0</v>
      </c>
      <c r="U74" s="2"/>
      <c r="V74" s="7">
        <f t="shared" si="25"/>
        <v>0</v>
      </c>
      <c r="W74" s="2"/>
      <c r="X74" s="6">
        <f t="shared" si="26"/>
        <v>0</v>
      </c>
      <c r="Y74" s="2"/>
      <c r="Z74" s="7">
        <f t="shared" si="27"/>
        <v>0</v>
      </c>
    </row>
    <row r="75" spans="1:26" s="27" customFormat="1" outlineLevel="1" collapsed="1" x14ac:dyDescent="0.25">
      <c r="A75" s="25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0</v>
      </c>
      <c r="E75" s="1"/>
      <c r="F75" s="5">
        <f t="shared" ref="F75:F85" si="28">IF(D$12=0,0,D75/D$12)</f>
        <v>0</v>
      </c>
      <c r="G75" s="1"/>
      <c r="H75" s="1">
        <f>SUM(OSRRefH22_2x_0)</f>
        <v>200</v>
      </c>
      <c r="I75" s="1"/>
      <c r="J75" s="5">
        <f t="shared" ref="J75:J85" si="29">IF(H$12=0,0,H75/H$12)</f>
        <v>6.5597858885885966E-4</v>
      </c>
      <c r="K75" s="1"/>
      <c r="L75" s="1">
        <f t="shared" ref="L75:L85" si="30">+D75-H75</f>
        <v>-200</v>
      </c>
      <c r="M75" s="1"/>
      <c r="N75" s="5">
        <f t="shared" ref="N75:N85" si="31">IF(H75=0,0,L75/H75)</f>
        <v>-1</v>
      </c>
      <c r="O75" s="13"/>
      <c r="P75" s="1">
        <f>SUM(OSRRefP22_2x_0)</f>
        <v>692.63</v>
      </c>
      <c r="Q75" s="1"/>
      <c r="R75" s="5">
        <f t="shared" ref="R75:R85" si="32">IF(P$12=0,0,P75/P$12)</f>
        <v>2.6263378248375354E-4</v>
      </c>
      <c r="S75" s="1"/>
      <c r="T75" s="1">
        <f>SUM(OSRRefT22_2x_0)</f>
        <v>2400</v>
      </c>
      <c r="U75" s="1"/>
      <c r="V75" s="5">
        <f t="shared" ref="V75:V85" si="33">IF(T$12=0,0,T75/T$12)</f>
        <v>9.5428535756475919E-4</v>
      </c>
      <c r="W75" s="1"/>
      <c r="X75" s="1">
        <f t="shared" ref="X75:X85" si="34">+P75-T75</f>
        <v>-1707.37</v>
      </c>
      <c r="Y75" s="1"/>
      <c r="Z75" s="5">
        <f t="shared" ref="Z75:Z85" si="35">IF(T75=0,0,X75/T75)</f>
        <v>-0.71140416666666662</v>
      </c>
    </row>
    <row r="76" spans="1:26" s="24" customFormat="1" hidden="1" outlineLevel="2" x14ac:dyDescent="0.25">
      <c r="A76" s="26"/>
      <c r="B76" s="11" t="str">
        <f>CONCATENATE("          ", "6362", " - ", "ADVERTISING EXPENSE")</f>
        <v xml:space="preserve">          6362 - ADVERTISING EXPENSE</v>
      </c>
      <c r="C76" s="11"/>
      <c r="D76" s="6"/>
      <c r="E76" s="2"/>
      <c r="F76" s="7">
        <f t="shared" si="28"/>
        <v>0</v>
      </c>
      <c r="G76" s="2"/>
      <c r="H76" s="6">
        <v>200</v>
      </c>
      <c r="I76" s="2"/>
      <c r="J76" s="7">
        <f t="shared" si="29"/>
        <v>6.5597858885885966E-4</v>
      </c>
      <c r="K76" s="2"/>
      <c r="L76" s="6">
        <f t="shared" si="30"/>
        <v>-200</v>
      </c>
      <c r="M76" s="2"/>
      <c r="N76" s="7">
        <f t="shared" si="31"/>
        <v>-1</v>
      </c>
      <c r="O76" s="11"/>
      <c r="P76" s="6">
        <v>692.63</v>
      </c>
      <c r="Q76" s="2"/>
      <c r="R76" s="7">
        <f t="shared" si="32"/>
        <v>2.6263378248375354E-4</v>
      </c>
      <c r="S76" s="2"/>
      <c r="T76" s="6">
        <v>2400</v>
      </c>
      <c r="U76" s="2"/>
      <c r="V76" s="7">
        <f t="shared" si="33"/>
        <v>9.5428535756475919E-4</v>
      </c>
      <c r="W76" s="2"/>
      <c r="X76" s="6">
        <f t="shared" si="34"/>
        <v>-1707.37</v>
      </c>
      <c r="Y76" s="2"/>
      <c r="Z76" s="7">
        <f t="shared" si="35"/>
        <v>-0.71140416666666662</v>
      </c>
    </row>
    <row r="77" spans="1:26" s="27" customFormat="1" outlineLevel="1" collapsed="1" x14ac:dyDescent="0.25">
      <c r="A77" s="25"/>
      <c r="B77" s="13" t="str">
        <f>CONCATENATE("     ","Depreciation                                      ")</f>
        <v xml:space="preserve">     Depreciation                                      </v>
      </c>
      <c r="C77" s="13"/>
      <c r="D77" s="1">
        <f>SUM(OSRRefD22_3x_0)</f>
        <v>280.45</v>
      </c>
      <c r="E77" s="1"/>
      <c r="F77" s="5">
        <f t="shared" si="28"/>
        <v>4.3358336202502365E-3</v>
      </c>
      <c r="G77" s="1"/>
      <c r="H77" s="1">
        <f>SUM(OSRRefH22_3x_0)</f>
        <v>300</v>
      </c>
      <c r="I77" s="1"/>
      <c r="J77" s="5">
        <f t="shared" si="29"/>
        <v>9.8396788328828939E-4</v>
      </c>
      <c r="K77" s="1"/>
      <c r="L77" s="1">
        <f t="shared" si="30"/>
        <v>-19.550000000000011</v>
      </c>
      <c r="M77" s="1"/>
      <c r="N77" s="5">
        <f t="shared" si="31"/>
        <v>-6.5166666666666706E-2</v>
      </c>
      <c r="O77" s="13"/>
      <c r="P77" s="1">
        <f>SUM(OSRRefP22_3x_0)</f>
        <v>3365.29</v>
      </c>
      <c r="Q77" s="1"/>
      <c r="R77" s="5">
        <f t="shared" si="32"/>
        <v>1.2760620271353407E-3</v>
      </c>
      <c r="S77" s="1"/>
      <c r="T77" s="1">
        <f>SUM(OSRRefT22_3x_0)</f>
        <v>3600</v>
      </c>
      <c r="U77" s="1"/>
      <c r="V77" s="5">
        <f t="shared" si="33"/>
        <v>1.4314280363471388E-3</v>
      </c>
      <c r="W77" s="1"/>
      <c r="X77" s="1">
        <f t="shared" si="34"/>
        <v>-234.71000000000004</v>
      </c>
      <c r="Y77" s="1"/>
      <c r="Z77" s="5">
        <f t="shared" si="35"/>
        <v>-6.5197222222222226E-2</v>
      </c>
    </row>
    <row r="78" spans="1:26" s="24" customFormat="1" hidden="1" outlineLevel="2" x14ac:dyDescent="0.25">
      <c r="A78" s="26"/>
      <c r="B78" s="11" t="str">
        <f>CONCATENATE("          ", "6322", " - ", "EQUIPMENT DEPRECIATION EXPENSE")</f>
        <v xml:space="preserve">          6322 - EQUIPMENT DEPRECIATION EXPENSE</v>
      </c>
      <c r="C78" s="11"/>
      <c r="D78" s="6">
        <v>280.45</v>
      </c>
      <c r="E78" s="2"/>
      <c r="F78" s="7">
        <f t="shared" si="28"/>
        <v>4.3358336202502365E-3</v>
      </c>
      <c r="G78" s="2"/>
      <c r="H78" s="6">
        <v>300</v>
      </c>
      <c r="I78" s="2"/>
      <c r="J78" s="7">
        <f t="shared" si="29"/>
        <v>9.8396788328828939E-4</v>
      </c>
      <c r="K78" s="2"/>
      <c r="L78" s="6">
        <f t="shared" si="30"/>
        <v>-19.550000000000011</v>
      </c>
      <c r="M78" s="2"/>
      <c r="N78" s="7">
        <f t="shared" si="31"/>
        <v>-6.5166666666666706E-2</v>
      </c>
      <c r="O78" s="11"/>
      <c r="P78" s="6">
        <v>3365.29</v>
      </c>
      <c r="Q78" s="2"/>
      <c r="R78" s="7">
        <f t="shared" si="32"/>
        <v>1.2760620271353407E-3</v>
      </c>
      <c r="S78" s="2"/>
      <c r="T78" s="6">
        <v>3600</v>
      </c>
      <c r="U78" s="2"/>
      <c r="V78" s="7">
        <f t="shared" si="33"/>
        <v>1.4314280363471388E-3</v>
      </c>
      <c r="W78" s="2"/>
      <c r="X78" s="6">
        <f t="shared" si="34"/>
        <v>-234.71000000000004</v>
      </c>
      <c r="Y78" s="2"/>
      <c r="Z78" s="7">
        <f t="shared" si="35"/>
        <v>-6.5197222222222226E-2</v>
      </c>
    </row>
    <row r="79" spans="1:26" s="27" customFormat="1" outlineLevel="1" collapsed="1" x14ac:dyDescent="0.25">
      <c r="A79" s="25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SUM(OSRRefD22_4x_0)</f>
        <v>0</v>
      </c>
      <c r="E79" s="1"/>
      <c r="F79" s="5">
        <f t="shared" si="28"/>
        <v>0</v>
      </c>
      <c r="G79" s="1"/>
      <c r="H79" s="1">
        <f>SUM(OSRRefH22_4x_0)</f>
        <v>4849</v>
      </c>
      <c r="I79" s="1"/>
      <c r="J79" s="5">
        <f t="shared" si="29"/>
        <v>1.5904200886883053E-2</v>
      </c>
      <c r="K79" s="1"/>
      <c r="L79" s="1">
        <f t="shared" si="30"/>
        <v>-4849</v>
      </c>
      <c r="M79" s="1"/>
      <c r="N79" s="5">
        <f t="shared" si="31"/>
        <v>-1</v>
      </c>
      <c r="O79" s="13"/>
      <c r="P79" s="1">
        <f>SUM(OSRRefP22_4x_0)</f>
        <v>0</v>
      </c>
      <c r="Q79" s="1"/>
      <c r="R79" s="5">
        <f t="shared" si="32"/>
        <v>0</v>
      </c>
      <c r="S79" s="1"/>
      <c r="T79" s="1">
        <f>SUM(OSRRefT22_4x_0)</f>
        <v>40000</v>
      </c>
      <c r="U79" s="1"/>
      <c r="V79" s="5">
        <f t="shared" si="33"/>
        <v>1.5904755959412653E-2</v>
      </c>
      <c r="W79" s="1"/>
      <c r="X79" s="1">
        <f t="shared" si="34"/>
        <v>-40000</v>
      </c>
      <c r="Y79" s="1"/>
      <c r="Z79" s="5">
        <f t="shared" si="35"/>
        <v>-1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0</v>
      </c>
      <c r="E80" s="2"/>
      <c r="F80" s="7">
        <f t="shared" si="28"/>
        <v>0</v>
      </c>
      <c r="G80" s="2"/>
      <c r="H80" s="6">
        <v>4849</v>
      </c>
      <c r="I80" s="2"/>
      <c r="J80" s="7">
        <f t="shared" si="29"/>
        <v>1.5904200886883053E-2</v>
      </c>
      <c r="K80" s="2"/>
      <c r="L80" s="6">
        <f t="shared" si="30"/>
        <v>-4849</v>
      </c>
      <c r="M80" s="2"/>
      <c r="N80" s="7">
        <f t="shared" si="31"/>
        <v>-1</v>
      </c>
      <c r="O80" s="11"/>
      <c r="P80" s="6">
        <v>0</v>
      </c>
      <c r="Q80" s="2"/>
      <c r="R80" s="7">
        <f t="shared" si="32"/>
        <v>0</v>
      </c>
      <c r="S80" s="2"/>
      <c r="T80" s="6">
        <v>40000</v>
      </c>
      <c r="U80" s="2"/>
      <c r="V80" s="7">
        <f t="shared" si="33"/>
        <v>1.5904755959412653E-2</v>
      </c>
      <c r="W80" s="2"/>
      <c r="X80" s="6">
        <f t="shared" si="34"/>
        <v>-40000</v>
      </c>
      <c r="Y80" s="2"/>
      <c r="Z80" s="7">
        <f t="shared" si="35"/>
        <v>-1</v>
      </c>
    </row>
    <row r="81" spans="1:26" s="27" customFormat="1" outlineLevel="1" collapsed="1" x14ac:dyDescent="0.25">
      <c r="A81" s="25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SUM(OSRRefD22_5x_0)</f>
        <v>0</v>
      </c>
      <c r="E81" s="1"/>
      <c r="F81" s="5">
        <f t="shared" si="28"/>
        <v>0</v>
      </c>
      <c r="G81" s="1"/>
      <c r="H81" s="1">
        <f>SUM(OSRRefH22_5x_0)</f>
        <v>20</v>
      </c>
      <c r="I81" s="1"/>
      <c r="J81" s="5">
        <f t="shared" si="29"/>
        <v>6.5597858885885958E-5</v>
      </c>
      <c r="K81" s="1"/>
      <c r="L81" s="1">
        <f t="shared" si="30"/>
        <v>-20</v>
      </c>
      <c r="M81" s="1"/>
      <c r="N81" s="5">
        <f t="shared" si="31"/>
        <v>-1</v>
      </c>
      <c r="O81" s="13"/>
      <c r="P81" s="1">
        <f>SUM(OSRRefP22_5x_0)</f>
        <v>0</v>
      </c>
      <c r="Q81" s="1"/>
      <c r="R81" s="5">
        <f t="shared" si="32"/>
        <v>0</v>
      </c>
      <c r="S81" s="1"/>
      <c r="T81" s="1">
        <f>SUM(OSRRefT22_5x_0)</f>
        <v>240</v>
      </c>
      <c r="U81" s="1"/>
      <c r="V81" s="5">
        <f t="shared" si="33"/>
        <v>9.5428535756475922E-5</v>
      </c>
      <c r="W81" s="1"/>
      <c r="X81" s="1">
        <f t="shared" si="34"/>
        <v>-240</v>
      </c>
      <c r="Y81" s="1"/>
      <c r="Z81" s="5">
        <f t="shared" si="35"/>
        <v>-1</v>
      </c>
    </row>
    <row r="82" spans="1:26" s="24" customFormat="1" hidden="1" outlineLevel="2" x14ac:dyDescent="0.25">
      <c r="A82" s="26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28"/>
        <v>0</v>
      </c>
      <c r="G82" s="2"/>
      <c r="H82" s="6">
        <v>20</v>
      </c>
      <c r="I82" s="2"/>
      <c r="J82" s="7">
        <f t="shared" si="29"/>
        <v>6.5597858885885958E-5</v>
      </c>
      <c r="K82" s="2"/>
      <c r="L82" s="6">
        <f t="shared" si="30"/>
        <v>-20</v>
      </c>
      <c r="M82" s="2"/>
      <c r="N82" s="7">
        <f t="shared" si="31"/>
        <v>-1</v>
      </c>
      <c r="O82" s="11"/>
      <c r="P82" s="6"/>
      <c r="Q82" s="2"/>
      <c r="R82" s="7">
        <f t="shared" si="32"/>
        <v>0</v>
      </c>
      <c r="S82" s="2"/>
      <c r="T82" s="6">
        <v>240</v>
      </c>
      <c r="U82" s="2"/>
      <c r="V82" s="7">
        <f t="shared" si="33"/>
        <v>9.5428535756475922E-5</v>
      </c>
      <c r="W82" s="2"/>
      <c r="X82" s="6">
        <f t="shared" si="34"/>
        <v>-240</v>
      </c>
      <c r="Y82" s="2"/>
      <c r="Z82" s="7">
        <f t="shared" si="35"/>
        <v>-1</v>
      </c>
    </row>
    <row r="83" spans="1:26" s="27" customFormat="1" outlineLevel="1" collapsed="1" x14ac:dyDescent="0.25">
      <c r="A83" s="25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SUM(OSRRefD22_6x_0)</f>
        <v>0</v>
      </c>
      <c r="E83" s="1"/>
      <c r="F83" s="5">
        <f t="shared" si="28"/>
        <v>0</v>
      </c>
      <c r="G83" s="1"/>
      <c r="H83" s="1">
        <f>SUM(OSRRefH22_6x_0)</f>
        <v>15</v>
      </c>
      <c r="I83" s="1"/>
      <c r="J83" s="5">
        <f t="shared" si="29"/>
        <v>4.9198394164414472E-5</v>
      </c>
      <c r="K83" s="1"/>
      <c r="L83" s="1">
        <f t="shared" si="30"/>
        <v>-15</v>
      </c>
      <c r="M83" s="1"/>
      <c r="N83" s="5">
        <f t="shared" si="31"/>
        <v>-1</v>
      </c>
      <c r="O83" s="13"/>
      <c r="P83" s="1">
        <f>SUM(OSRRefP22_6x_0)</f>
        <v>2698.56</v>
      </c>
      <c r="Q83" s="1"/>
      <c r="R83" s="5">
        <f t="shared" si="32"/>
        <v>1.0232490941185885E-3</v>
      </c>
      <c r="S83" s="1"/>
      <c r="T83" s="1">
        <f>SUM(OSRRefT22_6x_0)</f>
        <v>180</v>
      </c>
      <c r="U83" s="1"/>
      <c r="V83" s="5">
        <f t="shared" si="33"/>
        <v>7.1571401817356945E-5</v>
      </c>
      <c r="W83" s="1"/>
      <c r="X83" s="1">
        <f t="shared" si="34"/>
        <v>2518.56</v>
      </c>
      <c r="Y83" s="1"/>
      <c r="Z83" s="5">
        <f t="shared" si="35"/>
        <v>13.991999999999999</v>
      </c>
    </row>
    <row r="84" spans="1:26" s="24" customFormat="1" hidden="1" outlineLevel="2" x14ac:dyDescent="0.25">
      <c r="A84" s="26"/>
      <c r="B84" s="11" t="str">
        <f>CONCATENATE("          ", "6305", " - ", "FREIGHT OUT")</f>
        <v xml:space="preserve">          6305 - FREIGHT OUT</v>
      </c>
      <c r="C84" s="11"/>
      <c r="D84" s="6"/>
      <c r="E84" s="2"/>
      <c r="F84" s="7">
        <f t="shared" si="28"/>
        <v>0</v>
      </c>
      <c r="G84" s="2"/>
      <c r="H84" s="6">
        <v>15</v>
      </c>
      <c r="I84" s="2"/>
      <c r="J84" s="7">
        <f t="shared" si="29"/>
        <v>4.9198394164414472E-5</v>
      </c>
      <c r="K84" s="2"/>
      <c r="L84" s="6">
        <f t="shared" si="30"/>
        <v>-15</v>
      </c>
      <c r="M84" s="2"/>
      <c r="N84" s="7">
        <f t="shared" si="31"/>
        <v>-1</v>
      </c>
      <c r="O84" s="11"/>
      <c r="P84" s="6">
        <v>2685.96</v>
      </c>
      <c r="Q84" s="2"/>
      <c r="R84" s="7">
        <f t="shared" si="32"/>
        <v>1.0184713835670743E-3</v>
      </c>
      <c r="S84" s="2"/>
      <c r="T84" s="6">
        <v>180</v>
      </c>
      <c r="U84" s="2"/>
      <c r="V84" s="7">
        <f t="shared" si="33"/>
        <v>7.1571401817356945E-5</v>
      </c>
      <c r="W84" s="2"/>
      <c r="X84" s="6">
        <f t="shared" si="34"/>
        <v>2505.96</v>
      </c>
      <c r="Y84" s="2"/>
      <c r="Z84" s="7">
        <f t="shared" si="35"/>
        <v>13.922000000000001</v>
      </c>
    </row>
    <row r="85" spans="1:26" s="24" customFormat="1" hidden="1" outlineLevel="2" x14ac:dyDescent="0.25">
      <c r="A85" s="26"/>
      <c r="B85" s="11" t="str">
        <f>CONCATENATE("          ", "6307", " - ", "POSTAGE")</f>
        <v xml:space="preserve">          6307 - POSTAGE</v>
      </c>
      <c r="C85" s="11"/>
      <c r="D85" s="6"/>
      <c r="E85" s="2"/>
      <c r="F85" s="7">
        <f t="shared" si="28"/>
        <v>0</v>
      </c>
      <c r="G85" s="2"/>
      <c r="H85" s="6"/>
      <c r="I85" s="2"/>
      <c r="J85" s="7">
        <f t="shared" si="29"/>
        <v>0</v>
      </c>
      <c r="K85" s="2"/>
      <c r="L85" s="6">
        <f t="shared" si="30"/>
        <v>0</v>
      </c>
      <c r="M85" s="2"/>
      <c r="N85" s="7">
        <f t="shared" si="31"/>
        <v>0</v>
      </c>
      <c r="O85" s="11"/>
      <c r="P85" s="6">
        <v>12.6</v>
      </c>
      <c r="Q85" s="2"/>
      <c r="R85" s="7">
        <f t="shared" si="32"/>
        <v>4.7777105515142208E-6</v>
      </c>
      <c r="S85" s="2"/>
      <c r="T85" s="6"/>
      <c r="U85" s="2"/>
      <c r="V85" s="7">
        <f t="shared" si="33"/>
        <v>0</v>
      </c>
      <c r="W85" s="2"/>
      <c r="X85" s="6">
        <f t="shared" si="34"/>
        <v>12.6</v>
      </c>
      <c r="Y85" s="2"/>
      <c r="Z85" s="7">
        <f t="shared" si="35"/>
        <v>0</v>
      </c>
    </row>
    <row r="86" spans="1:26" s="27" customFormat="1" outlineLevel="1" collapsed="1" x14ac:dyDescent="0.25">
      <c r="A86" s="25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SUM(OSRRefD22_7x_0)</f>
        <v>0</v>
      </c>
      <c r="E86" s="1"/>
      <c r="F86" s="5">
        <f t="shared" ref="F86:F92" si="36">IF(D$12=0,0,D86/D$12)</f>
        <v>0</v>
      </c>
      <c r="G86" s="1"/>
      <c r="H86" s="1">
        <f>SUM(OSRRefH22_7x_0)</f>
        <v>30</v>
      </c>
      <c r="I86" s="1"/>
      <c r="J86" s="5">
        <f t="shared" ref="J86:J92" si="37">IF(H$12=0,0,H86/H$12)</f>
        <v>9.8396788328828944E-5</v>
      </c>
      <c r="K86" s="1"/>
      <c r="L86" s="1">
        <f t="shared" ref="L86:L92" si="38">+D86-H86</f>
        <v>-30</v>
      </c>
      <c r="M86" s="1"/>
      <c r="N86" s="5">
        <f t="shared" ref="N86:N92" si="39">IF(H86=0,0,L86/H86)</f>
        <v>-1</v>
      </c>
      <c r="O86" s="13"/>
      <c r="P86" s="1">
        <f>SUM(OSRRefP22_7x_0)</f>
        <v>254.85</v>
      </c>
      <c r="Q86" s="1"/>
      <c r="R86" s="5">
        <f t="shared" ref="R86:R92" si="40">IF(P$12=0,0,P86/P$12)</f>
        <v>9.6634883655031685E-5</v>
      </c>
      <c r="S86" s="1"/>
      <c r="T86" s="1">
        <f>SUM(OSRRefT22_7x_0)</f>
        <v>360</v>
      </c>
      <c r="U86" s="1"/>
      <c r="V86" s="5">
        <f t="shared" ref="V86:V92" si="41">IF(T$12=0,0,T86/T$12)</f>
        <v>1.4314280363471389E-4</v>
      </c>
      <c r="W86" s="1"/>
      <c r="X86" s="1">
        <f t="shared" ref="X86:X92" si="42">+P86-T86</f>
        <v>-105.15</v>
      </c>
      <c r="Y86" s="1"/>
      <c r="Z86" s="5">
        <f t="shared" ref="Z86:Z92" si="43">IF(T86=0,0,X86/T86)</f>
        <v>-0.29208333333333336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6"/>
        <v>0</v>
      </c>
      <c r="G87" s="2"/>
      <c r="H87" s="6">
        <v>30</v>
      </c>
      <c r="I87" s="2"/>
      <c r="J87" s="7">
        <f t="shared" si="37"/>
        <v>9.8396788328828944E-5</v>
      </c>
      <c r="K87" s="2"/>
      <c r="L87" s="6">
        <f t="shared" si="38"/>
        <v>-30</v>
      </c>
      <c r="M87" s="2"/>
      <c r="N87" s="7">
        <f t="shared" si="39"/>
        <v>-1</v>
      </c>
      <c r="O87" s="11"/>
      <c r="P87" s="6">
        <v>254.85</v>
      </c>
      <c r="Q87" s="2"/>
      <c r="R87" s="7">
        <f t="shared" si="40"/>
        <v>9.6634883655031685E-5</v>
      </c>
      <c r="S87" s="2"/>
      <c r="T87" s="6">
        <v>360</v>
      </c>
      <c r="U87" s="2"/>
      <c r="V87" s="7">
        <f t="shared" si="41"/>
        <v>1.4314280363471389E-4</v>
      </c>
      <c r="W87" s="2"/>
      <c r="X87" s="6">
        <f t="shared" si="42"/>
        <v>-105.15</v>
      </c>
      <c r="Y87" s="2"/>
      <c r="Z87" s="7">
        <f t="shared" si="43"/>
        <v>-0.29208333333333336</v>
      </c>
    </row>
    <row r="88" spans="1:26" s="27" customFormat="1" outlineLevel="1" collapsed="1" x14ac:dyDescent="0.25">
      <c r="A88" s="25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SUM(OSRRefD22_8x_0)</f>
        <v>-13750</v>
      </c>
      <c r="E88" s="1"/>
      <c r="F88" s="5">
        <f t="shared" si="36"/>
        <v>-0.21257875656423875</v>
      </c>
      <c r="G88" s="1"/>
      <c r="H88" s="1">
        <f>SUM(OSRRefH22_8x_0)</f>
        <v>1250</v>
      </c>
      <c r="I88" s="1"/>
      <c r="J88" s="5">
        <f t="shared" si="37"/>
        <v>4.0998661803678732E-3</v>
      </c>
      <c r="K88" s="1"/>
      <c r="L88" s="1">
        <f t="shared" si="38"/>
        <v>-15000</v>
      </c>
      <c r="M88" s="1"/>
      <c r="N88" s="5">
        <f t="shared" si="39"/>
        <v>-12</v>
      </c>
      <c r="O88" s="13"/>
      <c r="P88" s="1">
        <f>SUM(OSRRefP22_8x_0)</f>
        <v>0</v>
      </c>
      <c r="Q88" s="1"/>
      <c r="R88" s="5">
        <f t="shared" si="40"/>
        <v>0</v>
      </c>
      <c r="S88" s="1"/>
      <c r="T88" s="1">
        <f>SUM(OSRRefT22_8x_0)</f>
        <v>15000</v>
      </c>
      <c r="U88" s="1"/>
      <c r="V88" s="5">
        <f t="shared" si="41"/>
        <v>5.9642834847797449E-3</v>
      </c>
      <c r="W88" s="1"/>
      <c r="X88" s="1">
        <f t="shared" si="42"/>
        <v>-15000</v>
      </c>
      <c r="Y88" s="1"/>
      <c r="Z88" s="5">
        <f t="shared" si="43"/>
        <v>-1</v>
      </c>
    </row>
    <row r="89" spans="1:26" s="24" customFormat="1" hidden="1" outlineLevel="2" x14ac:dyDescent="0.25">
      <c r="A89" s="26"/>
      <c r="B89" s="11" t="str">
        <f>CONCATENATE("          ", "6408", " - ", "INVENTORY ADJUSTMENT")</f>
        <v xml:space="preserve">          6408 - INVENTORY ADJUSTMENT</v>
      </c>
      <c r="C89" s="11"/>
      <c r="D89" s="6">
        <v>-13750</v>
      </c>
      <c r="E89" s="2"/>
      <c r="F89" s="7">
        <f t="shared" si="36"/>
        <v>-0.21257875656423875</v>
      </c>
      <c r="G89" s="2"/>
      <c r="H89" s="6">
        <v>1250</v>
      </c>
      <c r="I89" s="2"/>
      <c r="J89" s="7">
        <f t="shared" si="37"/>
        <v>4.0998661803678732E-3</v>
      </c>
      <c r="K89" s="2"/>
      <c r="L89" s="6">
        <f t="shared" si="38"/>
        <v>-15000</v>
      </c>
      <c r="M89" s="2"/>
      <c r="N89" s="7">
        <f t="shared" si="39"/>
        <v>-12</v>
      </c>
      <c r="O89" s="11"/>
      <c r="P89" s="6">
        <v>0</v>
      </c>
      <c r="Q89" s="2"/>
      <c r="R89" s="7">
        <f t="shared" si="40"/>
        <v>0</v>
      </c>
      <c r="S89" s="2"/>
      <c r="T89" s="6">
        <v>15000</v>
      </c>
      <c r="U89" s="2"/>
      <c r="V89" s="7">
        <f t="shared" si="41"/>
        <v>5.9642834847797449E-3</v>
      </c>
      <c r="W89" s="2"/>
      <c r="X89" s="6">
        <f t="shared" si="42"/>
        <v>-15000</v>
      </c>
      <c r="Y89" s="2"/>
      <c r="Z89" s="7">
        <f t="shared" si="43"/>
        <v>-1</v>
      </c>
    </row>
    <row r="90" spans="1:26" s="27" customFormat="1" outlineLevel="1" collapsed="1" x14ac:dyDescent="0.25">
      <c r="A90" s="25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SUM(OSRRefD22_9x_0)</f>
        <v>-190</v>
      </c>
      <c r="E90" s="1"/>
      <c r="F90" s="5">
        <f t="shared" si="36"/>
        <v>-2.9374519088876624E-3</v>
      </c>
      <c r="G90" s="1"/>
      <c r="H90" s="1">
        <f>SUM(OSRRefH22_9x_0)</f>
        <v>20</v>
      </c>
      <c r="I90" s="1"/>
      <c r="J90" s="5">
        <f t="shared" si="37"/>
        <v>6.5597858885885958E-5</v>
      </c>
      <c r="K90" s="1"/>
      <c r="L90" s="1">
        <f t="shared" si="38"/>
        <v>-210</v>
      </c>
      <c r="M90" s="1"/>
      <c r="N90" s="5">
        <f t="shared" si="39"/>
        <v>-10.5</v>
      </c>
      <c r="O90" s="13"/>
      <c r="P90" s="1">
        <f>SUM(OSRRefP22_9x_0)</f>
        <v>1360</v>
      </c>
      <c r="Q90" s="1"/>
      <c r="R90" s="5">
        <f t="shared" si="40"/>
        <v>5.1568939286185237E-4</v>
      </c>
      <c r="S90" s="1"/>
      <c r="T90" s="1">
        <f>SUM(OSRRefT22_9x_0)</f>
        <v>245</v>
      </c>
      <c r="U90" s="1"/>
      <c r="V90" s="5">
        <f t="shared" si="41"/>
        <v>9.7416630251402503E-5</v>
      </c>
      <c r="W90" s="1"/>
      <c r="X90" s="1">
        <f t="shared" si="42"/>
        <v>1115</v>
      </c>
      <c r="Y90" s="1"/>
      <c r="Z90" s="5">
        <f t="shared" si="43"/>
        <v>4.5510204081632653</v>
      </c>
    </row>
    <row r="91" spans="1:26" s="24" customFormat="1" hidden="1" outlineLevel="2" x14ac:dyDescent="0.25">
      <c r="A91" s="26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36"/>
        <v>0</v>
      </c>
      <c r="G91" s="2"/>
      <c r="H91" s="6"/>
      <c r="I91" s="2"/>
      <c r="J91" s="7">
        <f t="shared" si="37"/>
        <v>0</v>
      </c>
      <c r="K91" s="2"/>
      <c r="L91" s="6">
        <f t="shared" si="38"/>
        <v>0</v>
      </c>
      <c r="M91" s="2"/>
      <c r="N91" s="7">
        <f t="shared" si="39"/>
        <v>0</v>
      </c>
      <c r="O91" s="11"/>
      <c r="P91" s="6">
        <v>1550</v>
      </c>
      <c r="Q91" s="2"/>
      <c r="R91" s="7">
        <f t="shared" si="40"/>
        <v>5.8773423451167009E-4</v>
      </c>
      <c r="S91" s="2"/>
      <c r="T91" s="6"/>
      <c r="U91" s="2"/>
      <c r="V91" s="7">
        <f t="shared" si="41"/>
        <v>0</v>
      </c>
      <c r="W91" s="2"/>
      <c r="X91" s="6">
        <f t="shared" si="42"/>
        <v>1550</v>
      </c>
      <c r="Y91" s="2"/>
      <c r="Z91" s="7">
        <f t="shared" si="43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-190</v>
      </c>
      <c r="E92" s="2"/>
      <c r="F92" s="7">
        <f t="shared" si="36"/>
        <v>-2.9374519088876624E-3</v>
      </c>
      <c r="G92" s="2"/>
      <c r="H92" s="6">
        <v>20</v>
      </c>
      <c r="I92" s="2"/>
      <c r="J92" s="7">
        <f t="shared" si="37"/>
        <v>6.5597858885885958E-5</v>
      </c>
      <c r="K92" s="2"/>
      <c r="L92" s="6">
        <f t="shared" si="38"/>
        <v>-210</v>
      </c>
      <c r="M92" s="2"/>
      <c r="N92" s="7">
        <f t="shared" si="39"/>
        <v>-10.5</v>
      </c>
      <c r="O92" s="11"/>
      <c r="P92" s="6">
        <v>-190</v>
      </c>
      <c r="Q92" s="2"/>
      <c r="R92" s="7">
        <f t="shared" si="40"/>
        <v>-7.204484164981762E-5</v>
      </c>
      <c r="S92" s="2"/>
      <c r="T92" s="6">
        <v>245</v>
      </c>
      <c r="U92" s="2"/>
      <c r="V92" s="7">
        <f t="shared" si="41"/>
        <v>9.7416630251402503E-5</v>
      </c>
      <c r="W92" s="2"/>
      <c r="X92" s="6">
        <f t="shared" si="42"/>
        <v>-435</v>
      </c>
      <c r="Y92" s="2"/>
      <c r="Z92" s="7">
        <f t="shared" si="43"/>
        <v>-1.7755102040816326</v>
      </c>
    </row>
    <row r="93" spans="1:26" s="27" customFormat="1" outlineLevel="1" collapsed="1" x14ac:dyDescent="0.25">
      <c r="A93" s="25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SUM(OSRRefD22_10x_0)</f>
        <v>0</v>
      </c>
      <c r="E93" s="1"/>
      <c r="F93" s="5">
        <f t="shared" ref="F93:F99" si="44">IF(D$12=0,0,D93/D$12)</f>
        <v>0</v>
      </c>
      <c r="G93" s="1"/>
      <c r="H93" s="1">
        <f>SUM(OSRRefH22_10x_0)</f>
        <v>0</v>
      </c>
      <c r="I93" s="1"/>
      <c r="J93" s="5">
        <f t="shared" ref="J93:J99" si="45">IF(H$12=0,0,H93/H$12)</f>
        <v>0</v>
      </c>
      <c r="K93" s="1"/>
      <c r="L93" s="1">
        <f t="shared" ref="L93:L99" si="46">+D93-H93</f>
        <v>0</v>
      </c>
      <c r="M93" s="1"/>
      <c r="N93" s="5">
        <f t="shared" ref="N93:N99" si="47">IF(H93=0,0,L93/H93)</f>
        <v>0</v>
      </c>
      <c r="O93" s="13"/>
      <c r="P93" s="1">
        <f>SUM(OSRRefP22_10x_0)</f>
        <v>142.22</v>
      </c>
      <c r="Q93" s="1"/>
      <c r="R93" s="5">
        <f t="shared" ref="R93:R99" si="48">IF(P$12=0,0,P93/P$12)</f>
        <v>5.392745989177401E-5</v>
      </c>
      <c r="S93" s="1"/>
      <c r="T93" s="1">
        <f>SUM(OSRRefT22_10x_0)</f>
        <v>0</v>
      </c>
      <c r="U93" s="1"/>
      <c r="V93" s="5">
        <f t="shared" ref="V93:V99" si="49">IF(T$12=0,0,T93/T$12)</f>
        <v>0</v>
      </c>
      <c r="W93" s="1"/>
      <c r="X93" s="1">
        <f t="shared" ref="X93:X99" si="50">+P93-T93</f>
        <v>142.22</v>
      </c>
      <c r="Y93" s="1"/>
      <c r="Z93" s="5">
        <f t="shared" ref="Z93:Z99" si="51">IF(T93=0,0,X93/T93)</f>
        <v>0</v>
      </c>
    </row>
    <row r="94" spans="1:26" s="24" customFormat="1" hidden="1" outlineLevel="2" x14ac:dyDescent="0.25">
      <c r="A94" s="26"/>
      <c r="B94" s="11" t="str">
        <f>CONCATENATE("          ", "6275", " - ", "SUBSCRIPTIONS")</f>
        <v xml:space="preserve">          6275 - SUBSCRIPTIONS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142.22</v>
      </c>
      <c r="Q94" s="2"/>
      <c r="R94" s="7">
        <f t="shared" si="48"/>
        <v>5.392745989177401E-5</v>
      </c>
      <c r="S94" s="2"/>
      <c r="T94" s="6"/>
      <c r="U94" s="2"/>
      <c r="V94" s="7">
        <f t="shared" si="49"/>
        <v>0</v>
      </c>
      <c r="W94" s="2"/>
      <c r="X94" s="6">
        <f t="shared" si="50"/>
        <v>142.22</v>
      </c>
      <c r="Y94" s="2"/>
      <c r="Z94" s="7">
        <f t="shared" si="51"/>
        <v>0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SUM(OSRRefD22_11x_0)</f>
        <v>1644.01</v>
      </c>
      <c r="E95" s="1"/>
      <c r="F95" s="5">
        <f t="shared" si="44"/>
        <v>2.5416843751212663E-2</v>
      </c>
      <c r="G95" s="1"/>
      <c r="H95" s="1">
        <f>SUM(OSRRefH22_11x_0)</f>
        <v>310</v>
      </c>
      <c r="I95" s="1"/>
      <c r="J95" s="5">
        <f t="shared" si="45"/>
        <v>1.0167668127312325E-3</v>
      </c>
      <c r="K95" s="1"/>
      <c r="L95" s="1">
        <f t="shared" si="46"/>
        <v>1334.01</v>
      </c>
      <c r="M95" s="1"/>
      <c r="N95" s="5">
        <f t="shared" si="47"/>
        <v>4.3032580645161289</v>
      </c>
      <c r="O95" s="13"/>
      <c r="P95" s="1">
        <f>SUM(OSRRefP22_11x_0)</f>
        <v>5676.33</v>
      </c>
      <c r="Q95" s="1"/>
      <c r="R95" s="5">
        <f t="shared" si="48"/>
        <v>2.1523699789584697E-3</v>
      </c>
      <c r="S95" s="1"/>
      <c r="T95" s="1">
        <f>SUM(OSRRefT22_11x_0)</f>
        <v>3720</v>
      </c>
      <c r="U95" s="1"/>
      <c r="V95" s="5">
        <f t="shared" si="49"/>
        <v>1.4791423042253768E-3</v>
      </c>
      <c r="W95" s="1"/>
      <c r="X95" s="1">
        <f t="shared" si="50"/>
        <v>1956.33</v>
      </c>
      <c r="Y95" s="1"/>
      <c r="Z95" s="5">
        <f t="shared" si="51"/>
        <v>0.52589516129032254</v>
      </c>
    </row>
    <row r="96" spans="1:26" s="24" customFormat="1" hidden="1" outlineLevel="2" x14ac:dyDescent="0.25">
      <c r="A96" s="26"/>
      <c r="B96" s="11" t="str">
        <f>CONCATENATE("          ", "6234", " - ", "EXPENDABLE SUPPLIES &amp; EQUIPMEN")</f>
        <v xml:space="preserve">          6234 - EXPENDABLE SUPPLIES &amp; EQUIPMEN</v>
      </c>
      <c r="C96" s="11"/>
      <c r="D96" s="6"/>
      <c r="E96" s="2"/>
      <c r="F96" s="7">
        <f t="shared" si="44"/>
        <v>0</v>
      </c>
      <c r="G96" s="2"/>
      <c r="H96" s="6"/>
      <c r="I96" s="2"/>
      <c r="J96" s="7">
        <f t="shared" si="45"/>
        <v>0</v>
      </c>
      <c r="K96" s="2"/>
      <c r="L96" s="6">
        <f t="shared" si="46"/>
        <v>0</v>
      </c>
      <c r="M96" s="2"/>
      <c r="N96" s="7">
        <f t="shared" si="47"/>
        <v>0</v>
      </c>
      <c r="O96" s="11"/>
      <c r="P96" s="6">
        <v>1733.49</v>
      </c>
      <c r="Q96" s="2"/>
      <c r="R96" s="7">
        <f t="shared" si="48"/>
        <v>6.573105923765387E-4</v>
      </c>
      <c r="S96" s="2"/>
      <c r="T96" s="6"/>
      <c r="U96" s="2"/>
      <c r="V96" s="7">
        <f t="shared" si="49"/>
        <v>0</v>
      </c>
      <c r="W96" s="2"/>
      <c r="X96" s="6">
        <f t="shared" si="50"/>
        <v>1733.49</v>
      </c>
      <c r="Y96" s="2"/>
      <c r="Z96" s="7">
        <f t="shared" si="51"/>
        <v>0</v>
      </c>
    </row>
    <row r="97" spans="1:26" s="24" customFormat="1" hidden="1" outlineLevel="2" x14ac:dyDescent="0.25">
      <c r="A97" s="26"/>
      <c r="B97" s="11" t="str">
        <f>CONCATENATE("          ", "6235", " - ", "COVID-19 EXPENSES")</f>
        <v xml:space="preserve">          6235 - COVID-19 EXPENSES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>
        <v>668.12</v>
      </c>
      <c r="Q97" s="2"/>
      <c r="R97" s="7">
        <f t="shared" si="48"/>
        <v>2.5333999791092706E-4</v>
      </c>
      <c r="S97" s="2"/>
      <c r="T97" s="6"/>
      <c r="U97" s="2"/>
      <c r="V97" s="7">
        <f t="shared" si="49"/>
        <v>0</v>
      </c>
      <c r="W97" s="2"/>
      <c r="X97" s="6">
        <f t="shared" si="50"/>
        <v>668.12</v>
      </c>
      <c r="Y97" s="2"/>
      <c r="Z97" s="7">
        <f t="shared" si="51"/>
        <v>0</v>
      </c>
    </row>
    <row r="98" spans="1:26" s="24" customFormat="1" hidden="1" outlineLevel="2" x14ac:dyDescent="0.25">
      <c r="A98" s="26"/>
      <c r="B98" s="11" t="str">
        <f>CONCATENATE("          ", "6241", " - ", "OFFICE EXPENSE")</f>
        <v xml:space="preserve">          6241 - OFFICE EXPENSE</v>
      </c>
      <c r="C98" s="11"/>
      <c r="D98" s="6">
        <v>122.01</v>
      </c>
      <c r="E98" s="2"/>
      <c r="F98" s="7">
        <f t="shared" si="44"/>
        <v>1.8863079337020196E-3</v>
      </c>
      <c r="G98" s="2"/>
      <c r="H98" s="6">
        <v>110</v>
      </c>
      <c r="I98" s="2"/>
      <c r="J98" s="7">
        <f t="shared" si="45"/>
        <v>3.607882238723728E-4</v>
      </c>
      <c r="K98" s="2"/>
      <c r="L98" s="6">
        <f t="shared" si="46"/>
        <v>12.010000000000005</v>
      </c>
      <c r="M98" s="2"/>
      <c r="N98" s="7">
        <f t="shared" si="47"/>
        <v>0.10918181818181823</v>
      </c>
      <c r="O98" s="11"/>
      <c r="P98" s="6">
        <v>1752.72</v>
      </c>
      <c r="Q98" s="2"/>
      <c r="R98" s="7">
        <f t="shared" si="48"/>
        <v>6.6460228871825441E-4</v>
      </c>
      <c r="S98" s="2"/>
      <c r="T98" s="6">
        <v>1320</v>
      </c>
      <c r="U98" s="2"/>
      <c r="V98" s="7">
        <f t="shared" si="49"/>
        <v>5.248569466606176E-4</v>
      </c>
      <c r="W98" s="2"/>
      <c r="X98" s="6">
        <f t="shared" si="50"/>
        <v>432.72</v>
      </c>
      <c r="Y98" s="2"/>
      <c r="Z98" s="7">
        <f t="shared" si="51"/>
        <v>0.32781818181818184</v>
      </c>
    </row>
    <row r="99" spans="1:26" s="24" customFormat="1" hidden="1" outlineLevel="2" x14ac:dyDescent="0.25">
      <c r="A99" s="26"/>
      <c r="B99" s="11" t="str">
        <f>CONCATENATE("          ", "6247", " - ", "STORE SUPPLIES")</f>
        <v xml:space="preserve">          6247 - STORE SUPPLIES</v>
      </c>
      <c r="C99" s="11"/>
      <c r="D99" s="6">
        <v>1522</v>
      </c>
      <c r="E99" s="2"/>
      <c r="F99" s="7">
        <f t="shared" si="44"/>
        <v>2.3530535817510644E-2</v>
      </c>
      <c r="G99" s="2"/>
      <c r="H99" s="6">
        <v>200</v>
      </c>
      <c r="I99" s="2"/>
      <c r="J99" s="7">
        <f t="shared" si="45"/>
        <v>6.5597858885885966E-4</v>
      </c>
      <c r="K99" s="2"/>
      <c r="L99" s="6">
        <f t="shared" si="46"/>
        <v>1322</v>
      </c>
      <c r="M99" s="2"/>
      <c r="N99" s="7">
        <f t="shared" si="47"/>
        <v>6.61</v>
      </c>
      <c r="O99" s="11"/>
      <c r="P99" s="6">
        <v>1522</v>
      </c>
      <c r="Q99" s="2"/>
      <c r="R99" s="7">
        <f t="shared" si="48"/>
        <v>5.7711709995274957E-4</v>
      </c>
      <c r="S99" s="2"/>
      <c r="T99" s="6">
        <v>2400</v>
      </c>
      <c r="U99" s="2"/>
      <c r="V99" s="7">
        <f t="shared" si="49"/>
        <v>9.5428535756475919E-4</v>
      </c>
      <c r="W99" s="2"/>
      <c r="X99" s="6">
        <f t="shared" si="50"/>
        <v>-878</v>
      </c>
      <c r="Y99" s="2"/>
      <c r="Z99" s="7">
        <f t="shared" si="51"/>
        <v>-0.36583333333333334</v>
      </c>
    </row>
    <row r="100" spans="1:26" s="27" customFormat="1" outlineLevel="1" collapsed="1" x14ac:dyDescent="0.25">
      <c r="A100" s="25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SUM(OSRRefD22_12x_0)</f>
        <v>415.7</v>
      </c>
      <c r="E100" s="1"/>
      <c r="F100" s="5">
        <f t="shared" ref="F100:F103" si="52">IF(D$12=0,0,D100/D$12)</f>
        <v>6.4268355711821117E-3</v>
      </c>
      <c r="G100" s="1"/>
      <c r="H100" s="1">
        <f>SUM(OSRRefH22_12x_0)</f>
        <v>250</v>
      </c>
      <c r="I100" s="1"/>
      <c r="J100" s="5">
        <f t="shared" ref="J100:J103" si="53">IF(H$12=0,0,H100/H$12)</f>
        <v>8.1997323607357453E-4</v>
      </c>
      <c r="K100" s="1"/>
      <c r="L100" s="1">
        <f t="shared" ref="L100:L103" si="54">+D100-H100</f>
        <v>165.7</v>
      </c>
      <c r="M100" s="1"/>
      <c r="N100" s="5">
        <f t="shared" ref="N100:N103" si="55">IF(H100=0,0,L100/H100)</f>
        <v>0.66279999999999994</v>
      </c>
      <c r="O100" s="13"/>
      <c r="P100" s="1">
        <f>SUM(OSRRefP22_12x_0)</f>
        <v>3676.45</v>
      </c>
      <c r="Q100" s="1"/>
      <c r="R100" s="5">
        <f t="shared" ref="R100:R103" si="56">IF(P$12=0,0,P100/P$12)</f>
        <v>1.3940487267551157E-3</v>
      </c>
      <c r="S100" s="1"/>
      <c r="T100" s="1">
        <f>SUM(OSRRefT22_12x_0)</f>
        <v>3010</v>
      </c>
      <c r="U100" s="1"/>
      <c r="V100" s="5">
        <f t="shared" ref="V100:V103" si="57">IF(T$12=0,0,T100/T$12)</f>
        <v>1.1968328859458021E-3</v>
      </c>
      <c r="W100" s="1"/>
      <c r="X100" s="1">
        <f t="shared" ref="X100:X103" si="58">+P100-T100</f>
        <v>666.44999999999982</v>
      </c>
      <c r="Y100" s="1"/>
      <c r="Z100" s="5">
        <f t="shared" ref="Z100:Z103" si="59">IF(T100=0,0,X100/T100)</f>
        <v>0.2214119601328903</v>
      </c>
    </row>
    <row r="101" spans="1:26" s="24" customFormat="1" hidden="1" outlineLevel="2" x14ac:dyDescent="0.25">
      <c r="A101" s="26"/>
      <c r="B101" s="11" t="str">
        <f>CONCATENATE("          ", "6309", " - ", "TELEPHONE")</f>
        <v xml:space="preserve">          6309 - TELEPHONE</v>
      </c>
      <c r="C101" s="11"/>
      <c r="D101" s="6">
        <v>415.7</v>
      </c>
      <c r="E101" s="2"/>
      <c r="F101" s="7">
        <f t="shared" si="52"/>
        <v>6.4268355711821117E-3</v>
      </c>
      <c r="G101" s="2"/>
      <c r="H101" s="6">
        <v>250</v>
      </c>
      <c r="I101" s="2"/>
      <c r="J101" s="7">
        <f t="shared" si="53"/>
        <v>8.1997323607357453E-4</v>
      </c>
      <c r="K101" s="2"/>
      <c r="L101" s="6">
        <f t="shared" si="54"/>
        <v>165.7</v>
      </c>
      <c r="M101" s="2"/>
      <c r="N101" s="7">
        <f t="shared" si="55"/>
        <v>0.66279999999999994</v>
      </c>
      <c r="O101" s="11"/>
      <c r="P101" s="6">
        <v>3676.45</v>
      </c>
      <c r="Q101" s="2"/>
      <c r="R101" s="7">
        <f t="shared" si="56"/>
        <v>1.3940487267551157E-3</v>
      </c>
      <c r="S101" s="2"/>
      <c r="T101" s="6">
        <v>3010</v>
      </c>
      <c r="U101" s="2"/>
      <c r="V101" s="7">
        <f t="shared" si="57"/>
        <v>1.1968328859458021E-3</v>
      </c>
      <c r="W101" s="2"/>
      <c r="X101" s="6">
        <f t="shared" si="58"/>
        <v>666.44999999999982</v>
      </c>
      <c r="Y101" s="2"/>
      <c r="Z101" s="7">
        <f t="shared" si="59"/>
        <v>0.2214119601328903</v>
      </c>
    </row>
    <row r="102" spans="1:26" s="27" customFormat="1" outlineLevel="1" collapsed="1" x14ac:dyDescent="0.25">
      <c r="A102" s="25"/>
      <c r="B102" s="13" t="str">
        <f>CONCATENATE("     ","Training                                          ")</f>
        <v xml:space="preserve">     Training                                          </v>
      </c>
      <c r="C102" s="13"/>
      <c r="D102" s="1">
        <f>SUM(OSRRefD22_13x_0)</f>
        <v>0</v>
      </c>
      <c r="E102" s="1"/>
      <c r="F102" s="5">
        <f t="shared" si="52"/>
        <v>0</v>
      </c>
      <c r="G102" s="1"/>
      <c r="H102" s="1">
        <f>SUM(OSRRefH22_13x_0)</f>
        <v>0</v>
      </c>
      <c r="I102" s="1"/>
      <c r="J102" s="5">
        <f t="shared" si="53"/>
        <v>0</v>
      </c>
      <c r="K102" s="1"/>
      <c r="L102" s="1">
        <f t="shared" si="54"/>
        <v>0</v>
      </c>
      <c r="M102" s="1"/>
      <c r="N102" s="5">
        <f t="shared" si="55"/>
        <v>0</v>
      </c>
      <c r="O102" s="13"/>
      <c r="P102" s="1">
        <f>SUM(OSRRefP22_13x_0)</f>
        <v>100</v>
      </c>
      <c r="Q102" s="1"/>
      <c r="R102" s="5">
        <f t="shared" si="56"/>
        <v>3.7918337710430325E-5</v>
      </c>
      <c r="S102" s="1"/>
      <c r="T102" s="1">
        <f>SUM(OSRRefT22_13x_0)</f>
        <v>2500</v>
      </c>
      <c r="U102" s="1"/>
      <c r="V102" s="5">
        <f t="shared" si="57"/>
        <v>9.9404724746329082E-4</v>
      </c>
      <c r="W102" s="1"/>
      <c r="X102" s="1">
        <f t="shared" si="58"/>
        <v>-2400</v>
      </c>
      <c r="Y102" s="1"/>
      <c r="Z102" s="5">
        <f t="shared" si="59"/>
        <v>-0.96</v>
      </c>
    </row>
    <row r="103" spans="1:26" s="24" customFormat="1" hidden="1" outlineLevel="2" x14ac:dyDescent="0.25">
      <c r="A103" s="26"/>
      <c r="B103" s="11" t="str">
        <f>CONCATENATE("          ", "6376", " - ", "TRAINING")</f>
        <v xml:space="preserve">          6376 - TRAINING</v>
      </c>
      <c r="C103" s="11"/>
      <c r="D103" s="6"/>
      <c r="E103" s="2"/>
      <c r="F103" s="7">
        <f t="shared" si="52"/>
        <v>0</v>
      </c>
      <c r="G103" s="2"/>
      <c r="H103" s="6"/>
      <c r="I103" s="2"/>
      <c r="J103" s="7">
        <f t="shared" si="53"/>
        <v>0</v>
      </c>
      <c r="K103" s="2"/>
      <c r="L103" s="6">
        <f t="shared" si="54"/>
        <v>0</v>
      </c>
      <c r="M103" s="2"/>
      <c r="N103" s="7">
        <f t="shared" si="55"/>
        <v>0</v>
      </c>
      <c r="O103" s="11"/>
      <c r="P103" s="6">
        <v>100</v>
      </c>
      <c r="Q103" s="2"/>
      <c r="R103" s="7">
        <f t="shared" si="56"/>
        <v>3.7918337710430325E-5</v>
      </c>
      <c r="S103" s="2"/>
      <c r="T103" s="6">
        <v>2500</v>
      </c>
      <c r="U103" s="2"/>
      <c r="V103" s="7">
        <f t="shared" si="57"/>
        <v>9.9404724746329082E-4</v>
      </c>
      <c r="W103" s="2"/>
      <c r="X103" s="6">
        <f t="shared" si="58"/>
        <v>-2400</v>
      </c>
      <c r="Y103" s="2"/>
      <c r="Z103" s="7">
        <f t="shared" si="59"/>
        <v>-0.96</v>
      </c>
    </row>
    <row r="104" spans="1:26" s="61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9" t="s">
        <v>293</v>
      </c>
      <c r="C105" s="10"/>
      <c r="D105" s="4">
        <f>SUM(OSRRefD25x_0)</f>
        <v>-2.1800000000000068</v>
      </c>
      <c r="E105" s="4"/>
      <c r="F105" s="12">
        <f t="shared" ref="F105:F107" si="60">IF(D$12=0,0,D105/D$12)</f>
        <v>-3.3703395586184868E-5</v>
      </c>
      <c r="G105" s="4"/>
      <c r="H105" s="4">
        <f>SUM(OSRRefH25x_0)</f>
        <v>2424</v>
      </c>
      <c r="I105" s="4"/>
      <c r="J105" s="12">
        <f t="shared" ref="J105:J107" si="61">IF(H$12=0,0,H105/H$12)</f>
        <v>7.9504604969693783E-3</v>
      </c>
      <c r="K105" s="4"/>
      <c r="L105" s="4">
        <f t="shared" ref="L105:L107" si="62">+D105-H105</f>
        <v>-2426.1799999999998</v>
      </c>
      <c r="M105" s="4"/>
      <c r="N105" s="12">
        <f t="shared" ref="N105:N107" si="63">IF(H105=0,0,L105/H105)</f>
        <v>-1.0008993399339934</v>
      </c>
      <c r="O105" s="10"/>
      <c r="P105" s="4">
        <f>SUM(OSRRefP25x_0)</f>
        <v>4030.6</v>
      </c>
      <c r="Q105" s="4"/>
      <c r="R105" s="12">
        <f t="shared" ref="R105:R107" si="64">IF(P$12=0,0,P105/P$12)</f>
        <v>1.5283365197566047E-3</v>
      </c>
      <c r="S105" s="4"/>
      <c r="T105" s="4">
        <f>SUM(OSRRefT25x_0)</f>
        <v>20000</v>
      </c>
      <c r="U105" s="4"/>
      <c r="V105" s="12">
        <f t="shared" ref="V105:V107" si="65">IF(T$12=0,0,T105/T$12)</f>
        <v>7.9523779797063265E-3</v>
      </c>
      <c r="W105" s="4"/>
      <c r="X105" s="4">
        <f t="shared" ref="X105:X107" si="66">+P105-T105</f>
        <v>-15969.4</v>
      </c>
      <c r="Y105" s="4"/>
      <c r="Z105" s="12">
        <f t="shared" ref="Z105:Z107" si="67">IF(T105=0,0,X105/T105)</f>
        <v>-0.79847000000000001</v>
      </c>
    </row>
    <row r="106" spans="1:26" s="24" customFormat="1" hidden="1" outlineLevel="1" x14ac:dyDescent="0.25">
      <c r="A106" s="44"/>
      <c r="B106" s="11" t="str">
        <f>CONCATENATE("          ", "4187", " - ", "NON-TAXABLE SALES-COMPUTER REP")</f>
        <v xml:space="preserve">          4187 - NON-TAXABLE SALES-COMPUTER REP</v>
      </c>
      <c r="C106" s="11"/>
      <c r="D106" s="2">
        <f>--189.31</f>
        <v>189.31</v>
      </c>
      <c r="E106" s="2"/>
      <c r="F106" s="19">
        <f t="shared" si="60"/>
        <v>2.9267843203764389E-3</v>
      </c>
      <c r="G106" s="2"/>
      <c r="H106" s="2"/>
      <c r="I106" s="2"/>
      <c r="J106" s="19">
        <f t="shared" si="61"/>
        <v>0</v>
      </c>
      <c r="K106" s="2"/>
      <c r="L106" s="2">
        <f t="shared" si="62"/>
        <v>189.31</v>
      </c>
      <c r="M106" s="2"/>
      <c r="N106" s="19">
        <f t="shared" si="63"/>
        <v>0</v>
      </c>
      <c r="O106" s="11"/>
      <c r="P106" s="2">
        <f>--3769.75</f>
        <v>3769.75</v>
      </c>
      <c r="Q106" s="2"/>
      <c r="R106" s="19">
        <f t="shared" si="64"/>
        <v>1.4294265358389471E-3</v>
      </c>
      <c r="S106" s="2"/>
      <c r="T106" s="2"/>
      <c r="U106" s="2"/>
      <c r="V106" s="19">
        <f t="shared" si="65"/>
        <v>0</v>
      </c>
      <c r="W106" s="2"/>
      <c r="X106" s="2">
        <f t="shared" si="66"/>
        <v>3769.75</v>
      </c>
      <c r="Y106" s="2"/>
      <c r="Z106" s="19">
        <f t="shared" si="67"/>
        <v>0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-191.49</f>
        <v>-191.49</v>
      </c>
      <c r="E107" s="2"/>
      <c r="F107" s="19">
        <f t="shared" si="60"/>
        <v>-2.9604877159626238E-3</v>
      </c>
      <c r="G107" s="2"/>
      <c r="H107" s="2">
        <v>2424</v>
      </c>
      <c r="I107" s="2"/>
      <c r="J107" s="19">
        <f t="shared" si="61"/>
        <v>7.9504604969693783E-3</v>
      </c>
      <c r="K107" s="2"/>
      <c r="L107" s="2">
        <f t="shared" si="62"/>
        <v>-2615.4899999999998</v>
      </c>
      <c r="M107" s="2"/>
      <c r="N107" s="19">
        <f t="shared" si="63"/>
        <v>-1.0789975247524752</v>
      </c>
      <c r="O107" s="11"/>
      <c r="P107" s="2">
        <f>--260.85</f>
        <v>260.85000000000002</v>
      </c>
      <c r="Q107" s="2"/>
      <c r="R107" s="19">
        <f t="shared" si="64"/>
        <v>9.8909983917657511E-5</v>
      </c>
      <c r="S107" s="2"/>
      <c r="T107" s="2">
        <v>20000</v>
      </c>
      <c r="U107" s="2"/>
      <c r="V107" s="19">
        <f t="shared" si="65"/>
        <v>7.9523779797063265E-3</v>
      </c>
      <c r="W107" s="2"/>
      <c r="X107" s="2">
        <f t="shared" si="66"/>
        <v>-19739.150000000001</v>
      </c>
      <c r="Y107" s="2"/>
      <c r="Z107" s="19">
        <f t="shared" si="67"/>
        <v>-0.98695750000000004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277</v>
      </c>
      <c r="C109" s="28"/>
      <c r="D109" s="20">
        <f>+D50-D52+D105</f>
        <v>40385.139999999992</v>
      </c>
      <c r="E109" s="14"/>
      <c r="F109" s="22">
        <f>IF(D$12=0,0,D109/D$12)</f>
        <v>0.62436529780892358</v>
      </c>
      <c r="G109" s="14"/>
      <c r="H109" s="20">
        <f>+H50-H52+H105</f>
        <v>32993.049012593845</v>
      </c>
      <c r="I109" s="14"/>
      <c r="J109" s="22">
        <f>IF(H$12=0,0,H109/H$12)</f>
        <v>0.10821366866716252</v>
      </c>
      <c r="K109" s="16"/>
      <c r="L109" s="20">
        <f>+D109-H109</f>
        <v>7392.0909874061472</v>
      </c>
      <c r="M109" s="16"/>
      <c r="N109" s="22">
        <f>IF(H109=0,0,L109/H109)</f>
        <v>0.22404995017539897</v>
      </c>
      <c r="O109" s="29"/>
      <c r="P109" s="20">
        <f>+P50-P52+P105</f>
        <v>175048.1599999996</v>
      </c>
      <c r="Q109" s="14"/>
      <c r="R109" s="22">
        <f>IF(P$12=0,0,P109/P$12)</f>
        <v>6.6375352464694254E-2</v>
      </c>
      <c r="S109" s="14"/>
      <c r="T109" s="20">
        <f>+T50-T52+T105</f>
        <v>211440.82399403999</v>
      </c>
      <c r="U109" s="14"/>
      <c r="V109" s="22">
        <f>IF(T$12=0,0,T109/T$12)</f>
        <v>8.4072867637058235E-2</v>
      </c>
      <c r="W109" s="16"/>
      <c r="X109" s="20">
        <f>+P109-T109</f>
        <v>-36392.663994040398</v>
      </c>
      <c r="Y109" s="16"/>
      <c r="Z109" s="22">
        <f>IF(T109=0,0,X109/T109)</f>
        <v>-0.1721174904003695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180243.05</v>
      </c>
      <c r="E111" s="4"/>
      <c r="F111" s="12">
        <f>IF(D$12=0,0,D111/D$12)</f>
        <v>2.7866067962433387</v>
      </c>
      <c r="G111" s="4"/>
      <c r="H111" s="4">
        <v>16960</v>
      </c>
      <c r="I111" s="4"/>
      <c r="J111" s="12">
        <f>IF(H$12=0,0,H111/H$12)</f>
        <v>5.5626984335231298E-2</v>
      </c>
      <c r="K111" s="4"/>
      <c r="L111" s="4">
        <f>+D111-H111</f>
        <v>163283.04999999999</v>
      </c>
      <c r="M111" s="4"/>
      <c r="N111" s="12">
        <f>IF(H111=0,0,L111/H111)</f>
        <v>9.6275383254716971</v>
      </c>
      <c r="O111" s="10"/>
      <c r="P111" s="4">
        <v>729975.69</v>
      </c>
      <c r="Q111" s="4"/>
      <c r="R111" s="12">
        <f>IF(P$12=0,0,P111/P$12)</f>
        <v>0.27679464733824394</v>
      </c>
      <c r="S111" s="4"/>
      <c r="T111" s="4">
        <v>424975</v>
      </c>
      <c r="U111" s="4"/>
      <c r="V111" s="12">
        <f>IF(T$12=0,0,T111/T$12)</f>
        <v>0.1689780915962848</v>
      </c>
      <c r="W111" s="4"/>
      <c r="X111" s="4">
        <f>+P111-T111</f>
        <v>305000.68999999994</v>
      </c>
      <c r="Y111" s="4"/>
      <c r="Z111" s="12">
        <f>IF(T111=0,0,X111/T111)</f>
        <v>0.71769089946467424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126</v>
      </c>
      <c r="C113" s="28"/>
      <c r="D113" s="34">
        <f>+D109-D111</f>
        <v>-139857.91</v>
      </c>
      <c r="E113" s="14"/>
      <c r="F113" s="35">
        <f>IF(D$12=0,0,D113/D$12)</f>
        <v>-2.1622414984344154</v>
      </c>
      <c r="G113" s="14"/>
      <c r="H113" s="34">
        <f>+H109-H111</f>
        <v>16033.049012593845</v>
      </c>
      <c r="I113" s="14"/>
      <c r="J113" s="35">
        <f>IF(H$12=0,0,H113/H$12)</f>
        <v>5.258668433193122E-2</v>
      </c>
      <c r="K113" s="16"/>
      <c r="L113" s="34">
        <f>D113-H113</f>
        <v>-155890.95901259384</v>
      </c>
      <c r="M113" s="16"/>
      <c r="N113" s="35">
        <f>IF(H113=0,0,L113/H113)</f>
        <v>-9.7231012572931448</v>
      </c>
      <c r="O113" s="29"/>
      <c r="P113" s="34">
        <f>+P109-P111</f>
        <v>-554927.53000000038</v>
      </c>
      <c r="Q113" s="14"/>
      <c r="R113" s="35">
        <f>IF(P$12=0,0,P113/P$12)</f>
        <v>-0.21041929487354971</v>
      </c>
      <c r="S113" s="14"/>
      <c r="T113" s="34">
        <f>+T109-T111</f>
        <v>-213534.17600596001</v>
      </c>
      <c r="U113" s="14"/>
      <c r="V113" s="35">
        <f>IF(T$12=0,0,T113/T$12)</f>
        <v>-8.4905223959226575E-2</v>
      </c>
      <c r="W113" s="16"/>
      <c r="X113" s="34">
        <f>P113-T113</f>
        <v>-341393.3539940404</v>
      </c>
      <c r="Y113" s="16"/>
      <c r="Z113" s="35">
        <f>IF(T113=0,0,X113/T113)</f>
        <v>1.5987761789687085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294</v>
      </c>
      <c r="C116" s="28"/>
      <c r="D116" s="33">
        <f>SUM(D113:D115)</f>
        <v>-139857.91</v>
      </c>
      <c r="E116" s="14"/>
      <c r="F116" s="31">
        <f>IF(D$12=0,0,D116/D$12)</f>
        <v>-2.1622414984344154</v>
      </c>
      <c r="G116" s="14"/>
      <c r="H116" s="33">
        <f>SUM(H113:H115)</f>
        <v>16033.049012593845</v>
      </c>
      <c r="I116" s="14"/>
      <c r="J116" s="31">
        <f>IF(H$12=0,0,H116/H$12)</f>
        <v>5.258668433193122E-2</v>
      </c>
      <c r="K116" s="16"/>
      <c r="L116" s="33">
        <f>+D116-H116</f>
        <v>-155890.95901259384</v>
      </c>
      <c r="M116" s="16"/>
      <c r="N116" s="31">
        <f>IF(H116=0,0,L116/H116)</f>
        <v>-9.7231012572931448</v>
      </c>
      <c r="O116" s="29"/>
      <c r="P116" s="33">
        <f>SUM(P113:P115)</f>
        <v>-554927.53000000038</v>
      </c>
      <c r="Q116" s="14"/>
      <c r="R116" s="31">
        <f>IF(P$12=0,0,P116/P$12)</f>
        <v>-0.21041929487354971</v>
      </c>
      <c r="S116" s="14"/>
      <c r="T116" s="33">
        <f>SUM(T113:T115)</f>
        <v>-213534.17600596001</v>
      </c>
      <c r="U116" s="14"/>
      <c r="V116" s="31">
        <f>IF(T$12=0,0,T116/T$12)</f>
        <v>-8.4905223959226575E-2</v>
      </c>
      <c r="W116" s="16"/>
      <c r="X116" s="33">
        <f>+P116-T116</f>
        <v>-341393.3539940404</v>
      </c>
      <c r="Y116" s="16"/>
      <c r="Z116" s="31">
        <f>IF(T116=0,0,X116/T116)</f>
        <v>1.5987761789687085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6">
        <v>44454.686112384261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5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63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","320", " - ", "Customer Service (old)")</f>
        <v>Department 320 - Customer Service (old)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6" si="0">IF(D$12=0,0,D14/D$12)</f>
        <v>0</v>
      </c>
      <c r="G14" s="4"/>
      <c r="H14" s="4">
        <f>SUM(OSRRefH16x_0)</f>
        <v>0</v>
      </c>
      <c r="I14" s="4"/>
      <c r="J14" s="12">
        <f t="shared" ref="J14:J16" si="1">IF(H$12=0,0,H14/H$12)</f>
        <v>0</v>
      </c>
      <c r="K14" s="4"/>
      <c r="L14" s="4">
        <f t="shared" ref="L14:L16" si="2">+D14-H14</f>
        <v>0</v>
      </c>
      <c r="M14" s="4"/>
      <c r="N14" s="12">
        <f t="shared" ref="N14:N16" si="3">IF(H14=0,0,L14/H14)</f>
        <v>0</v>
      </c>
      <c r="O14" s="10"/>
      <c r="P14" s="4">
        <f>SUM(OSRRefP16x_0)</f>
        <v>0</v>
      </c>
      <c r="Q14" s="4"/>
      <c r="R14" s="12">
        <f t="shared" ref="R14:R16" si="4">IF(P$12=0,0,P14/P$12)</f>
        <v>0</v>
      </c>
      <c r="S14" s="4"/>
      <c r="T14" s="4">
        <f>SUM(OSRRefT16x_0)</f>
        <v>0</v>
      </c>
      <c r="U14" s="4"/>
      <c r="V14" s="12">
        <f t="shared" ref="V14:V16" si="5">IF(T$12=0,0,T14/T$12)</f>
        <v>0</v>
      </c>
      <c r="W14" s="4"/>
      <c r="X14" s="4">
        <f t="shared" ref="X14:X16" si="6">+P14-T14</f>
        <v>0</v>
      </c>
      <c r="Y14" s="4"/>
      <c r="Z14" s="12">
        <f t="shared" ref="Z14:Z16" si="7">IF(T14=0,0,X14/T14)</f>
        <v>0</v>
      </c>
    </row>
    <row r="15" spans="1:26" s="24" customFormat="1" hidden="1" outlineLevel="1" x14ac:dyDescent="0.25">
      <c r="A15" s="44"/>
      <c r="B15" s="11" t="str">
        <f>CONCATENATE("          ", "5092", " - ", "PURCHASES @ COST-GRAD MERCH")</f>
        <v xml:space="preserve">          5092 - PURCHASES @ COST-GRAD MERCH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s="24" customFormat="1" hidden="1" outlineLevel="1" x14ac:dyDescent="0.25">
      <c r="A16" s="44"/>
      <c r="B16" s="11" t="str">
        <f>CONCATENATE("          ", "5592", " - ", "FREIGHT-IN-GRAD MERCH")</f>
        <v xml:space="preserve">          5592 - FREIGHT-IN-GRAD MERCH</v>
      </c>
      <c r="C16" s="11"/>
      <c r="D16" s="2"/>
      <c r="E16" s="2"/>
      <c r="F16" s="19">
        <f t="shared" si="0"/>
        <v>0</v>
      </c>
      <c r="G16" s="2"/>
      <c r="H16" s="2"/>
      <c r="I16" s="2"/>
      <c r="J16" s="19">
        <f t="shared" si="1"/>
        <v>0</v>
      </c>
      <c r="K16" s="2"/>
      <c r="L16" s="2">
        <f t="shared" si="2"/>
        <v>0</v>
      </c>
      <c r="M16" s="2"/>
      <c r="N16" s="19">
        <f t="shared" si="3"/>
        <v>0</v>
      </c>
      <c r="O16" s="11"/>
      <c r="P16" s="2">
        <v>0</v>
      </c>
      <c r="Q16" s="2"/>
      <c r="R16" s="19">
        <f t="shared" si="4"/>
        <v>0</v>
      </c>
      <c r="S16" s="2"/>
      <c r="T16" s="2"/>
      <c r="U16" s="2"/>
      <c r="V16" s="19">
        <f t="shared" si="5"/>
        <v>0</v>
      </c>
      <c r="W16" s="2"/>
      <c r="X16" s="2">
        <f t="shared" si="6"/>
        <v>0</v>
      </c>
      <c r="Y16" s="2"/>
      <c r="Z16" s="19">
        <f t="shared" si="7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D12-D14</f>
        <v>0</v>
      </c>
      <c r="E18" s="14"/>
      <c r="F18" s="22">
        <f>IF(D$12=0,0,D18/D$12)</f>
        <v>0</v>
      </c>
      <c r="G18" s="14"/>
      <c r="H18" s="20">
        <f>H12-H14</f>
        <v>0</v>
      </c>
      <c r="I18" s="14"/>
      <c r="J18" s="22">
        <f>IF(H$12=0,0,H18/H$12)</f>
        <v>0</v>
      </c>
      <c r="K18" s="16"/>
      <c r="L18" s="20">
        <f>+D18-H18</f>
        <v>0</v>
      </c>
      <c r="M18" s="16"/>
      <c r="N18" s="22">
        <f>IF(H18=0,0,L18/H18)</f>
        <v>0</v>
      </c>
      <c r="O18" s="29"/>
      <c r="P18" s="20">
        <f>P12-P14</f>
        <v>0</v>
      </c>
      <c r="Q18" s="14"/>
      <c r="R18" s="22">
        <f>IF(P$12=0,0,P18/P$12)</f>
        <v>0</v>
      </c>
      <c r="S18" s="14"/>
      <c r="T18" s="20">
        <f>T12-T14</f>
        <v>0</v>
      </c>
      <c r="U18" s="14"/>
      <c r="V18" s="22">
        <f>IF(T$12=0,0,T18/T$12)</f>
        <v>0</v>
      </c>
      <c r="W18" s="16"/>
      <c r="X18" s="20">
        <f>+P18-T18</f>
        <v>0</v>
      </c>
      <c r="Y18" s="16"/>
      <c r="Z18" s="22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>
        <f>SUM(OSRRefD22x_0)</f>
        <v>0</v>
      </c>
      <c r="E20" s="21"/>
      <c r="F20" s="30">
        <f t="shared" ref="F20:F23" si="8">IF(D$12=0,0,D20/D$12)</f>
        <v>0</v>
      </c>
      <c r="G20" s="21"/>
      <c r="H20" s="21">
        <f>SUM(OSRRefH22x_0)</f>
        <v>0</v>
      </c>
      <c r="I20" s="21"/>
      <c r="J20" s="30">
        <f t="shared" ref="J20:J23" si="9">IF(H$12=0,0,H20/H$12)</f>
        <v>0</v>
      </c>
      <c r="K20" s="4"/>
      <c r="L20" s="21">
        <f t="shared" ref="L20:L23" si="10">+D20-H20</f>
        <v>0</v>
      </c>
      <c r="M20" s="4"/>
      <c r="N20" s="30">
        <f t="shared" ref="N20:N23" si="11">IF(H20=0,0,L20/H20)</f>
        <v>0</v>
      </c>
      <c r="O20" s="10"/>
      <c r="P20" s="21">
        <f>SUM(OSRRefP22x_0)</f>
        <v>0</v>
      </c>
      <c r="Q20" s="21"/>
      <c r="R20" s="30">
        <f t="shared" ref="R20:R23" si="12">IF(P$12=0,0,P20/P$12)</f>
        <v>0</v>
      </c>
      <c r="S20" s="21"/>
      <c r="T20" s="21">
        <f>SUM(OSRRefT22x_0)</f>
        <v>0</v>
      </c>
      <c r="U20" s="21"/>
      <c r="V20" s="30">
        <f t="shared" ref="V20:V23" si="13">IF(T$12=0,0,T20/T$12)</f>
        <v>0</v>
      </c>
      <c r="W20" s="4"/>
      <c r="X20" s="21">
        <f t="shared" ref="X20:X23" si="14">+P20-T20</f>
        <v>0</v>
      </c>
      <c r="Y20" s="4"/>
      <c r="Z20" s="30">
        <f t="shared" ref="Z20:Z23" si="15">IF(T20=0,0,X20/T20)</f>
        <v>0</v>
      </c>
    </row>
    <row r="21" spans="1:26" s="27" customFormat="1" outlineLevel="1" collapsed="1" x14ac:dyDescent="0.25">
      <c r="A21" s="25"/>
      <c r="B21" s="13" t="str">
        <f>CONCATENATE("     ","Freight out/Postage                               ")</f>
        <v xml:space="preserve">     Freight out/Postage                               </v>
      </c>
      <c r="C21" s="13"/>
      <c r="D21" s="1">
        <f>SUM(OSRRefD22_0x_0)</f>
        <v>0</v>
      </c>
      <c r="E21" s="1"/>
      <c r="F21" s="5">
        <f t="shared" si="8"/>
        <v>0</v>
      </c>
      <c r="G21" s="1"/>
      <c r="H21" s="1">
        <f>SUM(OSRRefH22_0x_0)</f>
        <v>0</v>
      </c>
      <c r="I21" s="1"/>
      <c r="J21" s="5">
        <f t="shared" si="9"/>
        <v>0</v>
      </c>
      <c r="K21" s="1"/>
      <c r="L21" s="1">
        <f t="shared" si="10"/>
        <v>0</v>
      </c>
      <c r="M21" s="1"/>
      <c r="N21" s="5">
        <f t="shared" si="11"/>
        <v>0</v>
      </c>
      <c r="O21" s="13"/>
      <c r="P21" s="1">
        <f>SUM(OSRRefP22_0x_0)</f>
        <v>0</v>
      </c>
      <c r="Q21" s="1"/>
      <c r="R21" s="5">
        <f t="shared" si="12"/>
        <v>0</v>
      </c>
      <c r="S21" s="1"/>
      <c r="T21" s="1">
        <f>SUM(OSRRefT22_0x_0)</f>
        <v>0</v>
      </c>
      <c r="U21" s="1"/>
      <c r="V21" s="5">
        <f t="shared" si="13"/>
        <v>0</v>
      </c>
      <c r="W21" s="1"/>
      <c r="X21" s="1">
        <f t="shared" si="14"/>
        <v>0</v>
      </c>
      <c r="Y21" s="1"/>
      <c r="Z21" s="5">
        <f t="shared" si="15"/>
        <v>0</v>
      </c>
    </row>
    <row r="22" spans="1:26" s="24" customFormat="1" hidden="1" outlineLevel="2" x14ac:dyDescent="0.25">
      <c r="A22" s="26"/>
      <c r="B22" s="11" t="str">
        <f>CONCATENATE("          ", "6305", " - ", "FREIGHT OUT")</f>
        <v xml:space="preserve">          6305 - FREIGHT OUT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>
        <v>0</v>
      </c>
      <c r="Q22" s="2"/>
      <c r="R22" s="7">
        <f t="shared" si="12"/>
        <v>0</v>
      </c>
      <c r="S22" s="2"/>
      <c r="T22" s="6"/>
      <c r="U22" s="2"/>
      <c r="V22" s="7">
        <f t="shared" si="13"/>
        <v>0</v>
      </c>
      <c r="W22" s="2"/>
      <c r="X22" s="6">
        <f t="shared" si="14"/>
        <v>0</v>
      </c>
      <c r="Y22" s="2"/>
      <c r="Z22" s="7">
        <f t="shared" si="15"/>
        <v>0</v>
      </c>
    </row>
    <row r="23" spans="1:26" s="24" customFormat="1" hidden="1" outlineLevel="2" x14ac:dyDescent="0.25">
      <c r="A23" s="26"/>
      <c r="B23" s="11" t="str">
        <f>CONCATENATE("          ", "6307", " - ", "POSTAGE")</f>
        <v xml:space="preserve">          6307 - POSTAGE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0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0</v>
      </c>
      <c r="Y23" s="2"/>
      <c r="Z23" s="7">
        <f t="shared" si="15"/>
        <v>0</v>
      </c>
    </row>
    <row r="24" spans="1:26" s="27" customFormat="1" outlineLevel="1" collapsed="1" x14ac:dyDescent="0.25">
      <c r="A24" s="25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SUM(OSRRefD22_1x_0)</f>
        <v>0</v>
      </c>
      <c r="E24" s="1"/>
      <c r="F24" s="5">
        <f t="shared" ref="F24:F27" si="16">IF(D$12=0,0,D24/D$12)</f>
        <v>0</v>
      </c>
      <c r="G24" s="1"/>
      <c r="H24" s="1">
        <f>SUM(OSRRefH22_1x_0)</f>
        <v>0</v>
      </c>
      <c r="I24" s="1"/>
      <c r="J24" s="5">
        <f t="shared" ref="J24:J27" si="17">IF(H$12=0,0,H24/H$12)</f>
        <v>0</v>
      </c>
      <c r="K24" s="1"/>
      <c r="L24" s="1">
        <f t="shared" ref="L24:L27" si="18">+D24-H24</f>
        <v>0</v>
      </c>
      <c r="M24" s="1"/>
      <c r="N24" s="5">
        <f t="shared" ref="N24:N27" si="19">IF(H24=0,0,L24/H24)</f>
        <v>0</v>
      </c>
      <c r="O24" s="13"/>
      <c r="P24" s="1">
        <f>SUM(OSRRefP22_1x_0)</f>
        <v>0</v>
      </c>
      <c r="Q24" s="1"/>
      <c r="R24" s="5">
        <f t="shared" ref="R24:R27" si="20">IF(P$12=0,0,P24/P$12)</f>
        <v>0</v>
      </c>
      <c r="S24" s="1"/>
      <c r="T24" s="1">
        <f>SUM(OSRRefT22_1x_0)</f>
        <v>0</v>
      </c>
      <c r="U24" s="1"/>
      <c r="V24" s="5">
        <f t="shared" ref="V24:V27" si="21">IF(T$12=0,0,T24/T$12)</f>
        <v>0</v>
      </c>
      <c r="W24" s="1"/>
      <c r="X24" s="1">
        <f t="shared" ref="X24:X27" si="22">+P24-T24</f>
        <v>0</v>
      </c>
      <c r="Y24" s="1"/>
      <c r="Z24" s="5">
        <f t="shared" ref="Z24:Z27" si="23">IF(T24=0,0,X24/T24)</f>
        <v>0</v>
      </c>
    </row>
    <row r="25" spans="1:26" s="24" customFormat="1" hidden="1" outlineLevel="2" x14ac:dyDescent="0.25">
      <c r="A25" s="26"/>
      <c r="B25" s="11" t="str">
        <f>CONCATENATE("          ", "6247", " - ", "STORE SUPPLIES")</f>
        <v xml:space="preserve">          6247 - STORE SUPPLIES</v>
      </c>
      <c r="C25" s="11"/>
      <c r="D25" s="6"/>
      <c r="E25" s="2"/>
      <c r="F25" s="7">
        <f t="shared" si="16"/>
        <v>0</v>
      </c>
      <c r="G25" s="2"/>
      <c r="H25" s="6"/>
      <c r="I25" s="2"/>
      <c r="J25" s="7">
        <f t="shared" si="17"/>
        <v>0</v>
      </c>
      <c r="K25" s="2"/>
      <c r="L25" s="6">
        <f t="shared" si="18"/>
        <v>0</v>
      </c>
      <c r="M25" s="2"/>
      <c r="N25" s="7">
        <f t="shared" si="19"/>
        <v>0</v>
      </c>
      <c r="O25" s="11"/>
      <c r="P25" s="6">
        <v>0</v>
      </c>
      <c r="Q25" s="2"/>
      <c r="R25" s="7">
        <f t="shared" si="20"/>
        <v>0</v>
      </c>
      <c r="S25" s="2"/>
      <c r="T25" s="6"/>
      <c r="U25" s="2"/>
      <c r="V25" s="7">
        <f t="shared" si="21"/>
        <v>0</v>
      </c>
      <c r="W25" s="2"/>
      <c r="X25" s="6">
        <f t="shared" si="22"/>
        <v>0</v>
      </c>
      <c r="Y25" s="2"/>
      <c r="Z25" s="7">
        <f t="shared" si="23"/>
        <v>0</v>
      </c>
    </row>
    <row r="26" spans="1:26" s="27" customFormat="1" outlineLevel="1" collapsed="1" x14ac:dyDescent="0.25">
      <c r="A26" s="25"/>
      <c r="B26" s="13" t="str">
        <f>CONCATENATE("     ","Telephone/Data Lines                              ")</f>
        <v xml:space="preserve">     Telephone/Data Lines                              </v>
      </c>
      <c r="C26" s="13"/>
      <c r="D26" s="1">
        <f>SUM(OSRRefD22_2x_0)</f>
        <v>0</v>
      </c>
      <c r="E26" s="1"/>
      <c r="F26" s="5">
        <f t="shared" si="16"/>
        <v>0</v>
      </c>
      <c r="G26" s="1"/>
      <c r="H26" s="1">
        <f>SUM(OSRRefH22_2x_0)</f>
        <v>0</v>
      </c>
      <c r="I26" s="1"/>
      <c r="J26" s="5">
        <f t="shared" si="17"/>
        <v>0</v>
      </c>
      <c r="K26" s="1"/>
      <c r="L26" s="1">
        <f t="shared" si="18"/>
        <v>0</v>
      </c>
      <c r="M26" s="1"/>
      <c r="N26" s="5">
        <f t="shared" si="19"/>
        <v>0</v>
      </c>
      <c r="O26" s="13"/>
      <c r="P26" s="1">
        <f>SUM(OSRRefP22_2x_0)</f>
        <v>0</v>
      </c>
      <c r="Q26" s="1"/>
      <c r="R26" s="5">
        <f t="shared" si="20"/>
        <v>0</v>
      </c>
      <c r="S26" s="1"/>
      <c r="T26" s="1">
        <f>SUM(OSRRefT22_2x_0)</f>
        <v>0</v>
      </c>
      <c r="U26" s="1"/>
      <c r="V26" s="5">
        <f t="shared" si="21"/>
        <v>0</v>
      </c>
      <c r="W26" s="1"/>
      <c r="X26" s="1">
        <f t="shared" si="22"/>
        <v>0</v>
      </c>
      <c r="Y26" s="1"/>
      <c r="Z26" s="5">
        <f t="shared" si="23"/>
        <v>0</v>
      </c>
    </row>
    <row r="27" spans="1:26" s="24" customFormat="1" hidden="1" outlineLevel="2" x14ac:dyDescent="0.25">
      <c r="A27" s="26"/>
      <c r="B27" s="11" t="str">
        <f>CONCATENATE("          ", "6309", " - ", "TELEPHONE")</f>
        <v xml:space="preserve">          6309 - TELEPHONE</v>
      </c>
      <c r="C27" s="11"/>
      <c r="D27" s="6"/>
      <c r="E27" s="2"/>
      <c r="F27" s="7">
        <f t="shared" si="16"/>
        <v>0</v>
      </c>
      <c r="G27" s="2"/>
      <c r="H27" s="6"/>
      <c r="I27" s="2"/>
      <c r="J27" s="7">
        <f t="shared" si="17"/>
        <v>0</v>
      </c>
      <c r="K27" s="2"/>
      <c r="L27" s="6">
        <f t="shared" si="18"/>
        <v>0</v>
      </c>
      <c r="M27" s="2"/>
      <c r="N27" s="7">
        <f t="shared" si="19"/>
        <v>0</v>
      </c>
      <c r="O27" s="11"/>
      <c r="P27" s="6">
        <v>0</v>
      </c>
      <c r="Q27" s="2"/>
      <c r="R27" s="7">
        <f t="shared" si="20"/>
        <v>0</v>
      </c>
      <c r="S27" s="2"/>
      <c r="T27" s="6"/>
      <c r="U27" s="2"/>
      <c r="V27" s="7">
        <f t="shared" si="21"/>
        <v>0</v>
      </c>
      <c r="W27" s="2"/>
      <c r="X27" s="6">
        <f t="shared" si="22"/>
        <v>0</v>
      </c>
      <c r="Y27" s="2"/>
      <c r="Z27" s="7">
        <f t="shared" si="23"/>
        <v>0</v>
      </c>
    </row>
    <row r="28" spans="1:26" s="61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25">
      <c r="A29" s="10"/>
      <c r="B29" s="29" t="s">
        <v>293</v>
      </c>
      <c r="C29" s="10"/>
      <c r="D29" s="4">
        <f>SUM(OSRRefD25x_0)</f>
        <v>0</v>
      </c>
      <c r="E29" s="4"/>
      <c r="F29" s="12">
        <f t="shared" ref="F29:F30" si="24">IF(D$12=0,0,D29/D$12)</f>
        <v>0</v>
      </c>
      <c r="G29" s="4"/>
      <c r="H29" s="4">
        <f>SUM(OSRRefH25x_0)</f>
        <v>0</v>
      </c>
      <c r="I29" s="4"/>
      <c r="J29" s="12">
        <f t="shared" ref="J29:J30" si="25">IF(H$12=0,0,H29/H$12)</f>
        <v>0</v>
      </c>
      <c r="K29" s="4"/>
      <c r="L29" s="4">
        <f t="shared" ref="L29:L30" si="26">+D29-H29</f>
        <v>0</v>
      </c>
      <c r="M29" s="4"/>
      <c r="N29" s="12">
        <f t="shared" ref="N29:N30" si="27">IF(H29=0,0,L29/H29)</f>
        <v>0</v>
      </c>
      <c r="O29" s="10"/>
      <c r="P29" s="4">
        <f>SUM(OSRRefP25x_0)</f>
        <v>0</v>
      </c>
      <c r="Q29" s="4"/>
      <c r="R29" s="12">
        <f t="shared" ref="R29:R30" si="28">IF(P$12=0,0,P29/P$12)</f>
        <v>0</v>
      </c>
      <c r="S29" s="4"/>
      <c r="T29" s="4">
        <f>SUM(OSRRefT25x_0)</f>
        <v>0</v>
      </c>
      <c r="U29" s="4"/>
      <c r="V29" s="12">
        <f t="shared" ref="V29:V30" si="29">IF(T$12=0,0,T29/T$12)</f>
        <v>0</v>
      </c>
      <c r="W29" s="4"/>
      <c r="X29" s="4">
        <f t="shared" ref="X29:X30" si="30">+P29-T29</f>
        <v>0</v>
      </c>
      <c r="Y29" s="4"/>
      <c r="Z29" s="12">
        <f t="shared" ref="Z29:Z30" si="31">IF(T29=0,0,X29/T29)</f>
        <v>0</v>
      </c>
    </row>
    <row r="30" spans="1:26" s="24" customFormat="1" hidden="1" outlineLevel="1" x14ac:dyDescent="0.25">
      <c r="A30" s="44"/>
      <c r="B30" s="11" t="str">
        <f>CONCATENATE("          ", "9163", " - ", "MISC. INCOME")</f>
        <v xml:space="preserve">          9163 - MISC. INCOME</v>
      </c>
      <c r="C30" s="11"/>
      <c r="D30" s="2">
        <f>0</f>
        <v>0</v>
      </c>
      <c r="E30" s="2"/>
      <c r="F30" s="19">
        <f t="shared" si="24"/>
        <v>0</v>
      </c>
      <c r="G30" s="2"/>
      <c r="H30" s="2"/>
      <c r="I30" s="2"/>
      <c r="J30" s="19">
        <f t="shared" si="25"/>
        <v>0</v>
      </c>
      <c r="K30" s="2"/>
      <c r="L30" s="2">
        <f t="shared" si="26"/>
        <v>0</v>
      </c>
      <c r="M30" s="2"/>
      <c r="N30" s="19">
        <f t="shared" si="27"/>
        <v>0</v>
      </c>
      <c r="O30" s="11"/>
      <c r="P30" s="2">
        <f>0</f>
        <v>0</v>
      </c>
      <c r="Q30" s="2"/>
      <c r="R30" s="19">
        <f t="shared" si="28"/>
        <v>0</v>
      </c>
      <c r="S30" s="2"/>
      <c r="T30" s="2"/>
      <c r="U30" s="2"/>
      <c r="V30" s="19">
        <f t="shared" si="29"/>
        <v>0</v>
      </c>
      <c r="W30" s="2"/>
      <c r="X30" s="2">
        <f t="shared" si="30"/>
        <v>0</v>
      </c>
      <c r="Y30" s="2"/>
      <c r="Z30" s="19">
        <f t="shared" si="31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277</v>
      </c>
      <c r="C32" s="28"/>
      <c r="D32" s="20">
        <f>+D18-D20+D29</f>
        <v>0</v>
      </c>
      <c r="E32" s="14"/>
      <c r="F32" s="22">
        <f>IF(D$12=0,0,D32/D$12)</f>
        <v>0</v>
      </c>
      <c r="G32" s="14"/>
      <c r="H32" s="20">
        <f>+H18-H20+H29</f>
        <v>0</v>
      </c>
      <c r="I32" s="14"/>
      <c r="J32" s="22">
        <f>IF(H$12=0,0,H32/H$12)</f>
        <v>0</v>
      </c>
      <c r="K32" s="16"/>
      <c r="L32" s="20">
        <f>+D32-H32</f>
        <v>0</v>
      </c>
      <c r="M32" s="16"/>
      <c r="N32" s="22">
        <f>IF(H32=0,0,L32/H32)</f>
        <v>0</v>
      </c>
      <c r="O32" s="29"/>
      <c r="P32" s="20">
        <f>+P18-P20+P29</f>
        <v>0</v>
      </c>
      <c r="Q32" s="14"/>
      <c r="R32" s="22">
        <f>IF(P$12=0,0,P32/P$12)</f>
        <v>0</v>
      </c>
      <c r="S32" s="14"/>
      <c r="T32" s="20">
        <f>+T18-T20+T29</f>
        <v>0</v>
      </c>
      <c r="U32" s="14"/>
      <c r="V32" s="22">
        <f>IF(T$12=0,0,T32/T$12)</f>
        <v>0</v>
      </c>
      <c r="W32" s="16"/>
      <c r="X32" s="20">
        <f>+P32-T32</f>
        <v>0</v>
      </c>
      <c r="Y32" s="16"/>
      <c r="Z32" s="22">
        <f>IF(T32=0,0,X32/T32)</f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128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126</v>
      </c>
      <c r="C36" s="28"/>
      <c r="D36" s="34">
        <f>+D32-D34</f>
        <v>0</v>
      </c>
      <c r="E36" s="14"/>
      <c r="F36" s="35">
        <f>IF(D$12=0,0,D36/D$12)</f>
        <v>0</v>
      </c>
      <c r="G36" s="14"/>
      <c r="H36" s="34">
        <f>+H32-H34</f>
        <v>0</v>
      </c>
      <c r="I36" s="14"/>
      <c r="J36" s="35">
        <f>IF(H$12=0,0,H36/H$12)</f>
        <v>0</v>
      </c>
      <c r="K36" s="16"/>
      <c r="L36" s="34">
        <f>D36-H36</f>
        <v>0</v>
      </c>
      <c r="M36" s="16"/>
      <c r="N36" s="35">
        <f>IF(H36=0,0,L36/H36)</f>
        <v>0</v>
      </c>
      <c r="O36" s="29"/>
      <c r="P36" s="34">
        <f>+P32-P34</f>
        <v>0</v>
      </c>
      <c r="Q36" s="14"/>
      <c r="R36" s="35">
        <f>IF(P$12=0,0,P36/P$12)</f>
        <v>0</v>
      </c>
      <c r="S36" s="14"/>
      <c r="T36" s="34">
        <f>+T32-T34</f>
        <v>0</v>
      </c>
      <c r="U36" s="14"/>
      <c r="V36" s="35">
        <f>IF(T$12=0,0,T36/T$12)</f>
        <v>0</v>
      </c>
      <c r="W36" s="16"/>
      <c r="X36" s="34">
        <f>P36-T36</f>
        <v>0</v>
      </c>
      <c r="Y36" s="16"/>
      <c r="Z36" s="35">
        <f>IF(T36=0,0,X36/T36)</f>
        <v>0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294</v>
      </c>
      <c r="C39" s="28"/>
      <c r="D39" s="33">
        <f>SUM(D36:D38)</f>
        <v>0</v>
      </c>
      <c r="E39" s="14"/>
      <c r="F39" s="31">
        <f>IF(D$12=0,0,D39/D$12)</f>
        <v>0</v>
      </c>
      <c r="G39" s="14"/>
      <c r="H39" s="33">
        <f>SUM(H36:H38)</f>
        <v>0</v>
      </c>
      <c r="I39" s="14"/>
      <c r="J39" s="31">
        <f>IF(H$12=0,0,H39/H$12)</f>
        <v>0</v>
      </c>
      <c r="K39" s="16"/>
      <c r="L39" s="33">
        <f>+D39-H39</f>
        <v>0</v>
      </c>
      <c r="M39" s="16"/>
      <c r="N39" s="31">
        <f>IF(H39=0,0,L39/H39)</f>
        <v>0</v>
      </c>
      <c r="O39" s="29"/>
      <c r="P39" s="33">
        <f>SUM(P36:P38)</f>
        <v>0</v>
      </c>
      <c r="Q39" s="14"/>
      <c r="R39" s="31">
        <f>IF(P$12=0,0,P39/P$12)</f>
        <v>0</v>
      </c>
      <c r="S39" s="14"/>
      <c r="T39" s="33">
        <f>SUM(T36:T38)</f>
        <v>0</v>
      </c>
      <c r="U39" s="14"/>
      <c r="V39" s="31">
        <f>IF(T$12=0,0,T39/T$12)</f>
        <v>0</v>
      </c>
      <c r="W39" s="16"/>
      <c r="X39" s="33">
        <f>+P39-T39</f>
        <v>0</v>
      </c>
      <c r="Y39" s="16"/>
      <c r="Z39" s="31">
        <f>IF(T39=0,0,X39/T39)</f>
        <v>0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6">
        <v>44454.686112384261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5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3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34.049999999999997</v>
      </c>
      <c r="E12" s="4"/>
      <c r="F12" s="12"/>
      <c r="G12" s="4"/>
      <c r="H12" s="4">
        <f>SUM(OSRRefH13x_0)</f>
        <v>12245</v>
      </c>
      <c r="I12" s="4"/>
      <c r="J12" s="12"/>
      <c r="K12" s="4"/>
      <c r="L12" s="4">
        <f t="shared" ref="L12:L20" si="0">+D12-H12</f>
        <v>-12210.95</v>
      </c>
      <c r="M12" s="4"/>
      <c r="N12" s="12">
        <f t="shared" ref="N12:N20" si="1">IF(H12=0,0,L12/H12)</f>
        <v>-0.99721927317272363</v>
      </c>
      <c r="O12" s="10"/>
      <c r="P12" s="4">
        <f>SUM(OSRRefP13x_0)</f>
        <v>2910.9700000000003</v>
      </c>
      <c r="Q12" s="4"/>
      <c r="R12" s="12"/>
      <c r="S12" s="4"/>
      <c r="T12" s="4">
        <f>SUM(OSRRefT13x_0)</f>
        <v>612469</v>
      </c>
      <c r="U12" s="4"/>
      <c r="V12" s="12"/>
      <c r="W12" s="4"/>
      <c r="X12" s="4">
        <f t="shared" ref="X12:X20" si="2">+P12-T12</f>
        <v>-609558.03</v>
      </c>
      <c r="Y12" s="4"/>
      <c r="Z12" s="12">
        <f t="shared" ref="Z12:Z20" si="3">IF(T12=0,0,X12/T12)</f>
        <v>-0.99524715536623087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9" si="4">0</f>
        <v>0</v>
      </c>
      <c r="E13" s="2"/>
      <c r="F13" s="19"/>
      <c r="G13" s="2"/>
      <c r="H13" s="2">
        <v>1176</v>
      </c>
      <c r="I13" s="2"/>
      <c r="J13" s="19"/>
      <c r="K13" s="2"/>
      <c r="L13" s="2">
        <f t="shared" si="0"/>
        <v>-1176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49912</v>
      </c>
      <c r="U13" s="2"/>
      <c r="V13" s="19"/>
      <c r="W13" s="2"/>
      <c r="X13" s="2">
        <f t="shared" si="2"/>
        <v>-49912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11069</v>
      </c>
      <c r="I16" s="2"/>
      <c r="J16" s="19"/>
      <c r="K16" s="2"/>
      <c r="L16" s="2">
        <f t="shared" si="0"/>
        <v>-11069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v>562557</v>
      </c>
      <c r="U16" s="2"/>
      <c r="V16" s="19"/>
      <c r="W16" s="2"/>
      <c r="X16" s="2">
        <f t="shared" si="2"/>
        <v>-562557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--2031.88</f>
        <v>2031.88</v>
      </c>
      <c r="Q17" s="2"/>
      <c r="R17" s="19"/>
      <c r="S17" s="2"/>
      <c r="T17" s="2"/>
      <c r="U17" s="2"/>
      <c r="V17" s="19"/>
      <c r="W17" s="2"/>
      <c r="X17" s="2">
        <f t="shared" si="2"/>
        <v>2031.88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19" si="6"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/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--34.05</f>
        <v>34.049999999999997</v>
      </c>
      <c r="E20" s="2"/>
      <c r="F20" s="19"/>
      <c r="G20" s="2"/>
      <c r="H20" s="2"/>
      <c r="I20" s="2"/>
      <c r="J20" s="19"/>
      <c r="K20" s="2"/>
      <c r="L20" s="2">
        <f t="shared" si="0"/>
        <v>34.049999999999997</v>
      </c>
      <c r="M20" s="2"/>
      <c r="N20" s="19">
        <f t="shared" si="1"/>
        <v>0</v>
      </c>
      <c r="O20" s="11"/>
      <c r="P20" s="2">
        <f>--434.5</f>
        <v>434.5</v>
      </c>
      <c r="Q20" s="2"/>
      <c r="R20" s="19"/>
      <c r="S20" s="2"/>
      <c r="T20" s="2"/>
      <c r="U20" s="2"/>
      <c r="V20" s="19"/>
      <c r="W20" s="2"/>
      <c r="X20" s="2">
        <f t="shared" si="2"/>
        <v>434.5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257</v>
      </c>
      <c r="C22" s="10"/>
      <c r="D22" s="4">
        <f>SUM(OSRRefD16x_0)</f>
        <v>3949.52</v>
      </c>
      <c r="E22" s="4"/>
      <c r="F22" s="12">
        <f t="shared" ref="F22:F25" si="7">IF(D$12=0,0,D22/D$12)</f>
        <v>115.99177679882527</v>
      </c>
      <c r="G22" s="4"/>
      <c r="H22" s="4">
        <f>SUM(OSRRefH16x_0)</f>
        <v>5848</v>
      </c>
      <c r="I22" s="4"/>
      <c r="J22" s="12">
        <f t="shared" ref="J22:J25" si="8">IF(H$12=0,0,H22/H$12)</f>
        <v>0.47758268681094324</v>
      </c>
      <c r="K22" s="4"/>
      <c r="L22" s="4">
        <f t="shared" ref="L22:L25" si="9">+D22-H22</f>
        <v>-1898.48</v>
      </c>
      <c r="M22" s="4"/>
      <c r="N22" s="12">
        <f t="shared" ref="N22:N25" si="10">IF(H22=0,0,L22/H22)</f>
        <v>-0.32463748290013678</v>
      </c>
      <c r="O22" s="10"/>
      <c r="P22" s="4">
        <f>SUM(OSRRefP16x_0)</f>
        <v>32340.359999999997</v>
      </c>
      <c r="Q22" s="4"/>
      <c r="R22" s="12">
        <f t="shared" ref="R22:R25" si="11">IF(P$12=0,0,P22/P$12)</f>
        <v>11.109822499029532</v>
      </c>
      <c r="S22" s="4"/>
      <c r="T22" s="4">
        <f>SUM(OSRRefT16x_0)</f>
        <v>285885</v>
      </c>
      <c r="U22" s="4"/>
      <c r="V22" s="12">
        <f t="shared" ref="V22:V25" si="12">IF(T$12=0,0,T22/T$12)</f>
        <v>0.46677464492080417</v>
      </c>
      <c r="W22" s="4"/>
      <c r="X22" s="4">
        <f t="shared" ref="X22:X25" si="13">+P22-T22</f>
        <v>-253544.64</v>
      </c>
      <c r="Y22" s="4"/>
      <c r="Z22" s="12">
        <f t="shared" ref="Z22:Z25" si="14">IF(T22=0,0,X22/T22)</f>
        <v>-0.88687633139199329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7"/>
        <v>0</v>
      </c>
      <c r="G23" s="2"/>
      <c r="H23" s="2">
        <v>5848</v>
      </c>
      <c r="I23" s="2"/>
      <c r="J23" s="19">
        <f t="shared" si="8"/>
        <v>0.47758268681094324</v>
      </c>
      <c r="K23" s="2"/>
      <c r="L23" s="2">
        <f t="shared" si="9"/>
        <v>-5848</v>
      </c>
      <c r="M23" s="2"/>
      <c r="N23" s="19">
        <f t="shared" si="10"/>
        <v>-1</v>
      </c>
      <c r="O23" s="11"/>
      <c r="P23" s="2"/>
      <c r="Q23" s="2"/>
      <c r="R23" s="19">
        <f t="shared" si="11"/>
        <v>0</v>
      </c>
      <c r="S23" s="2"/>
      <c r="T23" s="2">
        <v>285885</v>
      </c>
      <c r="U23" s="2"/>
      <c r="V23" s="19">
        <f t="shared" si="12"/>
        <v>0.46677464492080417</v>
      </c>
      <c r="W23" s="2"/>
      <c r="X23" s="2">
        <f t="shared" si="13"/>
        <v>-285885</v>
      </c>
      <c r="Y23" s="2"/>
      <c r="Z23" s="19">
        <f t="shared" si="14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1487.52</v>
      </c>
      <c r="E24" s="2"/>
      <c r="F24" s="19">
        <f t="shared" si="7"/>
        <v>43.686343612334802</v>
      </c>
      <c r="G24" s="2"/>
      <c r="H24" s="2"/>
      <c r="I24" s="2"/>
      <c r="J24" s="19">
        <f t="shared" si="8"/>
        <v>0</v>
      </c>
      <c r="K24" s="2"/>
      <c r="L24" s="2">
        <f t="shared" si="9"/>
        <v>1487.52</v>
      </c>
      <c r="M24" s="2"/>
      <c r="N24" s="19">
        <f t="shared" si="10"/>
        <v>0</v>
      </c>
      <c r="O24" s="11"/>
      <c r="P24" s="2">
        <v>-1011.63</v>
      </c>
      <c r="Q24" s="2"/>
      <c r="R24" s="19">
        <f t="shared" si="11"/>
        <v>-0.34752333414634978</v>
      </c>
      <c r="S24" s="2"/>
      <c r="T24" s="2"/>
      <c r="U24" s="2"/>
      <c r="V24" s="19">
        <f t="shared" si="12"/>
        <v>0</v>
      </c>
      <c r="W24" s="2"/>
      <c r="X24" s="2">
        <f t="shared" si="13"/>
        <v>-1011.63</v>
      </c>
      <c r="Y24" s="2"/>
      <c r="Z24" s="19">
        <f t="shared" si="14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2462</v>
      </c>
      <c r="E25" s="2"/>
      <c r="F25" s="19">
        <f t="shared" si="7"/>
        <v>72.305433186490461</v>
      </c>
      <c r="G25" s="2"/>
      <c r="H25" s="2"/>
      <c r="I25" s="2"/>
      <c r="J25" s="19">
        <f t="shared" si="8"/>
        <v>0</v>
      </c>
      <c r="K25" s="2"/>
      <c r="L25" s="2">
        <f t="shared" si="9"/>
        <v>2462</v>
      </c>
      <c r="M25" s="2"/>
      <c r="N25" s="19">
        <f t="shared" si="10"/>
        <v>0</v>
      </c>
      <c r="O25" s="11"/>
      <c r="P25" s="2">
        <v>33351.99</v>
      </c>
      <c r="Q25" s="2"/>
      <c r="R25" s="19">
        <f t="shared" si="11"/>
        <v>11.45734583317588</v>
      </c>
      <c r="S25" s="2"/>
      <c r="T25" s="2"/>
      <c r="U25" s="2"/>
      <c r="V25" s="19">
        <f t="shared" si="12"/>
        <v>0</v>
      </c>
      <c r="W25" s="2"/>
      <c r="X25" s="2">
        <f t="shared" si="13"/>
        <v>33351.99</v>
      </c>
      <c r="Y25" s="2"/>
      <c r="Z25" s="19">
        <f t="shared" si="14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108</v>
      </c>
      <c r="C27" s="28"/>
      <c r="D27" s="20">
        <f>D12-D22</f>
        <v>-3915.47</v>
      </c>
      <c r="E27" s="14"/>
      <c r="F27" s="22">
        <f>IF(D$12=0,0,D27/D$12)</f>
        <v>-114.99177679882526</v>
      </c>
      <c r="G27" s="14"/>
      <c r="H27" s="20">
        <f>H12-H22</f>
        <v>6397</v>
      </c>
      <c r="I27" s="14"/>
      <c r="J27" s="22">
        <f>IF(H$12=0,0,H27/H$12)</f>
        <v>0.52241731318905671</v>
      </c>
      <c r="K27" s="16"/>
      <c r="L27" s="20">
        <f>+D27-H27</f>
        <v>-10312.469999999999</v>
      </c>
      <c r="M27" s="16"/>
      <c r="N27" s="22">
        <f>IF(H27=0,0,L27/H27)</f>
        <v>-1.6120790995779271</v>
      </c>
      <c r="O27" s="29"/>
      <c r="P27" s="20">
        <f>P12-P22</f>
        <v>-29429.389999999996</v>
      </c>
      <c r="Q27" s="14"/>
      <c r="R27" s="22">
        <f>IF(P$12=0,0,P27/P$12)</f>
        <v>-10.10982249902953</v>
      </c>
      <c r="S27" s="14"/>
      <c r="T27" s="20">
        <f>T12-T22</f>
        <v>326584</v>
      </c>
      <c r="U27" s="14"/>
      <c r="V27" s="22">
        <f>IF(T$12=0,0,T27/T$12)</f>
        <v>0.53322535507919588</v>
      </c>
      <c r="W27" s="16"/>
      <c r="X27" s="20">
        <f>+P27-T27</f>
        <v>-356013.39</v>
      </c>
      <c r="Y27" s="16"/>
      <c r="Z27" s="22">
        <f>IF(T27=0,0,X27/T27)</f>
        <v>-1.0901127734365432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295</v>
      </c>
      <c r="C29" s="10"/>
      <c r="D29" s="21">
        <f>SUM(OSRRefD22x_0)</f>
        <v>7493.9600000000009</v>
      </c>
      <c r="E29" s="21"/>
      <c r="F29" s="30">
        <f t="shared" ref="F29:F39" si="15">IF(D$12=0,0,D29/D$12)</f>
        <v>220.08693098384734</v>
      </c>
      <c r="G29" s="21"/>
      <c r="H29" s="21">
        <f>SUM(OSRRefH22x_0)</f>
        <v>39347.685568999994</v>
      </c>
      <c r="I29" s="21"/>
      <c r="J29" s="30">
        <f t="shared" ref="J29:J39" si="16">IF(H$12=0,0,H29/H$12)</f>
        <v>3.2133675434054711</v>
      </c>
      <c r="K29" s="4"/>
      <c r="L29" s="21">
        <f t="shared" ref="L29:L39" si="17">+D29-H29</f>
        <v>-31853.725568999995</v>
      </c>
      <c r="M29" s="4"/>
      <c r="N29" s="30">
        <f t="shared" ref="N29:N39" si="18">IF(H29=0,0,L29/H29)</f>
        <v>-0.80954508780805901</v>
      </c>
      <c r="O29" s="10"/>
      <c r="P29" s="21">
        <f>SUM(OSRRefP22x_0)</f>
        <v>255522.39000000004</v>
      </c>
      <c r="Q29" s="21"/>
      <c r="R29" s="30">
        <f t="shared" ref="R29:R39" si="19">IF(P$12=0,0,P29/P$12)</f>
        <v>87.779121736053625</v>
      </c>
      <c r="S29" s="21"/>
      <c r="T29" s="21">
        <f>SUM(OSRRefT22x_0)</f>
        <v>657404.5706944</v>
      </c>
      <c r="U29" s="21"/>
      <c r="V29" s="30">
        <f t="shared" ref="V29:V39" si="20">IF(T$12=0,0,T29/T$12)</f>
        <v>1.0733679103667289</v>
      </c>
      <c r="W29" s="4"/>
      <c r="X29" s="21">
        <f t="shared" ref="X29:X39" si="21">+P29-T29</f>
        <v>-401882.18069439998</v>
      </c>
      <c r="Y29" s="4"/>
      <c r="Z29" s="30">
        <f t="shared" ref="Z29:Z39" si="22">IF(T29=0,0,X29/T29)</f>
        <v>-0.6113163774780298</v>
      </c>
    </row>
    <row r="30" spans="1:26" s="27" customFormat="1" outlineLevel="1" collapsed="1" x14ac:dyDescent="0.25">
      <c r="A30" s="25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7157.6383690000002</v>
      </c>
      <c r="I30" s="1"/>
      <c r="J30" s="5">
        <f t="shared" si="16"/>
        <v>0.58453559567170277</v>
      </c>
      <c r="K30" s="1"/>
      <c r="L30" s="1">
        <f t="shared" si="17"/>
        <v>-7157.6383690000002</v>
      </c>
      <c r="M30" s="1"/>
      <c r="N30" s="5">
        <f t="shared" si="18"/>
        <v>-1</v>
      </c>
      <c r="O30" s="13"/>
      <c r="P30" s="1">
        <f>SUM(OSRRefP22_0x_0)</f>
        <v>35025.26</v>
      </c>
      <c r="Q30" s="1"/>
      <c r="R30" s="5">
        <f t="shared" si="19"/>
        <v>12.032161100938861</v>
      </c>
      <c r="S30" s="1"/>
      <c r="T30" s="1">
        <f>SUM(OSRRefT22_0x_0)</f>
        <v>92796.387494399998</v>
      </c>
      <c r="U30" s="1"/>
      <c r="V30" s="5">
        <f t="shared" si="20"/>
        <v>0.15151197447446318</v>
      </c>
      <c r="W30" s="1"/>
      <c r="X30" s="1">
        <f t="shared" si="21"/>
        <v>-57771.127494399996</v>
      </c>
      <c r="Y30" s="1"/>
      <c r="Z30" s="5">
        <f t="shared" si="22"/>
        <v>-0.62255793629775003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5"/>
        <v>0</v>
      </c>
      <c r="G31" s="2"/>
      <c r="H31" s="6">
        <v>985.28548499999999</v>
      </c>
      <c r="I31" s="2"/>
      <c r="J31" s="7">
        <f t="shared" si="16"/>
        <v>8.0464310739077172E-2</v>
      </c>
      <c r="K31" s="2"/>
      <c r="L31" s="6">
        <f t="shared" si="17"/>
        <v>-985.28548499999999</v>
      </c>
      <c r="M31" s="2"/>
      <c r="N31" s="7">
        <f t="shared" si="18"/>
        <v>-1</v>
      </c>
      <c r="O31" s="11"/>
      <c r="P31" s="6">
        <v>3909.68</v>
      </c>
      <c r="Q31" s="2"/>
      <c r="R31" s="7">
        <f t="shared" si="19"/>
        <v>1.3430849510644216</v>
      </c>
      <c r="S31" s="2"/>
      <c r="T31" s="6">
        <v>13422.618128399999</v>
      </c>
      <c r="U31" s="2"/>
      <c r="V31" s="7">
        <f t="shared" si="20"/>
        <v>2.1915587774075096E-2</v>
      </c>
      <c r="W31" s="2"/>
      <c r="X31" s="6">
        <f t="shared" si="21"/>
        <v>-9512.9381283999992</v>
      </c>
      <c r="Y31" s="2"/>
      <c r="Z31" s="7">
        <f t="shared" si="22"/>
        <v>-0.70872448559586332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5"/>
        <v>0</v>
      </c>
      <c r="G32" s="2"/>
      <c r="H32" s="6">
        <v>287.49813999999998</v>
      </c>
      <c r="I32" s="2"/>
      <c r="J32" s="7">
        <f t="shared" si="16"/>
        <v>2.3478819109840749E-2</v>
      </c>
      <c r="K32" s="2"/>
      <c r="L32" s="6">
        <f t="shared" si="17"/>
        <v>-287.49813999999998</v>
      </c>
      <c r="M32" s="2"/>
      <c r="N32" s="7">
        <f t="shared" si="18"/>
        <v>-1</v>
      </c>
      <c r="O32" s="11"/>
      <c r="P32" s="6">
        <v>830.67</v>
      </c>
      <c r="Q32" s="2"/>
      <c r="R32" s="7">
        <f t="shared" si="19"/>
        <v>0.28535848875117226</v>
      </c>
      <c r="S32" s="2"/>
      <c r="T32" s="6">
        <v>5481.7176099999997</v>
      </c>
      <c r="U32" s="2"/>
      <c r="V32" s="7">
        <f t="shared" si="20"/>
        <v>8.9501960262478586E-3</v>
      </c>
      <c r="W32" s="2"/>
      <c r="X32" s="6">
        <f t="shared" si="21"/>
        <v>-4651.0476099999996</v>
      </c>
      <c r="Y32" s="2"/>
      <c r="Z32" s="7">
        <f t="shared" si="22"/>
        <v>-0.84846537908398378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5"/>
        <v>0</v>
      </c>
      <c r="G33" s="2"/>
      <c r="H33" s="6">
        <v>3960</v>
      </c>
      <c r="I33" s="2"/>
      <c r="J33" s="7">
        <f t="shared" si="16"/>
        <v>0.32339730502245817</v>
      </c>
      <c r="K33" s="2"/>
      <c r="L33" s="6">
        <f t="shared" si="17"/>
        <v>-3960</v>
      </c>
      <c r="M33" s="2"/>
      <c r="N33" s="7">
        <f t="shared" si="18"/>
        <v>-1</v>
      </c>
      <c r="O33" s="11"/>
      <c r="P33" s="6">
        <v>18067.72</v>
      </c>
      <c r="Q33" s="2"/>
      <c r="R33" s="7">
        <f t="shared" si="19"/>
        <v>6.2067695647842474</v>
      </c>
      <c r="S33" s="2"/>
      <c r="T33" s="6">
        <v>47520</v>
      </c>
      <c r="U33" s="2"/>
      <c r="V33" s="7">
        <f t="shared" si="20"/>
        <v>7.758760035201781E-2</v>
      </c>
      <c r="W33" s="2"/>
      <c r="X33" s="6">
        <f t="shared" si="21"/>
        <v>-29452.28</v>
      </c>
      <c r="Y33" s="2"/>
      <c r="Z33" s="7">
        <f t="shared" si="22"/>
        <v>-0.61978703703703697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5"/>
        <v>0</v>
      </c>
      <c r="G34" s="2"/>
      <c r="H34" s="6">
        <v>40.405144</v>
      </c>
      <c r="I34" s="2"/>
      <c r="J34" s="7">
        <f t="shared" si="16"/>
        <v>3.2997259289505921E-3</v>
      </c>
      <c r="K34" s="2"/>
      <c r="L34" s="6">
        <f t="shared" si="17"/>
        <v>-40.405144</v>
      </c>
      <c r="M34" s="2"/>
      <c r="N34" s="7">
        <f t="shared" si="18"/>
        <v>-1</v>
      </c>
      <c r="O34" s="11"/>
      <c r="P34" s="6">
        <v>132.15</v>
      </c>
      <c r="Q34" s="2"/>
      <c r="R34" s="7">
        <f t="shared" si="19"/>
        <v>4.5397238721113578E-2</v>
      </c>
      <c r="S34" s="2"/>
      <c r="T34" s="6">
        <v>770.40355599999998</v>
      </c>
      <c r="U34" s="2"/>
      <c r="V34" s="7">
        <f t="shared" si="20"/>
        <v>1.2578653874726722E-3</v>
      </c>
      <c r="W34" s="2"/>
      <c r="X34" s="6">
        <f t="shared" si="21"/>
        <v>-638.253556</v>
      </c>
      <c r="Y34" s="2"/>
      <c r="Z34" s="7">
        <f t="shared" si="22"/>
        <v>-0.82846652384870356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5"/>
        <v>0</v>
      </c>
      <c r="G35" s="2"/>
      <c r="H35" s="6">
        <v>865.05679999999995</v>
      </c>
      <c r="I35" s="2"/>
      <c r="J35" s="7">
        <f t="shared" si="16"/>
        <v>7.0645716619028173E-2</v>
      </c>
      <c r="K35" s="2"/>
      <c r="L35" s="6">
        <f t="shared" si="17"/>
        <v>-865.05679999999995</v>
      </c>
      <c r="M35" s="2"/>
      <c r="N35" s="7">
        <f t="shared" si="18"/>
        <v>-1</v>
      </c>
      <c r="O35" s="11"/>
      <c r="P35" s="6">
        <v>5525.49</v>
      </c>
      <c r="Q35" s="2"/>
      <c r="R35" s="7">
        <f t="shared" si="19"/>
        <v>1.8981610940683</v>
      </c>
      <c r="S35" s="2"/>
      <c r="T35" s="6">
        <v>11059.7032</v>
      </c>
      <c r="U35" s="2"/>
      <c r="V35" s="7">
        <f t="shared" si="20"/>
        <v>1.8057572219981746E-2</v>
      </c>
      <c r="W35" s="2"/>
      <c r="X35" s="6">
        <f t="shared" si="21"/>
        <v>-5534.2132000000001</v>
      </c>
      <c r="Y35" s="2"/>
      <c r="Z35" s="7">
        <f t="shared" si="22"/>
        <v>-0.50039436863007325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5"/>
        <v>0</v>
      </c>
      <c r="G36" s="2"/>
      <c r="H36" s="6">
        <v>0</v>
      </c>
      <c r="I36" s="2"/>
      <c r="J36" s="7">
        <f t="shared" si="16"/>
        <v>0</v>
      </c>
      <c r="K36" s="2"/>
      <c r="L36" s="6">
        <f t="shared" si="17"/>
        <v>0</v>
      </c>
      <c r="M36" s="2"/>
      <c r="N36" s="7">
        <f t="shared" si="18"/>
        <v>0</v>
      </c>
      <c r="O36" s="11"/>
      <c r="P36" s="6"/>
      <c r="Q36" s="2"/>
      <c r="R36" s="7">
        <f t="shared" si="19"/>
        <v>0</v>
      </c>
      <c r="S36" s="2"/>
      <c r="T36" s="6">
        <v>0</v>
      </c>
      <c r="U36" s="2"/>
      <c r="V36" s="7">
        <f t="shared" si="20"/>
        <v>0</v>
      </c>
      <c r="W36" s="2"/>
      <c r="X36" s="6">
        <f t="shared" si="21"/>
        <v>0</v>
      </c>
      <c r="Y36" s="2"/>
      <c r="Z36" s="7">
        <f t="shared" si="22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5"/>
        <v>0</v>
      </c>
      <c r="G37" s="2"/>
      <c r="H37" s="6">
        <v>391.62</v>
      </c>
      <c r="I37" s="2"/>
      <c r="J37" s="7">
        <f t="shared" si="16"/>
        <v>3.1982033483054305E-2</v>
      </c>
      <c r="K37" s="2"/>
      <c r="L37" s="6">
        <f t="shared" si="17"/>
        <v>-391.62</v>
      </c>
      <c r="M37" s="2"/>
      <c r="N37" s="7">
        <f t="shared" si="18"/>
        <v>-1</v>
      </c>
      <c r="O37" s="11"/>
      <c r="P37" s="6">
        <v>3386</v>
      </c>
      <c r="Q37" s="2"/>
      <c r="R37" s="7">
        <f t="shared" si="19"/>
        <v>1.1631861544433642</v>
      </c>
      <c r="S37" s="2"/>
      <c r="T37" s="6">
        <v>4982.8999999999996</v>
      </c>
      <c r="U37" s="2"/>
      <c r="V37" s="7">
        <f t="shared" si="20"/>
        <v>8.1357587077876582E-3</v>
      </c>
      <c r="W37" s="2"/>
      <c r="X37" s="6">
        <f t="shared" si="21"/>
        <v>-1596.8999999999996</v>
      </c>
      <c r="Y37" s="2"/>
      <c r="Z37" s="7">
        <f t="shared" si="22"/>
        <v>-0.32047602801581404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5"/>
        <v>0</v>
      </c>
      <c r="G38" s="2"/>
      <c r="H38" s="6">
        <v>452.77280000000002</v>
      </c>
      <c r="I38" s="2"/>
      <c r="J38" s="7">
        <f t="shared" si="16"/>
        <v>3.697613719885668E-2</v>
      </c>
      <c r="K38" s="2"/>
      <c r="L38" s="6">
        <f t="shared" si="17"/>
        <v>-452.77280000000002</v>
      </c>
      <c r="M38" s="2"/>
      <c r="N38" s="7">
        <f t="shared" si="18"/>
        <v>-1</v>
      </c>
      <c r="O38" s="11"/>
      <c r="P38" s="6">
        <v>2447.1799999999998</v>
      </c>
      <c r="Q38" s="2"/>
      <c r="R38" s="7">
        <f t="shared" si="19"/>
        <v>0.84067510142667212</v>
      </c>
      <c r="S38" s="2"/>
      <c r="T38" s="6">
        <v>7459.0450000000001</v>
      </c>
      <c r="U38" s="2"/>
      <c r="V38" s="7">
        <f t="shared" si="20"/>
        <v>1.2178649041829056E-2</v>
      </c>
      <c r="W38" s="2"/>
      <c r="X38" s="6">
        <f t="shared" si="21"/>
        <v>-5011.8649999999998</v>
      </c>
      <c r="Y38" s="2"/>
      <c r="Z38" s="7">
        <f t="shared" si="22"/>
        <v>-0.67191778572189864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/>
      <c r="E39" s="2"/>
      <c r="F39" s="7">
        <f t="shared" si="15"/>
        <v>0</v>
      </c>
      <c r="G39" s="2"/>
      <c r="H39" s="6">
        <v>175</v>
      </c>
      <c r="I39" s="2"/>
      <c r="J39" s="7">
        <f t="shared" si="16"/>
        <v>1.4291547570436913E-2</v>
      </c>
      <c r="K39" s="2"/>
      <c r="L39" s="6">
        <f t="shared" si="17"/>
        <v>-175</v>
      </c>
      <c r="M39" s="2"/>
      <c r="N39" s="7">
        <f t="shared" si="18"/>
        <v>-1</v>
      </c>
      <c r="O39" s="11"/>
      <c r="P39" s="6">
        <v>726.37</v>
      </c>
      <c r="Q39" s="2"/>
      <c r="R39" s="7">
        <f t="shared" si="19"/>
        <v>0.24952850767957072</v>
      </c>
      <c r="S39" s="2"/>
      <c r="T39" s="6">
        <v>2100</v>
      </c>
      <c r="U39" s="2"/>
      <c r="V39" s="7">
        <f t="shared" si="20"/>
        <v>3.4287449650512924E-3</v>
      </c>
      <c r="W39" s="2"/>
      <c r="X39" s="6">
        <f t="shared" si="21"/>
        <v>-1373.63</v>
      </c>
      <c r="Y39" s="2"/>
      <c r="Z39" s="7">
        <f t="shared" si="22"/>
        <v>-0.65410952380952381</v>
      </c>
    </row>
    <row r="40" spans="1:26" s="27" customFormat="1" outlineLevel="1" collapsed="1" x14ac:dyDescent="0.25">
      <c r="A40" s="25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0</v>
      </c>
      <c r="E40" s="1"/>
      <c r="F40" s="5">
        <f t="shared" ref="F40:F50" si="23">IF(D$12=0,0,D40/D$12)</f>
        <v>0</v>
      </c>
      <c r="G40" s="1"/>
      <c r="H40" s="1">
        <f>SUM(OSRRefH22_1x_0)</f>
        <v>14696.047200000001</v>
      </c>
      <c r="I40" s="1"/>
      <c r="J40" s="5">
        <f t="shared" ref="J40:J50" si="24">IF(H$12=0,0,H40/H$12)</f>
        <v>1.2001671866067785</v>
      </c>
      <c r="K40" s="1"/>
      <c r="L40" s="1">
        <f t="shared" ref="L40:L50" si="25">+D40-H40</f>
        <v>-14696.047200000001</v>
      </c>
      <c r="M40" s="1"/>
      <c r="N40" s="5">
        <f t="shared" ref="N40:N50" si="26">IF(H40=0,0,L40/H40)</f>
        <v>-1</v>
      </c>
      <c r="O40" s="13"/>
      <c r="P40" s="1">
        <f>SUM(OSRRefP22_1x_0)</f>
        <v>41960.38</v>
      </c>
      <c r="Q40" s="1"/>
      <c r="R40" s="5">
        <f t="shared" ref="R40:R50" si="27">IF(P$12=0,0,P40/P$12)</f>
        <v>14.414569713875441</v>
      </c>
      <c r="S40" s="1"/>
      <c r="T40" s="1">
        <f>SUM(OSRRefT22_1x_0)</f>
        <v>285429.18320000003</v>
      </c>
      <c r="U40" s="1"/>
      <c r="V40" s="5">
        <f t="shared" ref="V40:V50" si="28">IF(T$12=0,0,T40/T$12)</f>
        <v>0.46603041655985861</v>
      </c>
      <c r="W40" s="1"/>
      <c r="X40" s="1">
        <f t="shared" ref="X40:X50" si="29">+P40-T40</f>
        <v>-243468.80320000002</v>
      </c>
      <c r="Y40" s="1"/>
      <c r="Z40" s="5">
        <f t="shared" ref="Z40:Z50" si="30">IF(T40=0,0,X40/T40)</f>
        <v>-0.85299197675032967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6"/>
      <c r="E41" s="2"/>
      <c r="F41" s="7">
        <f t="shared" si="23"/>
        <v>0</v>
      </c>
      <c r="G41" s="2"/>
      <c r="H41" s="6">
        <v>5287.7</v>
      </c>
      <c r="I41" s="2"/>
      <c r="J41" s="7">
        <f t="shared" si="24"/>
        <v>0.43182523478971008</v>
      </c>
      <c r="K41" s="2"/>
      <c r="L41" s="6">
        <f t="shared" si="25"/>
        <v>-5287.7</v>
      </c>
      <c r="M41" s="2"/>
      <c r="N41" s="7">
        <f t="shared" si="26"/>
        <v>-1</v>
      </c>
      <c r="O41" s="11"/>
      <c r="P41" s="6"/>
      <c r="Q41" s="2"/>
      <c r="R41" s="7">
        <f t="shared" si="27"/>
        <v>0</v>
      </c>
      <c r="S41" s="2"/>
      <c r="T41" s="6">
        <v>68740.100000000006</v>
      </c>
      <c r="U41" s="2"/>
      <c r="V41" s="7">
        <f t="shared" si="28"/>
        <v>0.11223441512958207</v>
      </c>
      <c r="W41" s="2"/>
      <c r="X41" s="6">
        <f t="shared" si="29"/>
        <v>-68740.100000000006</v>
      </c>
      <c r="Y41" s="2"/>
      <c r="Z41" s="7">
        <f t="shared" si="30"/>
        <v>-1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6"/>
      <c r="E42" s="2"/>
      <c r="F42" s="7">
        <f t="shared" si="23"/>
        <v>0</v>
      </c>
      <c r="G42" s="2"/>
      <c r="H42" s="6">
        <v>4043.52</v>
      </c>
      <c r="I42" s="2"/>
      <c r="J42" s="7">
        <f t="shared" si="24"/>
        <v>0.33021804818293182</v>
      </c>
      <c r="K42" s="2"/>
      <c r="L42" s="6">
        <f t="shared" si="25"/>
        <v>-4043.52</v>
      </c>
      <c r="M42" s="2"/>
      <c r="N42" s="7">
        <f t="shared" si="26"/>
        <v>-1</v>
      </c>
      <c r="O42" s="11"/>
      <c r="P42" s="6">
        <v>39828.42</v>
      </c>
      <c r="Q42" s="2"/>
      <c r="R42" s="7">
        <f t="shared" si="27"/>
        <v>13.682181540860949</v>
      </c>
      <c r="S42" s="2"/>
      <c r="T42" s="6">
        <v>50618.879999999997</v>
      </c>
      <c r="U42" s="2"/>
      <c r="V42" s="7">
        <f t="shared" si="28"/>
        <v>8.2647252350731212E-2</v>
      </c>
      <c r="W42" s="2"/>
      <c r="X42" s="6">
        <f t="shared" si="29"/>
        <v>-10790.46</v>
      </c>
      <c r="Y42" s="2"/>
      <c r="Z42" s="7">
        <f t="shared" si="30"/>
        <v>-0.21317065885298134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3"/>
        <v>0</v>
      </c>
      <c r="G43" s="2"/>
      <c r="H43" s="6">
        <v>0</v>
      </c>
      <c r="I43" s="2"/>
      <c r="J43" s="7">
        <f t="shared" si="24"/>
        <v>0</v>
      </c>
      <c r="K43" s="2"/>
      <c r="L43" s="6">
        <f t="shared" si="25"/>
        <v>0</v>
      </c>
      <c r="M43" s="2"/>
      <c r="N43" s="7">
        <f t="shared" si="26"/>
        <v>0</v>
      </c>
      <c r="O43" s="11"/>
      <c r="P43" s="6"/>
      <c r="Q43" s="2"/>
      <c r="R43" s="7">
        <f t="shared" si="27"/>
        <v>0</v>
      </c>
      <c r="S43" s="2"/>
      <c r="T43" s="6">
        <v>0</v>
      </c>
      <c r="U43" s="2"/>
      <c r="V43" s="7">
        <f t="shared" si="28"/>
        <v>0</v>
      </c>
      <c r="W43" s="2"/>
      <c r="X43" s="6">
        <f t="shared" si="29"/>
        <v>0</v>
      </c>
      <c r="Y43" s="2"/>
      <c r="Z43" s="7">
        <f t="shared" si="30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6"/>
      <c r="E44" s="2"/>
      <c r="F44" s="7">
        <f t="shared" si="23"/>
        <v>0</v>
      </c>
      <c r="G44" s="2"/>
      <c r="H44" s="6">
        <v>793.94</v>
      </c>
      <c r="I44" s="2"/>
      <c r="J44" s="7">
        <f t="shared" si="24"/>
        <v>6.4837893017558185E-2</v>
      </c>
      <c r="K44" s="2"/>
      <c r="L44" s="6">
        <f t="shared" si="25"/>
        <v>-793.94</v>
      </c>
      <c r="M44" s="2"/>
      <c r="N44" s="7">
        <f t="shared" si="26"/>
        <v>-1</v>
      </c>
      <c r="O44" s="11"/>
      <c r="P44" s="6"/>
      <c r="Q44" s="2"/>
      <c r="R44" s="7">
        <f t="shared" si="27"/>
        <v>0</v>
      </c>
      <c r="S44" s="2"/>
      <c r="T44" s="6">
        <v>43987.32</v>
      </c>
      <c r="U44" s="2"/>
      <c r="V44" s="7">
        <f t="shared" si="28"/>
        <v>7.1819667607666671E-2</v>
      </c>
      <c r="W44" s="2"/>
      <c r="X44" s="6">
        <f t="shared" si="29"/>
        <v>-43987.32</v>
      </c>
      <c r="Y44" s="2"/>
      <c r="Z44" s="7">
        <f t="shared" si="30"/>
        <v>-1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3"/>
        <v>0</v>
      </c>
      <c r="G45" s="2"/>
      <c r="H45" s="6">
        <v>2609.7800000000002</v>
      </c>
      <c r="I45" s="2"/>
      <c r="J45" s="7">
        <f t="shared" si="24"/>
        <v>0.21313025724785628</v>
      </c>
      <c r="K45" s="2"/>
      <c r="L45" s="6">
        <f t="shared" si="25"/>
        <v>-2609.7800000000002</v>
      </c>
      <c r="M45" s="2"/>
      <c r="N45" s="7">
        <f t="shared" si="26"/>
        <v>-1</v>
      </c>
      <c r="O45" s="11"/>
      <c r="P45" s="6">
        <v>2131.96</v>
      </c>
      <c r="Q45" s="2"/>
      <c r="R45" s="7">
        <f t="shared" si="27"/>
        <v>0.73238817301449344</v>
      </c>
      <c r="S45" s="2"/>
      <c r="T45" s="6">
        <v>51988.421999999999</v>
      </c>
      <c r="U45" s="2"/>
      <c r="V45" s="7">
        <f t="shared" si="28"/>
        <v>8.488335246355326E-2</v>
      </c>
      <c r="W45" s="2"/>
      <c r="X45" s="6">
        <f t="shared" si="29"/>
        <v>-49856.462</v>
      </c>
      <c r="Y45" s="2"/>
      <c r="Z45" s="7">
        <f t="shared" si="30"/>
        <v>-0.95899163856137049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0</v>
      </c>
      <c r="I46" s="2"/>
      <c r="J46" s="7">
        <f t="shared" si="24"/>
        <v>0</v>
      </c>
      <c r="K46" s="2"/>
      <c r="L46" s="6">
        <f t="shared" si="25"/>
        <v>0</v>
      </c>
      <c r="M46" s="2"/>
      <c r="N46" s="7">
        <f t="shared" si="26"/>
        <v>0</v>
      </c>
      <c r="O46" s="11"/>
      <c r="P46" s="6"/>
      <c r="Q46" s="2"/>
      <c r="R46" s="7">
        <f t="shared" si="27"/>
        <v>0</v>
      </c>
      <c r="S46" s="2"/>
      <c r="T46" s="6">
        <v>0</v>
      </c>
      <c r="U46" s="2"/>
      <c r="V46" s="7">
        <f t="shared" si="28"/>
        <v>0</v>
      </c>
      <c r="W46" s="2"/>
      <c r="X46" s="6">
        <f t="shared" si="29"/>
        <v>0</v>
      </c>
      <c r="Y46" s="2"/>
      <c r="Z46" s="7">
        <f t="shared" si="30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23"/>
        <v>0</v>
      </c>
      <c r="G47" s="2"/>
      <c r="H47" s="6">
        <v>1961.1071999999999</v>
      </c>
      <c r="I47" s="2"/>
      <c r="J47" s="7">
        <f t="shared" si="24"/>
        <v>0.16015575336872193</v>
      </c>
      <c r="K47" s="2"/>
      <c r="L47" s="6">
        <f t="shared" si="25"/>
        <v>-1961.1071999999999</v>
      </c>
      <c r="M47" s="2"/>
      <c r="N47" s="7">
        <f t="shared" si="26"/>
        <v>-1</v>
      </c>
      <c r="O47" s="11"/>
      <c r="P47" s="6">
        <v>0</v>
      </c>
      <c r="Q47" s="2"/>
      <c r="R47" s="7">
        <f t="shared" si="27"/>
        <v>0</v>
      </c>
      <c r="S47" s="2"/>
      <c r="T47" s="6">
        <v>2717.7071999999998</v>
      </c>
      <c r="U47" s="2"/>
      <c r="V47" s="7">
        <f t="shared" si="28"/>
        <v>4.4372975611826878E-3</v>
      </c>
      <c r="W47" s="2"/>
      <c r="X47" s="6">
        <f t="shared" si="29"/>
        <v>-2717.7071999999998</v>
      </c>
      <c r="Y47" s="2"/>
      <c r="Z47" s="7">
        <f t="shared" si="30"/>
        <v>-1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3"/>
        <v>0</v>
      </c>
      <c r="G48" s="2"/>
      <c r="H48" s="6">
        <v>0</v>
      </c>
      <c r="I48" s="2"/>
      <c r="J48" s="7">
        <f t="shared" si="24"/>
        <v>0</v>
      </c>
      <c r="K48" s="2"/>
      <c r="L48" s="6">
        <f t="shared" si="25"/>
        <v>0</v>
      </c>
      <c r="M48" s="2"/>
      <c r="N48" s="7">
        <f t="shared" si="26"/>
        <v>0</v>
      </c>
      <c r="O48" s="11"/>
      <c r="P48" s="6"/>
      <c r="Q48" s="2"/>
      <c r="R48" s="7">
        <f t="shared" si="27"/>
        <v>0</v>
      </c>
      <c r="S48" s="2"/>
      <c r="T48" s="6">
        <v>67376.754000000001</v>
      </c>
      <c r="U48" s="2"/>
      <c r="V48" s="7">
        <f t="shared" si="28"/>
        <v>0.11000843144714263</v>
      </c>
      <c r="W48" s="2"/>
      <c r="X48" s="6">
        <f t="shared" si="29"/>
        <v>-67376.754000000001</v>
      </c>
      <c r="Y48" s="2"/>
      <c r="Z48" s="7">
        <f t="shared" si="30"/>
        <v>-1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3"/>
        <v>0</v>
      </c>
      <c r="G49" s="2"/>
      <c r="H49" s="6">
        <v>0</v>
      </c>
      <c r="I49" s="2"/>
      <c r="J49" s="7">
        <f t="shared" si="24"/>
        <v>0</v>
      </c>
      <c r="K49" s="2"/>
      <c r="L49" s="6">
        <f t="shared" si="25"/>
        <v>0</v>
      </c>
      <c r="M49" s="2"/>
      <c r="N49" s="7">
        <f t="shared" si="26"/>
        <v>0</v>
      </c>
      <c r="O49" s="11"/>
      <c r="P49" s="6"/>
      <c r="Q49" s="2"/>
      <c r="R49" s="7">
        <f t="shared" si="27"/>
        <v>0</v>
      </c>
      <c r="S49" s="2"/>
      <c r="T49" s="6">
        <v>0</v>
      </c>
      <c r="U49" s="2"/>
      <c r="V49" s="7">
        <f t="shared" si="28"/>
        <v>0</v>
      </c>
      <c r="W49" s="2"/>
      <c r="X49" s="6">
        <f t="shared" si="29"/>
        <v>0</v>
      </c>
      <c r="Y49" s="2"/>
      <c r="Z49" s="7">
        <f t="shared" si="30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3"/>
        <v>0</v>
      </c>
      <c r="G50" s="2"/>
      <c r="H50" s="6">
        <v>0</v>
      </c>
      <c r="I50" s="2"/>
      <c r="J50" s="7">
        <f t="shared" si="24"/>
        <v>0</v>
      </c>
      <c r="K50" s="2"/>
      <c r="L50" s="6">
        <f t="shared" si="25"/>
        <v>0</v>
      </c>
      <c r="M50" s="2"/>
      <c r="N50" s="7">
        <f t="shared" si="26"/>
        <v>0</v>
      </c>
      <c r="O50" s="11"/>
      <c r="P50" s="6"/>
      <c r="Q50" s="2"/>
      <c r="R50" s="7">
        <f t="shared" si="27"/>
        <v>0</v>
      </c>
      <c r="S50" s="2"/>
      <c r="T50" s="6">
        <v>0</v>
      </c>
      <c r="U50" s="2"/>
      <c r="V50" s="7">
        <f t="shared" si="28"/>
        <v>0</v>
      </c>
      <c r="W50" s="2"/>
      <c r="X50" s="6">
        <f t="shared" si="29"/>
        <v>0</v>
      </c>
      <c r="Y50" s="2"/>
      <c r="Z50" s="7">
        <f t="shared" si="30"/>
        <v>0</v>
      </c>
    </row>
    <row r="51" spans="1:26" s="27" customFormat="1" outlineLevel="1" collapsed="1" x14ac:dyDescent="0.25">
      <c r="A51" s="25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0</v>
      </c>
      <c r="E51" s="1"/>
      <c r="F51" s="5">
        <f t="shared" ref="F51:F59" si="31">IF(D$12=0,0,D51/D$12)</f>
        <v>0</v>
      </c>
      <c r="G51" s="1"/>
      <c r="H51" s="1">
        <f>SUM(OSRRefH22_2x_0)</f>
        <v>100</v>
      </c>
      <c r="I51" s="1"/>
      <c r="J51" s="5">
        <f t="shared" ref="J51:J59" si="32">IF(H$12=0,0,H51/H$12)</f>
        <v>8.1665986116782364E-3</v>
      </c>
      <c r="K51" s="1"/>
      <c r="L51" s="1">
        <f t="shared" ref="L51:L59" si="33">+D51-H51</f>
        <v>-100</v>
      </c>
      <c r="M51" s="1"/>
      <c r="N51" s="5">
        <f t="shared" ref="N51:N59" si="34">IF(H51=0,0,L51/H51)</f>
        <v>-1</v>
      </c>
      <c r="O51" s="13"/>
      <c r="P51" s="1">
        <f>SUM(OSRRefP22_2x_0)</f>
        <v>0</v>
      </c>
      <c r="Q51" s="1"/>
      <c r="R51" s="5">
        <f t="shared" ref="R51:R59" si="35">IF(P$12=0,0,P51/P$12)</f>
        <v>0</v>
      </c>
      <c r="S51" s="1"/>
      <c r="T51" s="1">
        <f>SUM(OSRRefT22_2x_0)</f>
        <v>3649</v>
      </c>
      <c r="U51" s="1"/>
      <c r="V51" s="5">
        <f t="shared" ref="V51:V59" si="36">IF(T$12=0,0,T51/T$12)</f>
        <v>5.9578525607010312E-3</v>
      </c>
      <c r="W51" s="1"/>
      <c r="X51" s="1">
        <f t="shared" ref="X51:X59" si="37">+P51-T51</f>
        <v>-3649</v>
      </c>
      <c r="Y51" s="1"/>
      <c r="Z51" s="5">
        <f t="shared" ref="Z51:Z59" si="38">IF(T51=0,0,X51/T51)</f>
        <v>-1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31"/>
        <v>0</v>
      </c>
      <c r="G52" s="2"/>
      <c r="H52" s="6">
        <v>100</v>
      </c>
      <c r="I52" s="2"/>
      <c r="J52" s="7">
        <f t="shared" si="32"/>
        <v>8.1665986116782364E-3</v>
      </c>
      <c r="K52" s="2"/>
      <c r="L52" s="6">
        <f t="shared" si="33"/>
        <v>-100</v>
      </c>
      <c r="M52" s="2"/>
      <c r="N52" s="7">
        <f t="shared" si="34"/>
        <v>-1</v>
      </c>
      <c r="O52" s="11"/>
      <c r="P52" s="6"/>
      <c r="Q52" s="2"/>
      <c r="R52" s="7">
        <f t="shared" si="35"/>
        <v>0</v>
      </c>
      <c r="S52" s="2"/>
      <c r="T52" s="6">
        <v>3649</v>
      </c>
      <c r="U52" s="2"/>
      <c r="V52" s="7">
        <f t="shared" si="36"/>
        <v>5.9578525607010312E-3</v>
      </c>
      <c r="W52" s="2"/>
      <c r="X52" s="6">
        <f t="shared" si="37"/>
        <v>-3649</v>
      </c>
      <c r="Y52" s="2"/>
      <c r="Z52" s="7">
        <f t="shared" si="38"/>
        <v>-1</v>
      </c>
    </row>
    <row r="53" spans="1:26" s="27" customFormat="1" outlineLevel="1" collapsed="1" x14ac:dyDescent="0.25">
      <c r="A53" s="25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31"/>
        <v>0</v>
      </c>
      <c r="G53" s="1"/>
      <c r="H53" s="1">
        <f>SUM(OSRRefH22_3x_0)</f>
        <v>5</v>
      </c>
      <c r="I53" s="1"/>
      <c r="J53" s="5">
        <f t="shared" si="32"/>
        <v>4.0832993058391182E-4</v>
      </c>
      <c r="K53" s="1"/>
      <c r="L53" s="1">
        <f t="shared" si="33"/>
        <v>-5</v>
      </c>
      <c r="M53" s="1"/>
      <c r="N53" s="5">
        <f t="shared" si="34"/>
        <v>-1</v>
      </c>
      <c r="O53" s="13"/>
      <c r="P53" s="1">
        <f>SUM(OSRRefP22_3x_0)</f>
        <v>3.31</v>
      </c>
      <c r="Q53" s="1"/>
      <c r="R53" s="5">
        <f t="shared" si="35"/>
        <v>1.137078018667317E-3</v>
      </c>
      <c r="S53" s="1"/>
      <c r="T53" s="1">
        <f>SUM(OSRRefT22_3x_0)</f>
        <v>89</v>
      </c>
      <c r="U53" s="1"/>
      <c r="V53" s="5">
        <f t="shared" si="36"/>
        <v>1.4531347709026906E-4</v>
      </c>
      <c r="W53" s="1"/>
      <c r="X53" s="1">
        <f t="shared" si="37"/>
        <v>-85.69</v>
      </c>
      <c r="Y53" s="1"/>
      <c r="Z53" s="5">
        <f t="shared" si="38"/>
        <v>-0.96280898876404497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6"/>
      <c r="E54" s="2"/>
      <c r="F54" s="7">
        <f t="shared" si="31"/>
        <v>0</v>
      </c>
      <c r="G54" s="2"/>
      <c r="H54" s="6">
        <v>5</v>
      </c>
      <c r="I54" s="2"/>
      <c r="J54" s="7">
        <f t="shared" si="32"/>
        <v>4.0832993058391182E-4</v>
      </c>
      <c r="K54" s="2"/>
      <c r="L54" s="6">
        <f t="shared" si="33"/>
        <v>-5</v>
      </c>
      <c r="M54" s="2"/>
      <c r="N54" s="7">
        <f t="shared" si="34"/>
        <v>-1</v>
      </c>
      <c r="O54" s="11"/>
      <c r="P54" s="6">
        <v>3.31</v>
      </c>
      <c r="Q54" s="2"/>
      <c r="R54" s="7">
        <f t="shared" si="35"/>
        <v>1.137078018667317E-3</v>
      </c>
      <c r="S54" s="2"/>
      <c r="T54" s="6">
        <v>89</v>
      </c>
      <c r="U54" s="2"/>
      <c r="V54" s="7">
        <f t="shared" si="36"/>
        <v>1.4531347709026906E-4</v>
      </c>
      <c r="W54" s="2"/>
      <c r="X54" s="6">
        <f t="shared" si="37"/>
        <v>-85.69</v>
      </c>
      <c r="Y54" s="2"/>
      <c r="Z54" s="7">
        <f t="shared" si="38"/>
        <v>-0.96280898876404497</v>
      </c>
    </row>
    <row r="55" spans="1:26" s="27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100.01</v>
      </c>
      <c r="E55" s="1"/>
      <c r="F55" s="5">
        <f t="shared" si="31"/>
        <v>2.9371512481644646</v>
      </c>
      <c r="G55" s="1"/>
      <c r="H55" s="1">
        <f>SUM(OSRRefH22_4x_0)</f>
        <v>1458</v>
      </c>
      <c r="I55" s="1"/>
      <c r="J55" s="5">
        <f t="shared" si="32"/>
        <v>0.11906900775826867</v>
      </c>
      <c r="K55" s="1"/>
      <c r="L55" s="1">
        <f t="shared" si="33"/>
        <v>-1357.99</v>
      </c>
      <c r="M55" s="1"/>
      <c r="N55" s="5">
        <f t="shared" si="34"/>
        <v>-0.9314060356652949</v>
      </c>
      <c r="O55" s="13"/>
      <c r="P55" s="1">
        <f>SUM(OSRRefP22_4x_0)</f>
        <v>2567.7199999999998</v>
      </c>
      <c r="Q55" s="1"/>
      <c r="R55" s="5">
        <f t="shared" si="35"/>
        <v>0.88208397887989209</v>
      </c>
      <c r="S55" s="1"/>
      <c r="T55" s="1">
        <f>SUM(OSRRefT22_4x_0)</f>
        <v>48144</v>
      </c>
      <c r="U55" s="1"/>
      <c r="V55" s="5">
        <f t="shared" si="36"/>
        <v>7.8606427427347345E-2</v>
      </c>
      <c r="W55" s="1"/>
      <c r="X55" s="1">
        <f t="shared" si="37"/>
        <v>-45576.28</v>
      </c>
      <c r="Y55" s="1"/>
      <c r="Z55" s="5">
        <f t="shared" si="38"/>
        <v>-0.94666583582585573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100.01</v>
      </c>
      <c r="E56" s="2"/>
      <c r="F56" s="7">
        <f t="shared" si="31"/>
        <v>2.9371512481644646</v>
      </c>
      <c r="G56" s="2"/>
      <c r="H56" s="6">
        <v>1458</v>
      </c>
      <c r="I56" s="2"/>
      <c r="J56" s="7">
        <f t="shared" si="32"/>
        <v>0.11906900775826867</v>
      </c>
      <c r="K56" s="2"/>
      <c r="L56" s="6">
        <f t="shared" si="33"/>
        <v>-1357.99</v>
      </c>
      <c r="M56" s="2"/>
      <c r="N56" s="7">
        <f t="shared" si="34"/>
        <v>-0.9314060356652949</v>
      </c>
      <c r="O56" s="11"/>
      <c r="P56" s="6">
        <v>2567.7199999999998</v>
      </c>
      <c r="Q56" s="2"/>
      <c r="R56" s="7">
        <f t="shared" si="35"/>
        <v>0.88208397887989209</v>
      </c>
      <c r="S56" s="2"/>
      <c r="T56" s="6">
        <v>48144</v>
      </c>
      <c r="U56" s="2"/>
      <c r="V56" s="7">
        <f t="shared" si="36"/>
        <v>7.8606427427347345E-2</v>
      </c>
      <c r="W56" s="2"/>
      <c r="X56" s="6">
        <f t="shared" si="37"/>
        <v>-45576.28</v>
      </c>
      <c r="Y56" s="2"/>
      <c r="Z56" s="7">
        <f t="shared" si="38"/>
        <v>-0.94666583582585573</v>
      </c>
    </row>
    <row r="57" spans="1:26" s="27" customFormat="1" outlineLevel="1" collapsed="1" x14ac:dyDescent="0.25">
      <c r="A57" s="25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7260.7899999999991</v>
      </c>
      <c r="E57" s="1"/>
      <c r="F57" s="5">
        <f t="shared" si="31"/>
        <v>213.23906020558002</v>
      </c>
      <c r="G57" s="1"/>
      <c r="H57" s="1">
        <f>SUM(OSRRefH22_5x_0)</f>
        <v>8563</v>
      </c>
      <c r="I57" s="1"/>
      <c r="J57" s="5">
        <f t="shared" si="32"/>
        <v>0.69930583911800737</v>
      </c>
      <c r="K57" s="1"/>
      <c r="L57" s="1">
        <f t="shared" si="33"/>
        <v>-1302.2100000000009</v>
      </c>
      <c r="M57" s="1"/>
      <c r="N57" s="5">
        <f t="shared" si="34"/>
        <v>-0.15207403947214773</v>
      </c>
      <c r="O57" s="13"/>
      <c r="P57" s="1">
        <f>SUM(OSRRefP22_5x_0)</f>
        <v>108115.06</v>
      </c>
      <c r="Q57" s="1"/>
      <c r="R57" s="5">
        <f t="shared" si="35"/>
        <v>37.1405613936248</v>
      </c>
      <c r="S57" s="1"/>
      <c r="T57" s="1">
        <f>SUM(OSRRefT22_5x_0)</f>
        <v>103204</v>
      </c>
      <c r="U57" s="1"/>
      <c r="V57" s="5">
        <f t="shared" si="36"/>
        <v>0.16850485493959694</v>
      </c>
      <c r="W57" s="1"/>
      <c r="X57" s="1">
        <f t="shared" si="37"/>
        <v>4911.0599999999977</v>
      </c>
      <c r="Y57" s="1"/>
      <c r="Z57" s="5">
        <f t="shared" si="38"/>
        <v>4.758594628115187E-2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6">
        <v>5080.4799999999996</v>
      </c>
      <c r="E58" s="2"/>
      <c r="F58" s="7">
        <f t="shared" si="31"/>
        <v>149.20646108663729</v>
      </c>
      <c r="G58" s="2"/>
      <c r="H58" s="6"/>
      <c r="I58" s="2"/>
      <c r="J58" s="7">
        <f t="shared" si="32"/>
        <v>0</v>
      </c>
      <c r="K58" s="2"/>
      <c r="L58" s="6">
        <f t="shared" si="33"/>
        <v>5080.4799999999996</v>
      </c>
      <c r="M58" s="2"/>
      <c r="N58" s="7">
        <f t="shared" si="34"/>
        <v>0</v>
      </c>
      <c r="O58" s="11"/>
      <c r="P58" s="6">
        <v>60966.09</v>
      </c>
      <c r="Q58" s="2"/>
      <c r="R58" s="7">
        <f t="shared" si="35"/>
        <v>20.943565203351458</v>
      </c>
      <c r="S58" s="2"/>
      <c r="T58" s="6"/>
      <c r="U58" s="2"/>
      <c r="V58" s="7">
        <f t="shared" si="36"/>
        <v>0</v>
      </c>
      <c r="W58" s="2"/>
      <c r="X58" s="6">
        <f t="shared" si="37"/>
        <v>60966.09</v>
      </c>
      <c r="Y58" s="2"/>
      <c r="Z58" s="7">
        <f t="shared" si="38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2180.31</v>
      </c>
      <c r="E59" s="2"/>
      <c r="F59" s="7">
        <f t="shared" si="31"/>
        <v>64.032599118942741</v>
      </c>
      <c r="G59" s="2"/>
      <c r="H59" s="6">
        <v>8563</v>
      </c>
      <c r="I59" s="2"/>
      <c r="J59" s="7">
        <f t="shared" si="32"/>
        <v>0.69930583911800737</v>
      </c>
      <c r="K59" s="2"/>
      <c r="L59" s="6">
        <f t="shared" si="33"/>
        <v>-6382.6900000000005</v>
      </c>
      <c r="M59" s="2"/>
      <c r="N59" s="7">
        <f t="shared" si="34"/>
        <v>-0.74538012378839202</v>
      </c>
      <c r="O59" s="11"/>
      <c r="P59" s="6">
        <v>47148.97</v>
      </c>
      <c r="Q59" s="2"/>
      <c r="R59" s="7">
        <f t="shared" si="35"/>
        <v>16.196996190273346</v>
      </c>
      <c r="S59" s="2"/>
      <c r="T59" s="6">
        <v>103204</v>
      </c>
      <c r="U59" s="2"/>
      <c r="V59" s="7">
        <f t="shared" si="36"/>
        <v>0.16850485493959694</v>
      </c>
      <c r="W59" s="2"/>
      <c r="X59" s="6">
        <f t="shared" si="37"/>
        <v>-56055.03</v>
      </c>
      <c r="Y59" s="2"/>
      <c r="Z59" s="7">
        <f t="shared" si="38"/>
        <v>-0.54314784310685627</v>
      </c>
    </row>
    <row r="60" spans="1:26" s="27" customFormat="1" outlineLevel="1" collapsed="1" x14ac:dyDescent="0.25">
      <c r="A60" s="25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9">IF(D$12=0,0,D60/D$12)</f>
        <v>0</v>
      </c>
      <c r="G60" s="1"/>
      <c r="H60" s="1">
        <f>SUM(OSRRefH22_6x_0)</f>
        <v>0</v>
      </c>
      <c r="I60" s="1"/>
      <c r="J60" s="5">
        <f t="shared" ref="J60:J78" si="40">IF(H$12=0,0,H60/H$12)</f>
        <v>0</v>
      </c>
      <c r="K60" s="1"/>
      <c r="L60" s="1">
        <f t="shared" ref="L60:L78" si="41">+D60-H60</f>
        <v>0</v>
      </c>
      <c r="M60" s="1"/>
      <c r="N60" s="5">
        <f t="shared" ref="N60:N78" si="42">IF(H60=0,0,L60/H60)</f>
        <v>0</v>
      </c>
      <c r="O60" s="13"/>
      <c r="P60" s="1">
        <f>SUM(OSRRefP22_6x_0)</f>
        <v>0</v>
      </c>
      <c r="Q60" s="1"/>
      <c r="R60" s="5">
        <f t="shared" ref="R60:R78" si="43">IF(P$12=0,0,P60/P$12)</f>
        <v>0</v>
      </c>
      <c r="S60" s="1"/>
      <c r="T60" s="1">
        <f>SUM(OSRRefT22_6x_0)</f>
        <v>150</v>
      </c>
      <c r="U60" s="1"/>
      <c r="V60" s="5">
        <f t="shared" ref="V60:V78" si="44">IF(T$12=0,0,T60/T$12)</f>
        <v>2.449103546465209E-4</v>
      </c>
      <c r="W60" s="1"/>
      <c r="X60" s="1">
        <f t="shared" ref="X60:X78" si="45">+P60-T60</f>
        <v>-150</v>
      </c>
      <c r="Y60" s="1"/>
      <c r="Z60" s="5">
        <f t="shared" ref="Z60:Z78" si="46">IF(T60=0,0,X60/T60)</f>
        <v>-1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39"/>
        <v>0</v>
      </c>
      <c r="G61" s="2"/>
      <c r="H61" s="6"/>
      <c r="I61" s="2"/>
      <c r="J61" s="7">
        <f t="shared" si="40"/>
        <v>0</v>
      </c>
      <c r="K61" s="2"/>
      <c r="L61" s="6">
        <f t="shared" si="41"/>
        <v>0</v>
      </c>
      <c r="M61" s="2"/>
      <c r="N61" s="7">
        <f t="shared" si="42"/>
        <v>0</v>
      </c>
      <c r="O61" s="11"/>
      <c r="P61" s="6"/>
      <c r="Q61" s="2"/>
      <c r="R61" s="7">
        <f t="shared" si="43"/>
        <v>0</v>
      </c>
      <c r="S61" s="2"/>
      <c r="T61" s="6">
        <v>150</v>
      </c>
      <c r="U61" s="2"/>
      <c r="V61" s="7">
        <f t="shared" si="44"/>
        <v>2.449103546465209E-4</v>
      </c>
      <c r="W61" s="2"/>
      <c r="X61" s="6">
        <f t="shared" si="45"/>
        <v>-150</v>
      </c>
      <c r="Y61" s="2"/>
      <c r="Z61" s="7">
        <f t="shared" si="46"/>
        <v>-1</v>
      </c>
    </row>
    <row r="62" spans="1:26" s="27" customFormat="1" outlineLevel="1" collapsed="1" x14ac:dyDescent="0.25">
      <c r="A62" s="25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0</v>
      </c>
      <c r="E62" s="1"/>
      <c r="F62" s="5">
        <f t="shared" si="39"/>
        <v>0</v>
      </c>
      <c r="G62" s="1"/>
      <c r="H62" s="1">
        <f>SUM(OSRRefH22_7x_0)</f>
        <v>146</v>
      </c>
      <c r="I62" s="1"/>
      <c r="J62" s="5">
        <f t="shared" si="40"/>
        <v>1.1923233973050224E-2</v>
      </c>
      <c r="K62" s="1"/>
      <c r="L62" s="1">
        <f t="shared" si="41"/>
        <v>-146</v>
      </c>
      <c r="M62" s="1"/>
      <c r="N62" s="5">
        <f t="shared" si="42"/>
        <v>-1</v>
      </c>
      <c r="O62" s="13"/>
      <c r="P62" s="1">
        <f>SUM(OSRRefP22_7x_0)</f>
        <v>617.35</v>
      </c>
      <c r="Q62" s="1"/>
      <c r="R62" s="5">
        <f t="shared" si="43"/>
        <v>0.2120770739650357</v>
      </c>
      <c r="S62" s="1"/>
      <c r="T62" s="1">
        <f>SUM(OSRRefT22_7x_0)</f>
        <v>1314</v>
      </c>
      <c r="U62" s="1"/>
      <c r="V62" s="5">
        <f t="shared" si="44"/>
        <v>2.145414706703523E-3</v>
      </c>
      <c r="W62" s="1"/>
      <c r="X62" s="1">
        <f t="shared" si="45"/>
        <v>-696.65</v>
      </c>
      <c r="Y62" s="1"/>
      <c r="Z62" s="5">
        <f t="shared" si="46"/>
        <v>-0.53017503805175037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6"/>
      <c r="E63" s="2"/>
      <c r="F63" s="7">
        <f t="shared" si="39"/>
        <v>0</v>
      </c>
      <c r="G63" s="2"/>
      <c r="H63" s="6">
        <v>146</v>
      </c>
      <c r="I63" s="2"/>
      <c r="J63" s="7">
        <f t="shared" si="40"/>
        <v>1.1923233973050224E-2</v>
      </c>
      <c r="K63" s="2"/>
      <c r="L63" s="6">
        <f t="shared" si="41"/>
        <v>-146</v>
      </c>
      <c r="M63" s="2"/>
      <c r="N63" s="7">
        <f t="shared" si="42"/>
        <v>-1</v>
      </c>
      <c r="O63" s="11"/>
      <c r="P63" s="6">
        <v>617.35</v>
      </c>
      <c r="Q63" s="2"/>
      <c r="R63" s="7">
        <f t="shared" si="43"/>
        <v>0.2120770739650357</v>
      </c>
      <c r="S63" s="2"/>
      <c r="T63" s="6">
        <v>1314</v>
      </c>
      <c r="U63" s="2"/>
      <c r="V63" s="7">
        <f t="shared" si="44"/>
        <v>2.145414706703523E-3</v>
      </c>
      <c r="W63" s="2"/>
      <c r="X63" s="6">
        <f t="shared" si="45"/>
        <v>-696.65</v>
      </c>
      <c r="Y63" s="2"/>
      <c r="Z63" s="7">
        <f t="shared" si="46"/>
        <v>-0.53017503805175037</v>
      </c>
    </row>
    <row r="64" spans="1:26" s="27" customFormat="1" outlineLevel="1" collapsed="1" x14ac:dyDescent="0.25">
      <c r="A64" s="25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39"/>
        <v>0</v>
      </c>
      <c r="G64" s="1"/>
      <c r="H64" s="1">
        <f>SUM(OSRRefH22_8x_0)</f>
        <v>0</v>
      </c>
      <c r="I64" s="1"/>
      <c r="J64" s="5">
        <f t="shared" si="40"/>
        <v>0</v>
      </c>
      <c r="K64" s="1"/>
      <c r="L64" s="1">
        <f t="shared" si="41"/>
        <v>0</v>
      </c>
      <c r="M64" s="1"/>
      <c r="N64" s="5">
        <f t="shared" si="42"/>
        <v>0</v>
      </c>
      <c r="O64" s="13"/>
      <c r="P64" s="1">
        <f>SUM(OSRRefP22_8x_0)</f>
        <v>280.10000000000002</v>
      </c>
      <c r="Q64" s="1"/>
      <c r="R64" s="5">
        <f t="shared" si="43"/>
        <v>9.6222221458826432E-2</v>
      </c>
      <c r="S64" s="1"/>
      <c r="T64" s="1">
        <f>SUM(OSRRefT22_8x_0)</f>
        <v>0</v>
      </c>
      <c r="U64" s="1"/>
      <c r="V64" s="5">
        <f t="shared" si="44"/>
        <v>0</v>
      </c>
      <c r="W64" s="1"/>
      <c r="X64" s="1">
        <f t="shared" si="45"/>
        <v>280.10000000000002</v>
      </c>
      <c r="Y64" s="1"/>
      <c r="Z64" s="5">
        <f t="shared" si="46"/>
        <v>0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6"/>
      <c r="E65" s="2"/>
      <c r="F65" s="7">
        <f t="shared" si="39"/>
        <v>0</v>
      </c>
      <c r="G65" s="2"/>
      <c r="H65" s="6"/>
      <c r="I65" s="2"/>
      <c r="J65" s="7">
        <f t="shared" si="40"/>
        <v>0</v>
      </c>
      <c r="K65" s="2"/>
      <c r="L65" s="6">
        <f t="shared" si="41"/>
        <v>0</v>
      </c>
      <c r="M65" s="2"/>
      <c r="N65" s="7">
        <f t="shared" si="42"/>
        <v>0</v>
      </c>
      <c r="O65" s="11"/>
      <c r="P65" s="6">
        <v>280.10000000000002</v>
      </c>
      <c r="Q65" s="2"/>
      <c r="R65" s="7">
        <f t="shared" si="43"/>
        <v>9.6222221458826432E-2</v>
      </c>
      <c r="S65" s="2"/>
      <c r="T65" s="6"/>
      <c r="U65" s="2"/>
      <c r="V65" s="7">
        <f t="shared" si="44"/>
        <v>0</v>
      </c>
      <c r="W65" s="2"/>
      <c r="X65" s="6">
        <f t="shared" si="45"/>
        <v>280.10000000000002</v>
      </c>
      <c r="Y65" s="2"/>
      <c r="Z65" s="7">
        <f t="shared" si="46"/>
        <v>0</v>
      </c>
    </row>
    <row r="66" spans="1:26" s="27" customFormat="1" outlineLevel="1" collapsed="1" x14ac:dyDescent="0.25">
      <c r="A66" s="25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0</v>
      </c>
      <c r="E66" s="1"/>
      <c r="F66" s="5">
        <f t="shared" si="39"/>
        <v>0</v>
      </c>
      <c r="G66" s="1"/>
      <c r="H66" s="1">
        <f>SUM(OSRRefH22_9x_0)</f>
        <v>0</v>
      </c>
      <c r="I66" s="1"/>
      <c r="J66" s="5">
        <f t="shared" si="40"/>
        <v>0</v>
      </c>
      <c r="K66" s="1"/>
      <c r="L66" s="1">
        <f t="shared" si="41"/>
        <v>0</v>
      </c>
      <c r="M66" s="1"/>
      <c r="N66" s="5">
        <f t="shared" si="42"/>
        <v>0</v>
      </c>
      <c r="O66" s="13"/>
      <c r="P66" s="1">
        <f>SUM(OSRRefP22_9x_0)</f>
        <v>2908.49</v>
      </c>
      <c r="Q66" s="1"/>
      <c r="R66" s="5">
        <f t="shared" si="43"/>
        <v>0.99914805030625509</v>
      </c>
      <c r="S66" s="1"/>
      <c r="T66" s="1">
        <f>SUM(OSRRefT22_9x_0)</f>
        <v>3150</v>
      </c>
      <c r="U66" s="1"/>
      <c r="V66" s="5">
        <f t="shared" si="44"/>
        <v>5.1431174475769382E-3</v>
      </c>
      <c r="W66" s="1"/>
      <c r="X66" s="1">
        <f t="shared" si="45"/>
        <v>-241.51000000000022</v>
      </c>
      <c r="Y66" s="1"/>
      <c r="Z66" s="5">
        <f t="shared" si="46"/>
        <v>-7.6669841269841332E-2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39"/>
        <v>0</v>
      </c>
      <c r="G67" s="2"/>
      <c r="H67" s="6"/>
      <c r="I67" s="2"/>
      <c r="J67" s="7">
        <f t="shared" si="40"/>
        <v>0</v>
      </c>
      <c r="K67" s="2"/>
      <c r="L67" s="6">
        <f t="shared" si="41"/>
        <v>0</v>
      </c>
      <c r="M67" s="2"/>
      <c r="N67" s="7">
        <f t="shared" si="42"/>
        <v>0</v>
      </c>
      <c r="O67" s="11"/>
      <c r="P67" s="6">
        <v>2908.49</v>
      </c>
      <c r="Q67" s="2"/>
      <c r="R67" s="7">
        <f t="shared" si="43"/>
        <v>0.99914805030625509</v>
      </c>
      <c r="S67" s="2"/>
      <c r="T67" s="6">
        <v>3150</v>
      </c>
      <c r="U67" s="2"/>
      <c r="V67" s="7">
        <f t="shared" si="44"/>
        <v>5.1431174475769382E-3</v>
      </c>
      <c r="W67" s="2"/>
      <c r="X67" s="6">
        <f t="shared" si="45"/>
        <v>-241.51000000000022</v>
      </c>
      <c r="Y67" s="2"/>
      <c r="Z67" s="7">
        <f t="shared" si="46"/>
        <v>-7.6669841269841332E-2</v>
      </c>
    </row>
    <row r="68" spans="1:26" s="27" customFormat="1" outlineLevel="1" collapsed="1" x14ac:dyDescent="0.25">
      <c r="A68" s="25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522.85</v>
      </c>
      <c r="E68" s="1"/>
      <c r="F68" s="5">
        <f t="shared" si="39"/>
        <v>15.355359765051396</v>
      </c>
      <c r="G68" s="1"/>
      <c r="H68" s="1">
        <f>SUM(OSRRefH22_10x_0)</f>
        <v>270</v>
      </c>
      <c r="I68" s="1"/>
      <c r="J68" s="5">
        <f t="shared" si="40"/>
        <v>2.2049816251531237E-2</v>
      </c>
      <c r="K68" s="1"/>
      <c r="L68" s="1">
        <f t="shared" si="41"/>
        <v>252.85000000000002</v>
      </c>
      <c r="M68" s="1"/>
      <c r="N68" s="5">
        <f t="shared" si="42"/>
        <v>0.93648148148148158</v>
      </c>
      <c r="O68" s="13"/>
      <c r="P68" s="1">
        <f>SUM(OSRRefP22_10x_0)</f>
        <v>3201.79</v>
      </c>
      <c r="Q68" s="1"/>
      <c r="R68" s="5">
        <f t="shared" si="43"/>
        <v>1.0999048427156581</v>
      </c>
      <c r="S68" s="1"/>
      <c r="T68" s="1">
        <f>SUM(OSRRefT22_10x_0)</f>
        <v>3240</v>
      </c>
      <c r="U68" s="1"/>
      <c r="V68" s="5">
        <f t="shared" si="44"/>
        <v>5.2900636603648507E-3</v>
      </c>
      <c r="W68" s="1"/>
      <c r="X68" s="1">
        <f t="shared" si="45"/>
        <v>-38.210000000000036</v>
      </c>
      <c r="Y68" s="1"/>
      <c r="Z68" s="5">
        <f t="shared" si="46"/>
        <v>-1.1793209876543221E-2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6">
        <v>522.85</v>
      </c>
      <c r="E69" s="2"/>
      <c r="F69" s="7">
        <f t="shared" si="39"/>
        <v>15.355359765051396</v>
      </c>
      <c r="G69" s="2"/>
      <c r="H69" s="6">
        <v>270</v>
      </c>
      <c r="I69" s="2"/>
      <c r="J69" s="7">
        <f t="shared" si="40"/>
        <v>2.2049816251531237E-2</v>
      </c>
      <c r="K69" s="2"/>
      <c r="L69" s="6">
        <f t="shared" si="41"/>
        <v>252.85000000000002</v>
      </c>
      <c r="M69" s="2"/>
      <c r="N69" s="7">
        <f t="shared" si="42"/>
        <v>0.93648148148148158</v>
      </c>
      <c r="O69" s="11"/>
      <c r="P69" s="6">
        <v>3201.79</v>
      </c>
      <c r="Q69" s="2"/>
      <c r="R69" s="7">
        <f t="shared" si="43"/>
        <v>1.0999048427156581</v>
      </c>
      <c r="S69" s="2"/>
      <c r="T69" s="6">
        <v>3240</v>
      </c>
      <c r="U69" s="2"/>
      <c r="V69" s="7">
        <f t="shared" si="44"/>
        <v>5.2900636603648507E-3</v>
      </c>
      <c r="W69" s="2"/>
      <c r="X69" s="6">
        <f t="shared" si="45"/>
        <v>-38.210000000000036</v>
      </c>
      <c r="Y69" s="2"/>
      <c r="Z69" s="7">
        <f t="shared" si="46"/>
        <v>-1.1793209876543221E-2</v>
      </c>
    </row>
    <row r="70" spans="1:26" s="27" customFormat="1" outlineLevel="1" collapsed="1" x14ac:dyDescent="0.25">
      <c r="A70" s="25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-439.07</v>
      </c>
      <c r="E70" s="1"/>
      <c r="F70" s="5">
        <f t="shared" si="39"/>
        <v>-12.894860499265787</v>
      </c>
      <c r="G70" s="1"/>
      <c r="H70" s="1">
        <f>SUM(OSRRefH22_11x_0)</f>
        <v>3905</v>
      </c>
      <c r="I70" s="1"/>
      <c r="J70" s="5">
        <f t="shared" si="40"/>
        <v>0.31890567578603513</v>
      </c>
      <c r="K70" s="1"/>
      <c r="L70" s="1">
        <f t="shared" si="41"/>
        <v>-4344.07</v>
      </c>
      <c r="M70" s="1"/>
      <c r="N70" s="5">
        <f t="shared" si="42"/>
        <v>-1.1124379001280409</v>
      </c>
      <c r="O70" s="13"/>
      <c r="P70" s="1">
        <f>SUM(OSRRefP22_11x_0)</f>
        <v>42951.78</v>
      </c>
      <c r="Q70" s="1"/>
      <c r="R70" s="5">
        <f t="shared" si="43"/>
        <v>14.755143474511931</v>
      </c>
      <c r="S70" s="1"/>
      <c r="T70" s="1">
        <f>SUM(OSRRefT22_11x_0)</f>
        <v>48250</v>
      </c>
      <c r="U70" s="1"/>
      <c r="V70" s="5">
        <f t="shared" si="44"/>
        <v>7.8779497411297555E-2</v>
      </c>
      <c r="W70" s="1"/>
      <c r="X70" s="1">
        <f t="shared" si="45"/>
        <v>-5298.2200000000012</v>
      </c>
      <c r="Y70" s="1"/>
      <c r="Z70" s="5">
        <f t="shared" si="46"/>
        <v>-0.10980766839378241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6">
        <v>-439.07</v>
      </c>
      <c r="E71" s="2"/>
      <c r="F71" s="7">
        <f t="shared" si="39"/>
        <v>-12.894860499265787</v>
      </c>
      <c r="G71" s="2"/>
      <c r="H71" s="6">
        <v>3905</v>
      </c>
      <c r="I71" s="2"/>
      <c r="J71" s="7">
        <f t="shared" si="40"/>
        <v>0.31890567578603513</v>
      </c>
      <c r="K71" s="2"/>
      <c r="L71" s="6">
        <f t="shared" si="41"/>
        <v>-4344.07</v>
      </c>
      <c r="M71" s="2"/>
      <c r="N71" s="7">
        <f t="shared" si="42"/>
        <v>-1.1124379001280409</v>
      </c>
      <c r="O71" s="11"/>
      <c r="P71" s="6">
        <v>42951.78</v>
      </c>
      <c r="Q71" s="2"/>
      <c r="R71" s="7">
        <f t="shared" si="43"/>
        <v>14.755143474511931</v>
      </c>
      <c r="S71" s="2"/>
      <c r="T71" s="6">
        <v>48250</v>
      </c>
      <c r="U71" s="2"/>
      <c r="V71" s="7">
        <f t="shared" si="44"/>
        <v>7.8779497411297555E-2</v>
      </c>
      <c r="W71" s="2"/>
      <c r="X71" s="6">
        <f t="shared" si="45"/>
        <v>-5298.2200000000012</v>
      </c>
      <c r="Y71" s="2"/>
      <c r="Z71" s="7">
        <f t="shared" si="46"/>
        <v>-0.10980766839378241</v>
      </c>
    </row>
    <row r="72" spans="1:26" s="27" customFormat="1" outlineLevel="1" collapsed="1" x14ac:dyDescent="0.25">
      <c r="A72" s="25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0</v>
      </c>
      <c r="E72" s="1"/>
      <c r="F72" s="5">
        <f t="shared" si="39"/>
        <v>0</v>
      </c>
      <c r="G72" s="1"/>
      <c r="H72" s="1">
        <f>SUM(OSRRefH22_12x_0)</f>
        <v>0</v>
      </c>
      <c r="I72" s="1"/>
      <c r="J72" s="5">
        <f t="shared" si="40"/>
        <v>0</v>
      </c>
      <c r="K72" s="1"/>
      <c r="L72" s="1">
        <f t="shared" si="41"/>
        <v>0</v>
      </c>
      <c r="M72" s="1"/>
      <c r="N72" s="5">
        <f t="shared" si="42"/>
        <v>0</v>
      </c>
      <c r="O72" s="13"/>
      <c r="P72" s="1">
        <f>SUM(OSRRefP22_12x_0)</f>
        <v>0</v>
      </c>
      <c r="Q72" s="1"/>
      <c r="R72" s="5">
        <f t="shared" si="43"/>
        <v>0</v>
      </c>
      <c r="S72" s="1"/>
      <c r="T72" s="1">
        <f>SUM(OSRRefT22_12x_0)</f>
        <v>0</v>
      </c>
      <c r="U72" s="1"/>
      <c r="V72" s="5">
        <f t="shared" si="44"/>
        <v>0</v>
      </c>
      <c r="W72" s="1"/>
      <c r="X72" s="1">
        <f t="shared" si="45"/>
        <v>0</v>
      </c>
      <c r="Y72" s="1"/>
      <c r="Z72" s="5">
        <f t="shared" si="46"/>
        <v>0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6"/>
      <c r="E73" s="2"/>
      <c r="F73" s="7">
        <f t="shared" si="39"/>
        <v>0</v>
      </c>
      <c r="G73" s="2"/>
      <c r="H73" s="6">
        <v>0</v>
      </c>
      <c r="I73" s="2"/>
      <c r="J73" s="7">
        <f t="shared" si="40"/>
        <v>0</v>
      </c>
      <c r="K73" s="2"/>
      <c r="L73" s="6">
        <f t="shared" si="41"/>
        <v>0</v>
      </c>
      <c r="M73" s="2"/>
      <c r="N73" s="7">
        <f t="shared" si="42"/>
        <v>0</v>
      </c>
      <c r="O73" s="11"/>
      <c r="P73" s="6"/>
      <c r="Q73" s="2"/>
      <c r="R73" s="7">
        <f t="shared" si="43"/>
        <v>0</v>
      </c>
      <c r="S73" s="2"/>
      <c r="T73" s="6">
        <v>0</v>
      </c>
      <c r="U73" s="2"/>
      <c r="V73" s="7">
        <f t="shared" si="44"/>
        <v>0</v>
      </c>
      <c r="W73" s="2"/>
      <c r="X73" s="6">
        <f t="shared" si="45"/>
        <v>0</v>
      </c>
      <c r="Y73" s="2"/>
      <c r="Z73" s="7">
        <f t="shared" si="46"/>
        <v>0</v>
      </c>
    </row>
    <row r="74" spans="1:26" s="27" customFormat="1" outlineLevel="1" collapsed="1" x14ac:dyDescent="0.25">
      <c r="A74" s="25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384.39</v>
      </c>
      <c r="E74" s="1"/>
      <c r="F74" s="5">
        <f t="shared" si="39"/>
        <v>11.28898678414097</v>
      </c>
      <c r="G74" s="1"/>
      <c r="H74" s="1">
        <f>SUM(OSRRefH22_13x_0)</f>
        <v>285</v>
      </c>
      <c r="I74" s="1"/>
      <c r="J74" s="5">
        <f t="shared" si="40"/>
        <v>2.3274806043282973E-2</v>
      </c>
      <c r="K74" s="1"/>
      <c r="L74" s="1">
        <f t="shared" si="41"/>
        <v>99.389999999999986</v>
      </c>
      <c r="M74" s="1"/>
      <c r="N74" s="5">
        <f t="shared" si="42"/>
        <v>0.34873684210526312</v>
      </c>
      <c r="O74" s="13"/>
      <c r="P74" s="1">
        <f>SUM(OSRRefP22_13x_0)</f>
        <v>3415.82</v>
      </c>
      <c r="Q74" s="1"/>
      <c r="R74" s="5">
        <f t="shared" si="43"/>
        <v>1.1734301624544394</v>
      </c>
      <c r="S74" s="1"/>
      <c r="T74" s="1">
        <f>SUM(OSRRefT22_13x_0)</f>
        <v>4382</v>
      </c>
      <c r="U74" s="1"/>
      <c r="V74" s="5">
        <f t="shared" si="44"/>
        <v>7.1546478270736969E-3</v>
      </c>
      <c r="W74" s="1"/>
      <c r="X74" s="1">
        <f t="shared" si="45"/>
        <v>-966.17999999999984</v>
      </c>
      <c r="Y74" s="1"/>
      <c r="Z74" s="5">
        <f t="shared" si="46"/>
        <v>-0.22048836147877679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6"/>
      <c r="E75" s="2"/>
      <c r="F75" s="7">
        <f t="shared" si="39"/>
        <v>0</v>
      </c>
      <c r="G75" s="2"/>
      <c r="H75" s="6"/>
      <c r="I75" s="2"/>
      <c r="J75" s="7">
        <f t="shared" si="40"/>
        <v>0</v>
      </c>
      <c r="K75" s="2"/>
      <c r="L75" s="6">
        <f t="shared" si="41"/>
        <v>0</v>
      </c>
      <c r="M75" s="2"/>
      <c r="N75" s="7">
        <f t="shared" si="42"/>
        <v>0</v>
      </c>
      <c r="O75" s="11"/>
      <c r="P75" s="6"/>
      <c r="Q75" s="2"/>
      <c r="R75" s="7">
        <f t="shared" si="43"/>
        <v>0</v>
      </c>
      <c r="S75" s="2"/>
      <c r="T75" s="6">
        <v>43</v>
      </c>
      <c r="U75" s="2"/>
      <c r="V75" s="7">
        <f t="shared" si="44"/>
        <v>7.0207634998669316E-5</v>
      </c>
      <c r="W75" s="2"/>
      <c r="X75" s="6">
        <f t="shared" si="45"/>
        <v>-43</v>
      </c>
      <c r="Y75" s="2"/>
      <c r="Z75" s="7">
        <f t="shared" si="46"/>
        <v>-1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39"/>
        <v>0</v>
      </c>
      <c r="G76" s="2"/>
      <c r="H76" s="6"/>
      <c r="I76" s="2"/>
      <c r="J76" s="7">
        <f t="shared" si="40"/>
        <v>0</v>
      </c>
      <c r="K76" s="2"/>
      <c r="L76" s="6">
        <f t="shared" si="41"/>
        <v>0</v>
      </c>
      <c r="M76" s="2"/>
      <c r="N76" s="7">
        <f t="shared" si="42"/>
        <v>0</v>
      </c>
      <c r="O76" s="11"/>
      <c r="P76" s="6"/>
      <c r="Q76" s="2"/>
      <c r="R76" s="7">
        <f t="shared" si="43"/>
        <v>0</v>
      </c>
      <c r="S76" s="2"/>
      <c r="T76" s="6">
        <v>437</v>
      </c>
      <c r="U76" s="2"/>
      <c r="V76" s="7">
        <f t="shared" si="44"/>
        <v>7.1350549987019756E-4</v>
      </c>
      <c r="W76" s="2"/>
      <c r="X76" s="6">
        <f t="shared" si="45"/>
        <v>-437</v>
      </c>
      <c r="Y76" s="2"/>
      <c r="Z76" s="7">
        <f t="shared" si="46"/>
        <v>-1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6">
        <v>299.39</v>
      </c>
      <c r="E77" s="2"/>
      <c r="F77" s="7">
        <f t="shared" si="39"/>
        <v>8.7926578560939799</v>
      </c>
      <c r="G77" s="2"/>
      <c r="H77" s="6"/>
      <c r="I77" s="2"/>
      <c r="J77" s="7">
        <f t="shared" si="40"/>
        <v>0</v>
      </c>
      <c r="K77" s="2"/>
      <c r="L77" s="6">
        <f t="shared" si="41"/>
        <v>299.39</v>
      </c>
      <c r="M77" s="2"/>
      <c r="N77" s="7">
        <f t="shared" si="42"/>
        <v>0</v>
      </c>
      <c r="O77" s="11"/>
      <c r="P77" s="6">
        <v>1557.44</v>
      </c>
      <c r="Q77" s="2"/>
      <c r="R77" s="7">
        <f t="shared" si="43"/>
        <v>0.53502440767166959</v>
      </c>
      <c r="S77" s="2"/>
      <c r="T77" s="6">
        <v>231</v>
      </c>
      <c r="U77" s="2"/>
      <c r="V77" s="7">
        <f t="shared" si="44"/>
        <v>3.7716194615564216E-4</v>
      </c>
      <c r="W77" s="2"/>
      <c r="X77" s="6">
        <f t="shared" si="45"/>
        <v>1326.44</v>
      </c>
      <c r="Y77" s="2"/>
      <c r="Z77" s="7">
        <f t="shared" si="46"/>
        <v>5.7421645021645027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85</v>
      </c>
      <c r="E78" s="2"/>
      <c r="F78" s="7">
        <f t="shared" si="39"/>
        <v>2.49632892804699</v>
      </c>
      <c r="G78" s="2"/>
      <c r="H78" s="6">
        <v>285</v>
      </c>
      <c r="I78" s="2"/>
      <c r="J78" s="7">
        <f t="shared" si="40"/>
        <v>2.3274806043282973E-2</v>
      </c>
      <c r="K78" s="2"/>
      <c r="L78" s="6">
        <f t="shared" si="41"/>
        <v>-200</v>
      </c>
      <c r="M78" s="2"/>
      <c r="N78" s="7">
        <f t="shared" si="42"/>
        <v>-0.70175438596491224</v>
      </c>
      <c r="O78" s="11"/>
      <c r="P78" s="6">
        <v>1858.38</v>
      </c>
      <c r="Q78" s="2"/>
      <c r="R78" s="7">
        <f t="shared" si="43"/>
        <v>0.63840575478276995</v>
      </c>
      <c r="S78" s="2"/>
      <c r="T78" s="6">
        <v>3671</v>
      </c>
      <c r="U78" s="2"/>
      <c r="V78" s="7">
        <f t="shared" si="44"/>
        <v>5.9937727460491882E-3</v>
      </c>
      <c r="W78" s="2"/>
      <c r="X78" s="6">
        <f t="shared" si="45"/>
        <v>-1812.62</v>
      </c>
      <c r="Y78" s="2"/>
      <c r="Z78" s="7">
        <f t="shared" si="46"/>
        <v>-0.49376736584037045</v>
      </c>
    </row>
    <row r="79" spans="1:26" s="27" customFormat="1" outlineLevel="1" collapsed="1" x14ac:dyDescent="0.25">
      <c r="A79" s="25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7">IF(D$12=0,0,D79/D$12)</f>
        <v>0</v>
      </c>
      <c r="G79" s="1"/>
      <c r="H79" s="1">
        <f>SUM(OSRRefH22_14x_0)</f>
        <v>0</v>
      </c>
      <c r="I79" s="1"/>
      <c r="J79" s="5">
        <f t="shared" ref="J79:J81" si="48">IF(H$12=0,0,H79/H$12)</f>
        <v>0</v>
      </c>
      <c r="K79" s="1"/>
      <c r="L79" s="1">
        <f t="shared" ref="L79:L81" si="49">+D79-H79</f>
        <v>0</v>
      </c>
      <c r="M79" s="1"/>
      <c r="N79" s="5">
        <f t="shared" ref="N79:N81" si="50">IF(H79=0,0,L79/H79)</f>
        <v>0</v>
      </c>
      <c r="O79" s="13"/>
      <c r="P79" s="1">
        <f>SUM(OSRRefP22_14x_0)</f>
        <v>185.7</v>
      </c>
      <c r="Q79" s="1"/>
      <c r="R79" s="5">
        <f t="shared" ref="R79:R81" si="51">IF(P$12=0,0,P79/P$12)</f>
        <v>6.3793168600157324E-2</v>
      </c>
      <c r="S79" s="1"/>
      <c r="T79" s="1">
        <f>SUM(OSRRefT22_14x_0)</f>
        <v>10320</v>
      </c>
      <c r="U79" s="1"/>
      <c r="V79" s="5">
        <f t="shared" ref="V79:V81" si="52">IF(T$12=0,0,T79/T$12)</f>
        <v>1.6849832399680638E-2</v>
      </c>
      <c r="W79" s="1"/>
      <c r="X79" s="1">
        <f t="shared" ref="X79:X81" si="53">+P79-T79</f>
        <v>-10134.299999999999</v>
      </c>
      <c r="Y79" s="1"/>
      <c r="Z79" s="5">
        <f t="shared" ref="Z79:Z81" si="54">IF(T79=0,0,X79/T79)</f>
        <v>-0.98200581395348829</v>
      </c>
    </row>
    <row r="80" spans="1:26" s="24" customFormat="1" hidden="1" outlineLevel="2" x14ac:dyDescent="0.25">
      <c r="A80" s="26"/>
      <c r="B80" s="11" t="str">
        <f>CONCATENATE("          ", "6254", " - ", "ROYALTY &amp; COMMISSIONS")</f>
        <v xml:space="preserve">          6254 - ROYALTY &amp; COMMISSIONS</v>
      </c>
      <c r="C80" s="11"/>
      <c r="D80" s="6"/>
      <c r="E80" s="2"/>
      <c r="F80" s="7">
        <f t="shared" si="47"/>
        <v>0</v>
      </c>
      <c r="G80" s="2"/>
      <c r="H80" s="6"/>
      <c r="I80" s="2"/>
      <c r="J80" s="7">
        <f t="shared" si="48"/>
        <v>0</v>
      </c>
      <c r="K80" s="2"/>
      <c r="L80" s="6">
        <f t="shared" si="49"/>
        <v>0</v>
      </c>
      <c r="M80" s="2"/>
      <c r="N80" s="7">
        <f t="shared" si="50"/>
        <v>0</v>
      </c>
      <c r="O80" s="11"/>
      <c r="P80" s="6">
        <v>185.7</v>
      </c>
      <c r="Q80" s="2"/>
      <c r="R80" s="7">
        <f t="shared" si="51"/>
        <v>6.3793168600157324E-2</v>
      </c>
      <c r="S80" s="2"/>
      <c r="T80" s="6"/>
      <c r="U80" s="2"/>
      <c r="V80" s="7">
        <f t="shared" si="52"/>
        <v>0</v>
      </c>
      <c r="W80" s="2"/>
      <c r="X80" s="6">
        <f t="shared" si="53"/>
        <v>185.7</v>
      </c>
      <c r="Y80" s="2"/>
      <c r="Z80" s="7">
        <f t="shared" si="54"/>
        <v>0</v>
      </c>
    </row>
    <row r="81" spans="1:26" s="24" customFormat="1" hidden="1" outlineLevel="2" x14ac:dyDescent="0.25">
      <c r="A81" s="26"/>
      <c r="B81" s="11" t="str">
        <f>CONCATENATE("          ", "6259", " - ", "ROYALTY &amp; COMMISSIONS")</f>
        <v xml:space="preserve">          6259 - ROYALTY &amp; COMMISSIONS</v>
      </c>
      <c r="C81" s="11"/>
      <c r="D81" s="6"/>
      <c r="E81" s="2"/>
      <c r="F81" s="7">
        <f t="shared" si="47"/>
        <v>0</v>
      </c>
      <c r="G81" s="2"/>
      <c r="H81" s="6"/>
      <c r="I81" s="2"/>
      <c r="J81" s="7">
        <f t="shared" si="48"/>
        <v>0</v>
      </c>
      <c r="K81" s="2"/>
      <c r="L81" s="6">
        <f t="shared" si="49"/>
        <v>0</v>
      </c>
      <c r="M81" s="2"/>
      <c r="N81" s="7">
        <f t="shared" si="50"/>
        <v>0</v>
      </c>
      <c r="O81" s="11"/>
      <c r="P81" s="6"/>
      <c r="Q81" s="2"/>
      <c r="R81" s="7">
        <f t="shared" si="51"/>
        <v>0</v>
      </c>
      <c r="S81" s="2"/>
      <c r="T81" s="6">
        <v>10320</v>
      </c>
      <c r="U81" s="2"/>
      <c r="V81" s="7">
        <f t="shared" si="52"/>
        <v>1.6849832399680638E-2</v>
      </c>
      <c r="W81" s="2"/>
      <c r="X81" s="6">
        <f t="shared" si="53"/>
        <v>-10320</v>
      </c>
      <c r="Y81" s="2"/>
      <c r="Z81" s="7">
        <f t="shared" si="54"/>
        <v>-1</v>
      </c>
    </row>
    <row r="82" spans="1:26" s="27" customFormat="1" outlineLevel="1" collapsed="1" x14ac:dyDescent="0.25">
      <c r="A82" s="25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297.64999999999998</v>
      </c>
      <c r="E82" s="1"/>
      <c r="F82" s="5">
        <f t="shared" ref="F82:F86" si="55">IF(D$12=0,0,D82/D$12)</f>
        <v>8.7415565345080761</v>
      </c>
      <c r="G82" s="1"/>
      <c r="H82" s="1">
        <f>SUM(OSRRefH22_15x_0)</f>
        <v>791</v>
      </c>
      <c r="I82" s="1"/>
      <c r="J82" s="5">
        <f t="shared" ref="J82:J86" si="56">IF(H$12=0,0,H82/H$12)</f>
        <v>6.4597795018374843E-2</v>
      </c>
      <c r="K82" s="1"/>
      <c r="L82" s="1">
        <f t="shared" ref="L82:L86" si="57">+D82-H82</f>
        <v>-493.35</v>
      </c>
      <c r="M82" s="1"/>
      <c r="N82" s="5">
        <f t="shared" ref="N82:N86" si="58">IF(H82=0,0,L82/H82)</f>
        <v>-0.62370417193426042</v>
      </c>
      <c r="O82" s="13"/>
      <c r="P82" s="1">
        <f>SUM(OSRRefP22_15x_0)</f>
        <v>3353.11</v>
      </c>
      <c r="Q82" s="1"/>
      <c r="R82" s="5">
        <f t="shared" ref="R82:R86" si="59">IF(P$12=0,0,P82/P$12)</f>
        <v>1.1518875151581776</v>
      </c>
      <c r="S82" s="1"/>
      <c r="T82" s="1">
        <f>SUM(OSRRefT22_15x_0)</f>
        <v>11333</v>
      </c>
      <c r="U82" s="1"/>
      <c r="V82" s="5">
        <f t="shared" ref="V82:V86" si="60">IF(T$12=0,0,T82/T$12)</f>
        <v>1.8503793661393476E-2</v>
      </c>
      <c r="W82" s="1"/>
      <c r="X82" s="1">
        <f t="shared" ref="X82:X86" si="61">+P82-T82</f>
        <v>-7979.8899999999994</v>
      </c>
      <c r="Y82" s="1"/>
      <c r="Z82" s="5">
        <f t="shared" ref="Z82:Z86" si="62">IF(T82=0,0,X82/T82)</f>
        <v>-0.70412865084267184</v>
      </c>
    </row>
    <row r="83" spans="1:26" s="24" customFormat="1" hidden="1" outlineLevel="2" x14ac:dyDescent="0.25">
      <c r="A83" s="26"/>
      <c r="B83" s="11" t="str">
        <f>CONCATENATE("          ", "6282", " - ", "JANITORIAL/EXTERMINATOR EXPENS")</f>
        <v xml:space="preserve">          6282 - JANITORIAL/EXTERMINATOR EXPENS</v>
      </c>
      <c r="C83" s="11"/>
      <c r="D83" s="6">
        <v>488.65</v>
      </c>
      <c r="E83" s="2"/>
      <c r="F83" s="7">
        <f t="shared" si="55"/>
        <v>14.350954478707783</v>
      </c>
      <c r="G83" s="2"/>
      <c r="H83" s="6"/>
      <c r="I83" s="2"/>
      <c r="J83" s="7">
        <f t="shared" si="56"/>
        <v>0</v>
      </c>
      <c r="K83" s="2"/>
      <c r="L83" s="6">
        <f t="shared" si="57"/>
        <v>488.65</v>
      </c>
      <c r="M83" s="2"/>
      <c r="N83" s="7">
        <f t="shared" si="58"/>
        <v>0</v>
      </c>
      <c r="O83" s="11"/>
      <c r="P83" s="6">
        <v>2895.71</v>
      </c>
      <c r="Q83" s="2"/>
      <c r="R83" s="7">
        <f t="shared" si="59"/>
        <v>0.99475776115865155</v>
      </c>
      <c r="S83" s="2"/>
      <c r="T83" s="6">
        <v>1616</v>
      </c>
      <c r="U83" s="2"/>
      <c r="V83" s="7">
        <f t="shared" si="60"/>
        <v>2.6385008873918516E-3</v>
      </c>
      <c r="W83" s="2"/>
      <c r="X83" s="6">
        <f t="shared" si="61"/>
        <v>1279.71</v>
      </c>
      <c r="Y83" s="2"/>
      <c r="Z83" s="7">
        <f t="shared" si="62"/>
        <v>0.79189975247524758</v>
      </c>
    </row>
    <row r="84" spans="1:26" s="24" customFormat="1" hidden="1" outlineLevel="2" x14ac:dyDescent="0.25">
      <c r="A84" s="26"/>
      <c r="B84" s="11" t="str">
        <f>CONCATENATE("          ", "6284", " - ", "TRASH REMOVAL EXPENSE")</f>
        <v xml:space="preserve">          6284 - TRASH REMOVAL EXPENSE</v>
      </c>
      <c r="C84" s="11"/>
      <c r="D84" s="6">
        <v>-191</v>
      </c>
      <c r="E84" s="2"/>
      <c r="F84" s="7">
        <f t="shared" si="55"/>
        <v>-5.6093979441997064</v>
      </c>
      <c r="G84" s="2"/>
      <c r="H84" s="6">
        <v>237</v>
      </c>
      <c r="I84" s="2"/>
      <c r="J84" s="7">
        <f t="shared" si="56"/>
        <v>1.935483870967742E-2</v>
      </c>
      <c r="K84" s="2"/>
      <c r="L84" s="6">
        <f t="shared" si="57"/>
        <v>-428</v>
      </c>
      <c r="M84" s="2"/>
      <c r="N84" s="7">
        <f t="shared" si="58"/>
        <v>-1.8059071729957805</v>
      </c>
      <c r="O84" s="11"/>
      <c r="P84" s="6">
        <v>1262</v>
      </c>
      <c r="Q84" s="2"/>
      <c r="R84" s="7">
        <f t="shared" si="59"/>
        <v>0.4335324651233094</v>
      </c>
      <c r="S84" s="2"/>
      <c r="T84" s="6">
        <v>3363</v>
      </c>
      <c r="U84" s="2"/>
      <c r="V84" s="7">
        <f t="shared" si="60"/>
        <v>5.4908901511749979E-3</v>
      </c>
      <c r="W84" s="2"/>
      <c r="X84" s="6">
        <f t="shared" si="61"/>
        <v>-2101</v>
      </c>
      <c r="Y84" s="2"/>
      <c r="Z84" s="7">
        <f t="shared" si="62"/>
        <v>-0.62473981564079695</v>
      </c>
    </row>
    <row r="85" spans="1:26" s="24" customFormat="1" hidden="1" outlineLevel="2" x14ac:dyDescent="0.25">
      <c r="A85" s="26"/>
      <c r="B85" s="11" t="str">
        <f>CONCATENATE("          ", "6285", " - ", "JANITORIAL SERVICES")</f>
        <v xml:space="preserve">          6285 - JANITORIAL SERVICES</v>
      </c>
      <c r="C85" s="11"/>
      <c r="D85" s="6"/>
      <c r="E85" s="2"/>
      <c r="F85" s="7">
        <f t="shared" si="55"/>
        <v>0</v>
      </c>
      <c r="G85" s="2"/>
      <c r="H85" s="6">
        <v>450</v>
      </c>
      <c r="I85" s="2"/>
      <c r="J85" s="7">
        <f t="shared" si="56"/>
        <v>3.6749693752552062E-2</v>
      </c>
      <c r="K85" s="2"/>
      <c r="L85" s="6">
        <f t="shared" si="57"/>
        <v>-450</v>
      </c>
      <c r="M85" s="2"/>
      <c r="N85" s="7">
        <f t="shared" si="58"/>
        <v>-1</v>
      </c>
      <c r="O85" s="11"/>
      <c r="P85" s="6">
        <v>-804.6</v>
      </c>
      <c r="Q85" s="2"/>
      <c r="R85" s="7">
        <f t="shared" si="59"/>
        <v>-0.27640271112378345</v>
      </c>
      <c r="S85" s="2"/>
      <c r="T85" s="6">
        <v>5113</v>
      </c>
      <c r="U85" s="2"/>
      <c r="V85" s="7">
        <f t="shared" si="60"/>
        <v>8.3481776220510756E-3</v>
      </c>
      <c r="W85" s="2"/>
      <c r="X85" s="6">
        <f t="shared" si="61"/>
        <v>-5917.6</v>
      </c>
      <c r="Y85" s="2"/>
      <c r="Z85" s="7">
        <f t="shared" si="62"/>
        <v>-1.1573635830236653</v>
      </c>
    </row>
    <row r="86" spans="1:26" s="24" customFormat="1" hidden="1" outlineLevel="2" x14ac:dyDescent="0.25">
      <c r="A86" s="26"/>
      <c r="B86" s="11" t="str">
        <f>CONCATENATE("          ", "6286", " - ", "LAUNDRY EXPENSE")</f>
        <v xml:space="preserve">          6286 - LAUNDRY EXPENSE</v>
      </c>
      <c r="C86" s="11"/>
      <c r="D86" s="6"/>
      <c r="E86" s="2"/>
      <c r="F86" s="7">
        <f t="shared" si="55"/>
        <v>0</v>
      </c>
      <c r="G86" s="2"/>
      <c r="H86" s="6">
        <v>104</v>
      </c>
      <c r="I86" s="2"/>
      <c r="J86" s="7">
        <f t="shared" si="56"/>
        <v>8.4932625561453656E-3</v>
      </c>
      <c r="K86" s="2"/>
      <c r="L86" s="6">
        <f t="shared" si="57"/>
        <v>-104</v>
      </c>
      <c r="M86" s="2"/>
      <c r="N86" s="7">
        <f t="shared" si="58"/>
        <v>-1</v>
      </c>
      <c r="O86" s="11"/>
      <c r="P86" s="6"/>
      <c r="Q86" s="2"/>
      <c r="R86" s="7">
        <f t="shared" si="59"/>
        <v>0</v>
      </c>
      <c r="S86" s="2"/>
      <c r="T86" s="6">
        <v>1241</v>
      </c>
      <c r="U86" s="2"/>
      <c r="V86" s="7">
        <f t="shared" si="60"/>
        <v>2.0262250007755493E-3</v>
      </c>
      <c r="W86" s="2"/>
      <c r="X86" s="6">
        <f t="shared" si="61"/>
        <v>-1241</v>
      </c>
      <c r="Y86" s="2"/>
      <c r="Z86" s="7">
        <f t="shared" si="62"/>
        <v>-1</v>
      </c>
    </row>
    <row r="87" spans="1:26" s="27" customFormat="1" outlineLevel="1" collapsed="1" x14ac:dyDescent="0.25">
      <c r="A87" s="25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SUM(OSRRefD22_16x_0)</f>
        <v>0</v>
      </c>
      <c r="E87" s="1"/>
      <c r="F87" s="5">
        <f t="shared" ref="F87:F96" si="63">IF(D$12=0,0,D87/D$12)</f>
        <v>0</v>
      </c>
      <c r="G87" s="1"/>
      <c r="H87" s="1">
        <f>SUM(OSRRefH22_16x_0)</f>
        <v>176</v>
      </c>
      <c r="I87" s="1"/>
      <c r="J87" s="5">
        <f t="shared" ref="J87:J96" si="64">IF(H$12=0,0,H87/H$12)</f>
        <v>1.4373213556553695E-2</v>
      </c>
      <c r="K87" s="1"/>
      <c r="L87" s="1">
        <f t="shared" ref="L87:L96" si="65">+D87-H87</f>
        <v>-176</v>
      </c>
      <c r="M87" s="1"/>
      <c r="N87" s="5">
        <f t="shared" ref="N87:N96" si="66">IF(H87=0,0,L87/H87)</f>
        <v>-1</v>
      </c>
      <c r="O87" s="13"/>
      <c r="P87" s="1">
        <f>SUM(OSRRefP22_16x_0)</f>
        <v>0</v>
      </c>
      <c r="Q87" s="1"/>
      <c r="R87" s="5">
        <f t="shared" ref="R87:R96" si="67">IF(P$12=0,0,P87/P$12)</f>
        <v>0</v>
      </c>
      <c r="S87" s="1"/>
      <c r="T87" s="1">
        <f>SUM(OSRRefT22_16x_0)</f>
        <v>2112</v>
      </c>
      <c r="U87" s="1"/>
      <c r="V87" s="5">
        <f t="shared" ref="V87:V96" si="68">IF(T$12=0,0,T87/T$12)</f>
        <v>3.448337793423014E-3</v>
      </c>
      <c r="W87" s="1"/>
      <c r="X87" s="1">
        <f t="shared" ref="X87:X96" si="69">+P87-T87</f>
        <v>-2112</v>
      </c>
      <c r="Y87" s="1"/>
      <c r="Z87" s="5">
        <f t="shared" ref="Z87:Z96" si="70">IF(T87=0,0,X87/T87)</f>
        <v>-1</v>
      </c>
    </row>
    <row r="88" spans="1:26" s="24" customFormat="1" hidden="1" outlineLevel="2" x14ac:dyDescent="0.25">
      <c r="A88" s="26"/>
      <c r="B88" s="11" t="str">
        <f>CONCATENATE("          ", "6275", " - ", "SUBSCRIPTIONS")</f>
        <v xml:space="preserve">          6275 - SUBSCRIPTIONS</v>
      </c>
      <c r="C88" s="11"/>
      <c r="D88" s="6"/>
      <c r="E88" s="2"/>
      <c r="F88" s="7">
        <f t="shared" si="63"/>
        <v>0</v>
      </c>
      <c r="G88" s="2"/>
      <c r="H88" s="6">
        <v>176</v>
      </c>
      <c r="I88" s="2"/>
      <c r="J88" s="7">
        <f t="shared" si="64"/>
        <v>1.4373213556553695E-2</v>
      </c>
      <c r="K88" s="2"/>
      <c r="L88" s="6">
        <f t="shared" si="65"/>
        <v>-176</v>
      </c>
      <c r="M88" s="2"/>
      <c r="N88" s="7">
        <f t="shared" si="66"/>
        <v>-1</v>
      </c>
      <c r="O88" s="11"/>
      <c r="P88" s="6"/>
      <c r="Q88" s="2"/>
      <c r="R88" s="7">
        <f t="shared" si="67"/>
        <v>0</v>
      </c>
      <c r="S88" s="2"/>
      <c r="T88" s="6">
        <v>2112</v>
      </c>
      <c r="U88" s="2"/>
      <c r="V88" s="7">
        <f t="shared" si="68"/>
        <v>3.448337793423014E-3</v>
      </c>
      <c r="W88" s="2"/>
      <c r="X88" s="6">
        <f t="shared" si="69"/>
        <v>-2112</v>
      </c>
      <c r="Y88" s="2"/>
      <c r="Z88" s="7">
        <f t="shared" si="70"/>
        <v>-1</v>
      </c>
    </row>
    <row r="89" spans="1:26" s="27" customFormat="1" outlineLevel="1" collapsed="1" x14ac:dyDescent="0.25">
      <c r="A89" s="25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SUM(OSRRefD22_17x_0)</f>
        <v>6.79</v>
      </c>
      <c r="E89" s="1"/>
      <c r="F89" s="5">
        <f t="shared" si="63"/>
        <v>0.19941262848751837</v>
      </c>
      <c r="G89" s="1"/>
      <c r="H89" s="1">
        <f>SUM(OSRRefH22_17x_0)</f>
        <v>710</v>
      </c>
      <c r="I89" s="1"/>
      <c r="J89" s="5">
        <f t="shared" si="64"/>
        <v>5.7982850142915474E-2</v>
      </c>
      <c r="K89" s="1"/>
      <c r="L89" s="1">
        <f t="shared" si="65"/>
        <v>-703.21</v>
      </c>
      <c r="M89" s="1"/>
      <c r="N89" s="5">
        <f t="shared" si="66"/>
        <v>-0.99043661971830987</v>
      </c>
      <c r="O89" s="13"/>
      <c r="P89" s="1">
        <f>SUM(OSRRefP22_17x_0)</f>
        <v>1100.8800000000001</v>
      </c>
      <c r="Q89" s="1"/>
      <c r="R89" s="5">
        <f t="shared" si="67"/>
        <v>0.37818321727808946</v>
      </c>
      <c r="S89" s="1"/>
      <c r="T89" s="1">
        <f>SUM(OSRRefT22_17x_0)</f>
        <v>24193</v>
      </c>
      <c r="U89" s="1"/>
      <c r="V89" s="5">
        <f t="shared" si="68"/>
        <v>3.950077473308853E-2</v>
      </c>
      <c r="W89" s="1"/>
      <c r="X89" s="1">
        <f t="shared" si="69"/>
        <v>-23092.12</v>
      </c>
      <c r="Y89" s="1"/>
      <c r="Z89" s="5">
        <f t="shared" si="70"/>
        <v>-0.95449592857438093</v>
      </c>
    </row>
    <row r="90" spans="1:26" s="24" customFormat="1" hidden="1" outlineLevel="2" x14ac:dyDescent="0.25">
      <c r="A90" s="26"/>
      <c r="B90" s="11" t="str">
        <f>CONCATENATE("          ", "6234", " - ", "EXPENDABLE SUPPLIES &amp; EQUIPMEN")</f>
        <v xml:space="preserve">          6234 - EXPENDABLE SUPPLIES &amp; EQUIPMEN</v>
      </c>
      <c r="C90" s="11"/>
      <c r="D90" s="6"/>
      <c r="E90" s="2"/>
      <c r="F90" s="7">
        <f t="shared" si="63"/>
        <v>0</v>
      </c>
      <c r="G90" s="2"/>
      <c r="H90" s="6"/>
      <c r="I90" s="2"/>
      <c r="J90" s="7">
        <f t="shared" si="64"/>
        <v>0</v>
      </c>
      <c r="K90" s="2"/>
      <c r="L90" s="6">
        <f t="shared" si="65"/>
        <v>0</v>
      </c>
      <c r="M90" s="2"/>
      <c r="N90" s="7">
        <f t="shared" si="66"/>
        <v>0</v>
      </c>
      <c r="O90" s="11"/>
      <c r="P90" s="6">
        <v>316.67</v>
      </c>
      <c r="Q90" s="2"/>
      <c r="R90" s="7">
        <f t="shared" si="67"/>
        <v>0.10878504416053755</v>
      </c>
      <c r="S90" s="2"/>
      <c r="T90" s="6">
        <v>28</v>
      </c>
      <c r="U90" s="2"/>
      <c r="V90" s="7">
        <f t="shared" si="68"/>
        <v>4.5716599534017233E-5</v>
      </c>
      <c r="W90" s="2"/>
      <c r="X90" s="6">
        <f t="shared" si="69"/>
        <v>288.67</v>
      </c>
      <c r="Y90" s="2"/>
      <c r="Z90" s="7">
        <f t="shared" si="70"/>
        <v>10.309642857142858</v>
      </c>
    </row>
    <row r="91" spans="1:26" s="24" customFormat="1" hidden="1" outlineLevel="2" x14ac:dyDescent="0.25">
      <c r="A91" s="26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63"/>
        <v>0</v>
      </c>
      <c r="G91" s="2"/>
      <c r="H91" s="6">
        <v>300</v>
      </c>
      <c r="I91" s="2"/>
      <c r="J91" s="7">
        <f t="shared" si="64"/>
        <v>2.4499795835034709E-2</v>
      </c>
      <c r="K91" s="2"/>
      <c r="L91" s="6">
        <f t="shared" si="65"/>
        <v>-300</v>
      </c>
      <c r="M91" s="2"/>
      <c r="N91" s="7">
        <f t="shared" si="66"/>
        <v>-1</v>
      </c>
      <c r="O91" s="11"/>
      <c r="P91" s="6">
        <v>207.27</v>
      </c>
      <c r="Q91" s="2"/>
      <c r="R91" s="7">
        <f t="shared" si="67"/>
        <v>7.120306976712229E-2</v>
      </c>
      <c r="S91" s="2"/>
      <c r="T91" s="6">
        <v>5100</v>
      </c>
      <c r="U91" s="2"/>
      <c r="V91" s="7">
        <f t="shared" si="68"/>
        <v>8.32695205798171E-3</v>
      </c>
      <c r="W91" s="2"/>
      <c r="X91" s="6">
        <f t="shared" si="69"/>
        <v>-4892.7299999999996</v>
      </c>
      <c r="Y91" s="2"/>
      <c r="Z91" s="7">
        <f t="shared" si="70"/>
        <v>-0.95935882352941171</v>
      </c>
    </row>
    <row r="92" spans="1:26" s="24" customFormat="1" hidden="1" outlineLevel="2" x14ac:dyDescent="0.25">
      <c r="A92" s="26"/>
      <c r="B92" s="11" t="str">
        <f>CONCATENATE("          ", "6237", " - ", "JANITORIAL SUPPLIES")</f>
        <v xml:space="preserve">          6237 - JANITORIAL SUPPLIES</v>
      </c>
      <c r="C92" s="11"/>
      <c r="D92" s="6"/>
      <c r="E92" s="2"/>
      <c r="F92" s="7">
        <f t="shared" si="63"/>
        <v>0</v>
      </c>
      <c r="G92" s="2"/>
      <c r="H92" s="6"/>
      <c r="I92" s="2"/>
      <c r="J92" s="7">
        <f t="shared" si="64"/>
        <v>0</v>
      </c>
      <c r="K92" s="2"/>
      <c r="L92" s="6">
        <f t="shared" si="65"/>
        <v>0</v>
      </c>
      <c r="M92" s="2"/>
      <c r="N92" s="7">
        <f t="shared" si="66"/>
        <v>0</v>
      </c>
      <c r="O92" s="11"/>
      <c r="P92" s="6">
        <v>317.57</v>
      </c>
      <c r="Q92" s="2"/>
      <c r="R92" s="7">
        <f t="shared" si="67"/>
        <v>0.10909421945262231</v>
      </c>
      <c r="S92" s="2"/>
      <c r="T92" s="6">
        <v>1774</v>
      </c>
      <c r="U92" s="2"/>
      <c r="V92" s="7">
        <f t="shared" si="68"/>
        <v>2.8964731276195205E-3</v>
      </c>
      <c r="W92" s="2"/>
      <c r="X92" s="6">
        <f t="shared" si="69"/>
        <v>-1456.43</v>
      </c>
      <c r="Y92" s="2"/>
      <c r="Z92" s="7">
        <f t="shared" si="70"/>
        <v>-0.82098647125140933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6">
        <v>6.79</v>
      </c>
      <c r="E93" s="2"/>
      <c r="F93" s="7">
        <f t="shared" si="63"/>
        <v>0.19941262848751837</v>
      </c>
      <c r="G93" s="2"/>
      <c r="H93" s="6"/>
      <c r="I93" s="2"/>
      <c r="J93" s="7">
        <f t="shared" si="64"/>
        <v>0</v>
      </c>
      <c r="K93" s="2"/>
      <c r="L93" s="6">
        <f t="shared" si="65"/>
        <v>6.79</v>
      </c>
      <c r="M93" s="2"/>
      <c r="N93" s="7">
        <f t="shared" si="66"/>
        <v>0</v>
      </c>
      <c r="O93" s="11"/>
      <c r="P93" s="6">
        <v>138.09</v>
      </c>
      <c r="Q93" s="2"/>
      <c r="R93" s="7">
        <f t="shared" si="67"/>
        <v>4.743779564887305E-2</v>
      </c>
      <c r="S93" s="2"/>
      <c r="T93" s="6"/>
      <c r="U93" s="2"/>
      <c r="V93" s="7">
        <f t="shared" si="68"/>
        <v>0</v>
      </c>
      <c r="W93" s="2"/>
      <c r="X93" s="6">
        <f t="shared" si="69"/>
        <v>138.09</v>
      </c>
      <c r="Y93" s="2"/>
      <c r="Z93" s="7">
        <f t="shared" si="70"/>
        <v>0</v>
      </c>
    </row>
    <row r="94" spans="1:26" s="24" customFormat="1" hidden="1" outlineLevel="2" x14ac:dyDescent="0.25">
      <c r="A94" s="26"/>
      <c r="B94" s="11" t="str">
        <f>CONCATENATE("          ", "6243", " - ", "PAPER SUPPLIES")</f>
        <v xml:space="preserve">          6243 - PAPER SUPPLIES</v>
      </c>
      <c r="C94" s="11"/>
      <c r="D94" s="6"/>
      <c r="E94" s="2"/>
      <c r="F94" s="7">
        <f t="shared" si="63"/>
        <v>0</v>
      </c>
      <c r="G94" s="2"/>
      <c r="H94" s="6"/>
      <c r="I94" s="2"/>
      <c r="J94" s="7">
        <f t="shared" si="64"/>
        <v>0</v>
      </c>
      <c r="K94" s="2"/>
      <c r="L94" s="6">
        <f t="shared" si="65"/>
        <v>0</v>
      </c>
      <c r="M94" s="2"/>
      <c r="N94" s="7">
        <f t="shared" si="66"/>
        <v>0</v>
      </c>
      <c r="O94" s="11"/>
      <c r="P94" s="6"/>
      <c r="Q94" s="2"/>
      <c r="R94" s="7">
        <f t="shared" si="67"/>
        <v>0</v>
      </c>
      <c r="S94" s="2"/>
      <c r="T94" s="6">
        <v>1507</v>
      </c>
      <c r="U94" s="2"/>
      <c r="V94" s="7">
        <f t="shared" si="68"/>
        <v>2.4605326963487132E-3</v>
      </c>
      <c r="W94" s="2"/>
      <c r="X94" s="6">
        <f t="shared" si="69"/>
        <v>-1507</v>
      </c>
      <c r="Y94" s="2"/>
      <c r="Z94" s="7">
        <f t="shared" si="70"/>
        <v>-1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6"/>
      <c r="E95" s="2"/>
      <c r="F95" s="7">
        <f t="shared" si="63"/>
        <v>0</v>
      </c>
      <c r="G95" s="2"/>
      <c r="H95" s="6">
        <v>410</v>
      </c>
      <c r="I95" s="2"/>
      <c r="J95" s="7">
        <f t="shared" si="64"/>
        <v>3.3483054307880768E-2</v>
      </c>
      <c r="K95" s="2"/>
      <c r="L95" s="6">
        <f t="shared" si="65"/>
        <v>-410</v>
      </c>
      <c r="M95" s="2"/>
      <c r="N95" s="7">
        <f t="shared" si="66"/>
        <v>-1</v>
      </c>
      <c r="O95" s="11"/>
      <c r="P95" s="6">
        <v>121.28</v>
      </c>
      <c r="Q95" s="2"/>
      <c r="R95" s="7">
        <f t="shared" si="67"/>
        <v>4.1663088248934201E-2</v>
      </c>
      <c r="S95" s="2"/>
      <c r="T95" s="6">
        <v>15584</v>
      </c>
      <c r="U95" s="2"/>
      <c r="V95" s="7">
        <f t="shared" si="68"/>
        <v>2.5444553112075878E-2</v>
      </c>
      <c r="W95" s="2"/>
      <c r="X95" s="6">
        <f t="shared" si="69"/>
        <v>-15462.72</v>
      </c>
      <c r="Y95" s="2"/>
      <c r="Z95" s="7">
        <f t="shared" si="70"/>
        <v>-0.99221765913757698</v>
      </c>
    </row>
    <row r="96" spans="1:26" s="24" customFormat="1" hidden="1" outlineLevel="2" x14ac:dyDescent="0.25">
      <c r="A96" s="26"/>
      <c r="B96" s="11" t="str">
        <f>CONCATENATE("          ", "6248", " - ", "UNIFORMS")</f>
        <v xml:space="preserve">          6248 - UNIFORMS</v>
      </c>
      <c r="C96" s="11"/>
      <c r="D96" s="6"/>
      <c r="E96" s="2"/>
      <c r="F96" s="7">
        <f t="shared" si="63"/>
        <v>0</v>
      </c>
      <c r="G96" s="2"/>
      <c r="H96" s="6"/>
      <c r="I96" s="2"/>
      <c r="J96" s="7">
        <f t="shared" si="64"/>
        <v>0</v>
      </c>
      <c r="K96" s="2"/>
      <c r="L96" s="6">
        <f t="shared" si="65"/>
        <v>0</v>
      </c>
      <c r="M96" s="2"/>
      <c r="N96" s="7">
        <f t="shared" si="66"/>
        <v>0</v>
      </c>
      <c r="O96" s="11"/>
      <c r="P96" s="6"/>
      <c r="Q96" s="2"/>
      <c r="R96" s="7">
        <f t="shared" si="67"/>
        <v>0</v>
      </c>
      <c r="S96" s="2"/>
      <c r="T96" s="6">
        <v>200</v>
      </c>
      <c r="U96" s="2"/>
      <c r="V96" s="7">
        <f t="shared" si="68"/>
        <v>3.2654713952869454E-4</v>
      </c>
      <c r="W96" s="2"/>
      <c r="X96" s="6">
        <f t="shared" si="69"/>
        <v>-200</v>
      </c>
      <c r="Y96" s="2"/>
      <c r="Z96" s="7">
        <f t="shared" si="70"/>
        <v>-1</v>
      </c>
    </row>
    <row r="97" spans="1:26" s="27" customFormat="1" outlineLevel="1" collapsed="1" x14ac:dyDescent="0.25">
      <c r="A97" s="25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SUM(OSRRefD22_18x_0)</f>
        <v>175.55</v>
      </c>
      <c r="E97" s="1"/>
      <c r="F97" s="5">
        <f t="shared" ref="F97:F99" si="71">IF(D$12=0,0,D97/D$12)</f>
        <v>5.1556534508076366</v>
      </c>
      <c r="G97" s="1"/>
      <c r="H97" s="1">
        <f>SUM(OSRRefH22_18x_0)</f>
        <v>235</v>
      </c>
      <c r="I97" s="1"/>
      <c r="J97" s="5">
        <f t="shared" ref="J97:J99" si="72">IF(H$12=0,0,H97/H$12)</f>
        <v>1.9191506737443853E-2</v>
      </c>
      <c r="K97" s="1"/>
      <c r="L97" s="1">
        <f t="shared" ref="L97:L99" si="73">+D97-H97</f>
        <v>-59.449999999999989</v>
      </c>
      <c r="M97" s="1"/>
      <c r="N97" s="5">
        <f t="shared" ref="N97:N99" si="74">IF(H97=0,0,L97/H97)</f>
        <v>-0.25297872340425526</v>
      </c>
      <c r="O97" s="13"/>
      <c r="P97" s="1">
        <f>SUM(OSRRefP22_18x_0)</f>
        <v>3730.64</v>
      </c>
      <c r="Q97" s="1"/>
      <c r="R97" s="5">
        <f t="shared" ref="R97:R99" si="75">IF(P$12=0,0,P97/P$12)</f>
        <v>1.2815796796256915</v>
      </c>
      <c r="S97" s="1"/>
      <c r="T97" s="1">
        <f>SUM(OSRRefT22_18x_0)</f>
        <v>3415</v>
      </c>
      <c r="U97" s="1"/>
      <c r="V97" s="5">
        <f t="shared" ref="V97:V99" si="76">IF(T$12=0,0,T97/T$12)</f>
        <v>5.5757924074524585E-3</v>
      </c>
      <c r="W97" s="1"/>
      <c r="X97" s="1">
        <f t="shared" ref="X97:X99" si="77">+P97-T97</f>
        <v>315.63999999999987</v>
      </c>
      <c r="Y97" s="1"/>
      <c r="Z97" s="5">
        <f t="shared" ref="Z97:Z99" si="78">IF(T97=0,0,X97/T97)</f>
        <v>9.2427525622254716E-2</v>
      </c>
    </row>
    <row r="98" spans="1:26" s="24" customFormat="1" hidden="1" outlineLevel="2" x14ac:dyDescent="0.25">
      <c r="A98" s="26"/>
      <c r="B98" s="11" t="str">
        <f>CONCATENATE("          ", "6303", " - ", "DATA PHONE LINES")</f>
        <v xml:space="preserve">          6303 - DATA PHONE LINES</v>
      </c>
      <c r="C98" s="11"/>
      <c r="D98" s="6"/>
      <c r="E98" s="2"/>
      <c r="F98" s="7">
        <f t="shared" si="71"/>
        <v>0</v>
      </c>
      <c r="G98" s="2"/>
      <c r="H98" s="6">
        <v>235</v>
      </c>
      <c r="I98" s="2"/>
      <c r="J98" s="7">
        <f t="shared" si="72"/>
        <v>1.9191506737443853E-2</v>
      </c>
      <c r="K98" s="2"/>
      <c r="L98" s="6">
        <f t="shared" si="73"/>
        <v>-235</v>
      </c>
      <c r="M98" s="2"/>
      <c r="N98" s="7">
        <f t="shared" si="74"/>
        <v>-1</v>
      </c>
      <c r="O98" s="11"/>
      <c r="P98" s="6"/>
      <c r="Q98" s="2"/>
      <c r="R98" s="7">
        <f t="shared" si="75"/>
        <v>0</v>
      </c>
      <c r="S98" s="2"/>
      <c r="T98" s="6">
        <v>2815</v>
      </c>
      <c r="U98" s="2"/>
      <c r="V98" s="7">
        <f t="shared" si="76"/>
        <v>4.5961509888663753E-3</v>
      </c>
      <c r="W98" s="2"/>
      <c r="X98" s="6">
        <f t="shared" si="77"/>
        <v>-2815</v>
      </c>
      <c r="Y98" s="2"/>
      <c r="Z98" s="7">
        <f t="shared" si="78"/>
        <v>-1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6">
        <v>175.55</v>
      </c>
      <c r="E99" s="2"/>
      <c r="F99" s="7">
        <f t="shared" si="71"/>
        <v>5.1556534508076366</v>
      </c>
      <c r="G99" s="2"/>
      <c r="H99" s="6"/>
      <c r="I99" s="2"/>
      <c r="J99" s="7">
        <f t="shared" si="72"/>
        <v>0</v>
      </c>
      <c r="K99" s="2"/>
      <c r="L99" s="6">
        <f t="shared" si="73"/>
        <v>175.55</v>
      </c>
      <c r="M99" s="2"/>
      <c r="N99" s="7">
        <f t="shared" si="74"/>
        <v>0</v>
      </c>
      <c r="O99" s="11"/>
      <c r="P99" s="6">
        <v>3730.64</v>
      </c>
      <c r="Q99" s="2"/>
      <c r="R99" s="7">
        <f t="shared" si="75"/>
        <v>1.2815796796256915</v>
      </c>
      <c r="S99" s="2"/>
      <c r="T99" s="6">
        <v>600</v>
      </c>
      <c r="U99" s="2"/>
      <c r="V99" s="7">
        <f t="shared" si="76"/>
        <v>9.7964141858608361E-4</v>
      </c>
      <c r="W99" s="2"/>
      <c r="X99" s="6">
        <f t="shared" si="77"/>
        <v>3130.64</v>
      </c>
      <c r="Y99" s="2"/>
      <c r="Z99" s="7">
        <f t="shared" si="78"/>
        <v>5.2177333333333333</v>
      </c>
    </row>
    <row r="100" spans="1:26" s="27" customFormat="1" outlineLevel="1" collapsed="1" x14ac:dyDescent="0.25">
      <c r="A100" s="25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SUM(OSRRefD22_19x_0)</f>
        <v>0</v>
      </c>
      <c r="E100" s="1"/>
      <c r="F100" s="5">
        <f t="shared" ref="F100:F105" si="79">IF(D$12=0,0,D100/D$12)</f>
        <v>0</v>
      </c>
      <c r="G100" s="1"/>
      <c r="H100" s="1">
        <f>SUM(OSRRefH22_19x_0)</f>
        <v>0</v>
      </c>
      <c r="I100" s="1"/>
      <c r="J100" s="5">
        <f t="shared" ref="J100:J105" si="80">IF(H$12=0,0,H100/H$12)</f>
        <v>0</v>
      </c>
      <c r="K100" s="1"/>
      <c r="L100" s="1">
        <f t="shared" ref="L100:L105" si="81">+D100-H100</f>
        <v>0</v>
      </c>
      <c r="M100" s="1"/>
      <c r="N100" s="5">
        <f t="shared" ref="N100:N105" si="82">IF(H100=0,0,L100/H100)</f>
        <v>0</v>
      </c>
      <c r="O100" s="13"/>
      <c r="P100" s="1">
        <f>SUM(OSRRefP22_19x_0)</f>
        <v>0</v>
      </c>
      <c r="Q100" s="1"/>
      <c r="R100" s="5">
        <f t="shared" ref="R100:R105" si="83">IF(P$12=0,0,P100/P$12)</f>
        <v>0</v>
      </c>
      <c r="S100" s="1"/>
      <c r="T100" s="1">
        <f>SUM(OSRRefT22_19x_0)</f>
        <v>240</v>
      </c>
      <c r="U100" s="1"/>
      <c r="V100" s="5">
        <f t="shared" ref="V100:V105" si="84">IF(T$12=0,0,T100/T$12)</f>
        <v>3.9185656743443342E-4</v>
      </c>
      <c r="W100" s="1"/>
      <c r="X100" s="1">
        <f t="shared" ref="X100:X105" si="85">+P100-T100</f>
        <v>-240</v>
      </c>
      <c r="Y100" s="1"/>
      <c r="Z100" s="5">
        <f t="shared" ref="Z100:Z105" si="86">IF(T100=0,0,X100/T100)</f>
        <v>-1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79"/>
        <v>0</v>
      </c>
      <c r="G101" s="2"/>
      <c r="H101" s="6"/>
      <c r="I101" s="2"/>
      <c r="J101" s="7">
        <f t="shared" si="80"/>
        <v>0</v>
      </c>
      <c r="K101" s="2"/>
      <c r="L101" s="6">
        <f t="shared" si="81"/>
        <v>0</v>
      </c>
      <c r="M101" s="2"/>
      <c r="N101" s="7">
        <f t="shared" si="82"/>
        <v>0</v>
      </c>
      <c r="O101" s="11"/>
      <c r="P101" s="6"/>
      <c r="Q101" s="2"/>
      <c r="R101" s="7">
        <f t="shared" si="83"/>
        <v>0</v>
      </c>
      <c r="S101" s="2"/>
      <c r="T101" s="6">
        <v>240</v>
      </c>
      <c r="U101" s="2"/>
      <c r="V101" s="7">
        <f t="shared" si="84"/>
        <v>3.9185656743443342E-4</v>
      </c>
      <c r="W101" s="2"/>
      <c r="X101" s="6">
        <f t="shared" si="85"/>
        <v>-240</v>
      </c>
      <c r="Y101" s="2"/>
      <c r="Z101" s="7">
        <f t="shared" si="86"/>
        <v>-1</v>
      </c>
    </row>
    <row r="102" spans="1:26" s="27" customFormat="1" outlineLevel="1" collapsed="1" x14ac:dyDescent="0.25">
      <c r="A102" s="25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SUM(OSRRefD22_20x_0)</f>
        <v>0</v>
      </c>
      <c r="E102" s="1"/>
      <c r="F102" s="5">
        <f t="shared" si="79"/>
        <v>0</v>
      </c>
      <c r="G102" s="1"/>
      <c r="H102" s="1">
        <f>SUM(OSRRefH22_20x_0)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3"/>
      <c r="P102" s="1">
        <f>SUM(OSRRefP22_20x_0)</f>
        <v>0</v>
      </c>
      <c r="Q102" s="1"/>
      <c r="R102" s="5">
        <f t="shared" si="83"/>
        <v>0</v>
      </c>
      <c r="S102" s="1"/>
      <c r="T102" s="1">
        <f>SUM(OSRRefT22_20x_0)</f>
        <v>1500</v>
      </c>
      <c r="U102" s="1"/>
      <c r="V102" s="5">
        <f t="shared" si="84"/>
        <v>2.4491035464652088E-3</v>
      </c>
      <c r="W102" s="1"/>
      <c r="X102" s="1">
        <f t="shared" si="85"/>
        <v>-1500</v>
      </c>
      <c r="Y102" s="1"/>
      <c r="Z102" s="5">
        <f t="shared" si="86"/>
        <v>-1</v>
      </c>
    </row>
    <row r="103" spans="1:26" s="24" customFormat="1" hidden="1" outlineLevel="2" x14ac:dyDescent="0.25">
      <c r="A103" s="26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79"/>
        <v>0</v>
      </c>
      <c r="G103" s="2"/>
      <c r="H103" s="6"/>
      <c r="I103" s="2"/>
      <c r="J103" s="7">
        <f t="shared" si="80"/>
        <v>0</v>
      </c>
      <c r="K103" s="2"/>
      <c r="L103" s="6">
        <f t="shared" si="81"/>
        <v>0</v>
      </c>
      <c r="M103" s="2"/>
      <c r="N103" s="7">
        <f t="shared" si="82"/>
        <v>0</v>
      </c>
      <c r="O103" s="11"/>
      <c r="P103" s="6"/>
      <c r="Q103" s="2"/>
      <c r="R103" s="7">
        <f t="shared" si="83"/>
        <v>0</v>
      </c>
      <c r="S103" s="2"/>
      <c r="T103" s="6">
        <v>1500</v>
      </c>
      <c r="U103" s="2"/>
      <c r="V103" s="7">
        <f t="shared" si="84"/>
        <v>2.4491035464652088E-3</v>
      </c>
      <c r="W103" s="2"/>
      <c r="X103" s="6">
        <f t="shared" si="85"/>
        <v>-1500</v>
      </c>
      <c r="Y103" s="2"/>
      <c r="Z103" s="7">
        <f t="shared" si="86"/>
        <v>-1</v>
      </c>
    </row>
    <row r="104" spans="1:26" s="27" customFormat="1" outlineLevel="1" collapsed="1" x14ac:dyDescent="0.25">
      <c r="A104" s="25"/>
      <c r="B104" s="13" t="str">
        <f>CONCATENATE("     ","Utilities                                         ")</f>
        <v xml:space="preserve">     Utilities                                         </v>
      </c>
      <c r="C104" s="13"/>
      <c r="D104" s="1">
        <f>SUM(OSRRefD22_21x_0)</f>
        <v>-815</v>
      </c>
      <c r="E104" s="1"/>
      <c r="F104" s="5">
        <f t="shared" si="79"/>
        <v>-23.935389133627019</v>
      </c>
      <c r="G104" s="1"/>
      <c r="H104" s="1">
        <f>SUM(OSRRefH22_21x_0)</f>
        <v>850</v>
      </c>
      <c r="I104" s="1"/>
      <c r="J104" s="5">
        <f t="shared" si="80"/>
        <v>6.9416088199265008E-2</v>
      </c>
      <c r="K104" s="1"/>
      <c r="L104" s="1">
        <f t="shared" si="81"/>
        <v>-1665</v>
      </c>
      <c r="M104" s="1"/>
      <c r="N104" s="5">
        <f t="shared" si="82"/>
        <v>-1.9588235294117646</v>
      </c>
      <c r="O104" s="13"/>
      <c r="P104" s="1">
        <f>SUM(OSRRefP22_21x_0)</f>
        <v>6105</v>
      </c>
      <c r="Q104" s="1"/>
      <c r="R104" s="5">
        <f t="shared" si="83"/>
        <v>2.0972390646416827</v>
      </c>
      <c r="S104" s="1"/>
      <c r="T104" s="1">
        <f>SUM(OSRRefT22_21x_0)</f>
        <v>10494</v>
      </c>
      <c r="U104" s="1"/>
      <c r="V104" s="5">
        <f t="shared" si="84"/>
        <v>1.7133928411070601E-2</v>
      </c>
      <c r="W104" s="1"/>
      <c r="X104" s="1">
        <f t="shared" si="85"/>
        <v>-4389</v>
      </c>
      <c r="Y104" s="1"/>
      <c r="Z104" s="5">
        <f t="shared" si="86"/>
        <v>-0.41823899371069184</v>
      </c>
    </row>
    <row r="105" spans="1:26" s="24" customFormat="1" hidden="1" outlineLevel="2" x14ac:dyDescent="0.25">
      <c r="A105" s="26"/>
      <c r="B105" s="11" t="str">
        <f>CONCATENATE("          ", "6274", " - ", "UTILITIES")</f>
        <v xml:space="preserve">          6274 - UTILITIES</v>
      </c>
      <c r="C105" s="11"/>
      <c r="D105" s="6">
        <v>-815</v>
      </c>
      <c r="E105" s="2"/>
      <c r="F105" s="7">
        <f t="shared" si="79"/>
        <v>-23.935389133627019</v>
      </c>
      <c r="G105" s="2"/>
      <c r="H105" s="6">
        <v>850</v>
      </c>
      <c r="I105" s="2"/>
      <c r="J105" s="7">
        <f t="shared" si="80"/>
        <v>6.9416088199265008E-2</v>
      </c>
      <c r="K105" s="2"/>
      <c r="L105" s="6">
        <f t="shared" si="81"/>
        <v>-1665</v>
      </c>
      <c r="M105" s="2"/>
      <c r="N105" s="7">
        <f t="shared" si="82"/>
        <v>-1.9588235294117646</v>
      </c>
      <c r="O105" s="11"/>
      <c r="P105" s="6">
        <v>6105</v>
      </c>
      <c r="Q105" s="2"/>
      <c r="R105" s="7">
        <f t="shared" si="83"/>
        <v>2.0972390646416827</v>
      </c>
      <c r="S105" s="2"/>
      <c r="T105" s="6">
        <v>10494</v>
      </c>
      <c r="U105" s="2"/>
      <c r="V105" s="7">
        <f t="shared" si="84"/>
        <v>1.7133928411070601E-2</v>
      </c>
      <c r="W105" s="2"/>
      <c r="X105" s="6">
        <f t="shared" si="85"/>
        <v>-4389</v>
      </c>
      <c r="Y105" s="2"/>
      <c r="Z105" s="7">
        <f t="shared" si="86"/>
        <v>-0.41823899371069184</v>
      </c>
    </row>
    <row r="106" spans="1:26" s="61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9" t="s">
        <v>293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277</v>
      </c>
      <c r="C109" s="28"/>
      <c r="D109" s="20">
        <f>+D27-D29+D107</f>
        <v>-11409.43</v>
      </c>
      <c r="E109" s="14"/>
      <c r="F109" s="22">
        <f>IF(D$12=0,0,D109/D$12)</f>
        <v>-335.07870778267255</v>
      </c>
      <c r="G109" s="14"/>
      <c r="H109" s="20">
        <f>+H27-H29+H107</f>
        <v>-32950.685568999994</v>
      </c>
      <c r="I109" s="14"/>
      <c r="J109" s="22">
        <f>IF(H$12=0,0,H109/H$12)</f>
        <v>-2.6909502302164143</v>
      </c>
      <c r="K109" s="16"/>
      <c r="L109" s="20">
        <f>+D109-H109</f>
        <v>21541.255568999994</v>
      </c>
      <c r="M109" s="16"/>
      <c r="N109" s="22">
        <f>IF(H109=0,0,L109/H109)</f>
        <v>-0.65374225746811188</v>
      </c>
      <c r="O109" s="29"/>
      <c r="P109" s="20">
        <f>+P27-P29+P107</f>
        <v>-284951.78000000003</v>
      </c>
      <c r="Q109" s="14"/>
      <c r="R109" s="22">
        <f>IF(P$12=0,0,P109/P$12)</f>
        <v>-97.888944235083159</v>
      </c>
      <c r="S109" s="14"/>
      <c r="T109" s="20">
        <f>+T27-T29+T107</f>
        <v>-330820.5706944</v>
      </c>
      <c r="U109" s="14"/>
      <c r="V109" s="22">
        <f>IF(T$12=0,0,T109/T$12)</f>
        <v>-0.54014255528753297</v>
      </c>
      <c r="W109" s="16"/>
      <c r="X109" s="20">
        <f>+P109-T109</f>
        <v>45868.79069439997</v>
      </c>
      <c r="Y109" s="16"/>
      <c r="Z109" s="22">
        <f>IF(T109=0,0,X109/T109)</f>
        <v>-0.13865156751927585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190.97</v>
      </c>
      <c r="E111" s="4"/>
      <c r="F111" s="12">
        <f>IF(D$12=0,0,D111/D$12)</f>
        <v>5.6085168869309845</v>
      </c>
      <c r="G111" s="4"/>
      <c r="H111" s="4">
        <v>-7316</v>
      </c>
      <c r="I111" s="4"/>
      <c r="J111" s="12">
        <f>IF(H$12=0,0,H111/H$12)</f>
        <v>-0.59746835443037971</v>
      </c>
      <c r="K111" s="4"/>
      <c r="L111" s="4">
        <f>+D111-H111</f>
        <v>7506.97</v>
      </c>
      <c r="M111" s="4"/>
      <c r="N111" s="12">
        <f>IF(H111=0,0,L111/H111)</f>
        <v>-1.0261030617823947</v>
      </c>
      <c r="O111" s="10"/>
      <c r="P111" s="4">
        <v>805.74</v>
      </c>
      <c r="Q111" s="4"/>
      <c r="R111" s="12">
        <f>IF(P$12=0,0,P111/P$12)</f>
        <v>0.27679433316042418</v>
      </c>
      <c r="S111" s="4"/>
      <c r="T111" s="4">
        <v>103492</v>
      </c>
      <c r="U111" s="4"/>
      <c r="V111" s="12">
        <f>IF(T$12=0,0,T111/T$12)</f>
        <v>0.16897508282051826</v>
      </c>
      <c r="W111" s="4"/>
      <c r="X111" s="4">
        <f>+P111-T111</f>
        <v>-102686.26</v>
      </c>
      <c r="Y111" s="4"/>
      <c r="Z111" s="12">
        <f>IF(T111=0,0,X111/T111)</f>
        <v>-0.99221447068372426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126</v>
      </c>
      <c r="C113" s="28"/>
      <c r="D113" s="34">
        <f>+D109-D111</f>
        <v>-11600.4</v>
      </c>
      <c r="E113" s="14"/>
      <c r="F113" s="35">
        <f>IF(D$12=0,0,D113/D$12)</f>
        <v>-340.68722466960355</v>
      </c>
      <c r="G113" s="14"/>
      <c r="H113" s="34">
        <f>+H109-H111</f>
        <v>-25634.685568999994</v>
      </c>
      <c r="I113" s="14"/>
      <c r="J113" s="35">
        <f>IF(H$12=0,0,H113/H$12)</f>
        <v>-2.0934818757860345</v>
      </c>
      <c r="K113" s="16"/>
      <c r="L113" s="34">
        <f>D113-H113</f>
        <v>14034.285568999994</v>
      </c>
      <c r="M113" s="16"/>
      <c r="N113" s="35">
        <f>IF(H113=0,0,L113/H113)</f>
        <v>-0.54747250678087678</v>
      </c>
      <c r="O113" s="29"/>
      <c r="P113" s="34">
        <f>+P109-P111</f>
        <v>-285757.52</v>
      </c>
      <c r="Q113" s="14"/>
      <c r="R113" s="35">
        <f>IF(P$12=0,0,P113/P$12)</f>
        <v>-98.165738568243569</v>
      </c>
      <c r="S113" s="14"/>
      <c r="T113" s="34">
        <f>+T109-T111</f>
        <v>-434312.5706944</v>
      </c>
      <c r="U113" s="14"/>
      <c r="V113" s="35">
        <f>IF(T$12=0,0,T113/T$12)</f>
        <v>-0.70911763810805117</v>
      </c>
      <c r="W113" s="16"/>
      <c r="X113" s="34">
        <f>P113-T113</f>
        <v>148555.05069439998</v>
      </c>
      <c r="Y113" s="16"/>
      <c r="Z113" s="35">
        <f>IF(T113=0,0,X113/T113)</f>
        <v>-0.34204639864990083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294</v>
      </c>
      <c r="C116" s="28"/>
      <c r="D116" s="33">
        <f>SUM(D113:D115)</f>
        <v>-11600.4</v>
      </c>
      <c r="E116" s="14"/>
      <c r="F116" s="31">
        <f>IF(D$12=0,0,D116/D$12)</f>
        <v>-340.68722466960355</v>
      </c>
      <c r="G116" s="14"/>
      <c r="H116" s="33">
        <f>SUM(H113:H115)</f>
        <v>-25634.685568999994</v>
      </c>
      <c r="I116" s="14"/>
      <c r="J116" s="31">
        <f>IF(H$12=0,0,H116/H$12)</f>
        <v>-2.0934818757860345</v>
      </c>
      <c r="K116" s="16"/>
      <c r="L116" s="33">
        <f>+D116-H116</f>
        <v>14034.285568999994</v>
      </c>
      <c r="M116" s="16"/>
      <c r="N116" s="31">
        <f>IF(H116=0,0,L116/H116)</f>
        <v>-0.54747250678087678</v>
      </c>
      <c r="O116" s="29"/>
      <c r="P116" s="33">
        <f>SUM(P113:P115)</f>
        <v>-285757.52</v>
      </c>
      <c r="Q116" s="14"/>
      <c r="R116" s="31">
        <f>IF(P$12=0,0,P116/P$12)</f>
        <v>-98.165738568243569</v>
      </c>
      <c r="S116" s="14"/>
      <c r="T116" s="33">
        <f>SUM(T113:T115)</f>
        <v>-434312.5706944</v>
      </c>
      <c r="U116" s="14"/>
      <c r="V116" s="31">
        <f>IF(T$12=0,0,T116/T$12)</f>
        <v>-0.70911763810805117</v>
      </c>
      <c r="W116" s="16"/>
      <c r="X116" s="33">
        <f>+P116-T116</f>
        <v>148555.05069439998</v>
      </c>
      <c r="Y116" s="16"/>
      <c r="Z116" s="31">
        <f>IF(T116=0,0,X116/T116)</f>
        <v>-0.34204639864990083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6">
        <v>44454.686058101855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5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63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</v>
      </c>
      <c r="U13" s="2"/>
      <c r="V13" s="19"/>
      <c r="W13" s="2"/>
      <c r="X13" s="2">
        <f t="shared" si="2"/>
        <v>-2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-179.4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-179.4</v>
      </c>
      <c r="M15" s="4"/>
      <c r="N15" s="12">
        <f t="shared" ref="N15:N17" si="7">IF(H15=0,0,L15/H15)</f>
        <v>0</v>
      </c>
      <c r="O15" s="10"/>
      <c r="P15" s="4">
        <f>SUM(OSRRefP16x_0)</f>
        <v>-179.4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-179.4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-179.4</v>
      </c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-179.4</v>
      </c>
      <c r="M17" s="2"/>
      <c r="N17" s="19">
        <f t="shared" si="7"/>
        <v>0</v>
      </c>
      <c r="O17" s="11"/>
      <c r="P17" s="2">
        <v>-179.4</v>
      </c>
      <c r="Q17" s="2"/>
      <c r="R17" s="19">
        <f t="shared" si="8"/>
        <v>0</v>
      </c>
      <c r="S17" s="2"/>
      <c r="T17" s="2"/>
      <c r="U17" s="2"/>
      <c r="V17" s="19">
        <f t="shared" si="9"/>
        <v>0</v>
      </c>
      <c r="W17" s="2"/>
      <c r="X17" s="2">
        <f t="shared" si="10"/>
        <v>-179.4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D12-D15</f>
        <v>179.4</v>
      </c>
      <c r="E19" s="14"/>
      <c r="F19" s="22">
        <f>IF(D$12=0,0,D19/D$12)</f>
        <v>0</v>
      </c>
      <c r="G19" s="14"/>
      <c r="H19" s="20">
        <f>H12-H15</f>
        <v>0</v>
      </c>
      <c r="I19" s="14"/>
      <c r="J19" s="22">
        <f>IF(H$12=0,0,H19/H$12)</f>
        <v>0</v>
      </c>
      <c r="K19" s="16"/>
      <c r="L19" s="20">
        <f>+D19-H19</f>
        <v>179.4</v>
      </c>
      <c r="M19" s="16"/>
      <c r="N19" s="22">
        <f>IF(H19=0,0,L19/H19)</f>
        <v>0</v>
      </c>
      <c r="O19" s="29"/>
      <c r="P19" s="20">
        <f>P12-P15</f>
        <v>179.4</v>
      </c>
      <c r="Q19" s="14"/>
      <c r="R19" s="22">
        <f>IF(P$12=0,0,P19/P$12)</f>
        <v>0</v>
      </c>
      <c r="S19" s="14"/>
      <c r="T19" s="20">
        <f>T12-T15</f>
        <v>2</v>
      </c>
      <c r="U19" s="14"/>
      <c r="V19" s="22">
        <f>IF(T$12=0,0,T19/T$12)</f>
        <v>1</v>
      </c>
      <c r="W19" s="16"/>
      <c r="X19" s="20">
        <f>+P19-T19</f>
        <v>177.4</v>
      </c>
      <c r="Y19" s="16"/>
      <c r="Z19" s="22">
        <f>IF(T19=0,0,X19/T19)</f>
        <v>88.7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1">
        <f>SUM(OSRRefD22x_0)</f>
        <v>1071.29</v>
      </c>
      <c r="E21" s="21"/>
      <c r="F21" s="30">
        <f t="shared" ref="F21:F30" si="12">IF(D$12=0,0,D21/D$12)</f>
        <v>0</v>
      </c>
      <c r="G21" s="21"/>
      <c r="H21" s="21">
        <f>SUM(OSRRefH22x_0)</f>
        <v>0</v>
      </c>
      <c r="I21" s="21"/>
      <c r="J21" s="30">
        <f t="shared" ref="J21:J30" si="13">IF(H$12=0,0,H21/H$12)</f>
        <v>0</v>
      </c>
      <c r="K21" s="4"/>
      <c r="L21" s="21">
        <f t="shared" ref="L21:L30" si="14">+D21-H21</f>
        <v>1071.29</v>
      </c>
      <c r="M21" s="4"/>
      <c r="N21" s="30">
        <f t="shared" ref="N21:N30" si="15">IF(H21=0,0,L21/H21)</f>
        <v>0</v>
      </c>
      <c r="O21" s="10"/>
      <c r="P21" s="21">
        <f>SUM(OSRRefP22x_0)</f>
        <v>11332.689999999999</v>
      </c>
      <c r="Q21" s="21"/>
      <c r="R21" s="30">
        <f t="shared" ref="R21:R30" si="16">IF(P$12=0,0,P21/P$12)</f>
        <v>0</v>
      </c>
      <c r="S21" s="21"/>
      <c r="T21" s="21">
        <f>SUM(OSRRefT22x_0)</f>
        <v>0</v>
      </c>
      <c r="U21" s="21"/>
      <c r="V21" s="30">
        <f t="shared" ref="V21:V30" si="17">IF(T$12=0,0,T21/T$12)</f>
        <v>0</v>
      </c>
      <c r="W21" s="4"/>
      <c r="X21" s="21">
        <f t="shared" ref="X21:X30" si="18">+P21-T21</f>
        <v>11332.689999999999</v>
      </c>
      <c r="Y21" s="4"/>
      <c r="Z21" s="30">
        <f t="shared" ref="Z21:Z30" si="19">IF(T21=0,0,X21/T21)</f>
        <v>0</v>
      </c>
    </row>
    <row r="22" spans="1:26" s="27" customFormat="1" outlineLevel="1" collapsed="1" x14ac:dyDescent="0.25">
      <c r="A22" s="25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0</v>
      </c>
      <c r="Y22" s="1"/>
      <c r="Z22" s="5">
        <f t="shared" si="19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3"/>
      <c r="P31" s="1">
        <f>SUM(OSRRefP22_1x_0)</f>
        <v>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3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0</v>
      </c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0</v>
      </c>
      <c r="U43" s="2"/>
      <c r="V43" s="7">
        <f t="shared" si="33"/>
        <v>0</v>
      </c>
      <c r="W43" s="2"/>
      <c r="X43" s="6">
        <f t="shared" si="34"/>
        <v>0</v>
      </c>
      <c r="Y43" s="2"/>
      <c r="Z43" s="7">
        <f t="shared" si="35"/>
        <v>0</v>
      </c>
    </row>
    <row r="44" spans="1:26" s="27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8"/>
        <v>0</v>
      </c>
      <c r="G45" s="2"/>
      <c r="H45" s="6">
        <v>0</v>
      </c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/>
      <c r="Q45" s="2"/>
      <c r="R45" s="7">
        <f t="shared" si="32"/>
        <v>0</v>
      </c>
      <c r="S45" s="2"/>
      <c r="T45" s="6">
        <v>0</v>
      </c>
      <c r="U45" s="2"/>
      <c r="V45" s="7">
        <f t="shared" si="33"/>
        <v>0</v>
      </c>
      <c r="W45" s="2"/>
      <c r="X45" s="6">
        <f t="shared" si="34"/>
        <v>0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SUM(OSRRefD22_4x_0)</f>
        <v>588.14</v>
      </c>
      <c r="E46" s="1"/>
      <c r="F46" s="5">
        <f t="shared" si="28"/>
        <v>0</v>
      </c>
      <c r="G46" s="1"/>
      <c r="H46" s="1">
        <f>SUM(OSRRefH22_4x_0)</f>
        <v>0</v>
      </c>
      <c r="I46" s="1"/>
      <c r="J46" s="5">
        <f t="shared" si="29"/>
        <v>0</v>
      </c>
      <c r="K46" s="1"/>
      <c r="L46" s="1">
        <f t="shared" si="30"/>
        <v>588.14</v>
      </c>
      <c r="M46" s="1"/>
      <c r="N46" s="5">
        <f t="shared" si="31"/>
        <v>0</v>
      </c>
      <c r="O46" s="13"/>
      <c r="P46" s="1">
        <f>SUM(OSRRefP22_4x_0)</f>
        <v>6793.79</v>
      </c>
      <c r="Q46" s="1"/>
      <c r="R46" s="5">
        <f t="shared" si="32"/>
        <v>0</v>
      </c>
      <c r="S46" s="1"/>
      <c r="T46" s="1">
        <f>SUM(OSRRefT22_4x_0)</f>
        <v>0</v>
      </c>
      <c r="U46" s="1"/>
      <c r="V46" s="5">
        <f t="shared" si="33"/>
        <v>0</v>
      </c>
      <c r="W46" s="1"/>
      <c r="X46" s="1">
        <f t="shared" si="34"/>
        <v>6793.79</v>
      </c>
      <c r="Y46" s="1"/>
      <c r="Z46" s="5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588.14</v>
      </c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588.14</v>
      </c>
      <c r="M47" s="2"/>
      <c r="N47" s="7">
        <f t="shared" si="31"/>
        <v>0</v>
      </c>
      <c r="O47" s="11"/>
      <c r="P47" s="6">
        <v>6793.79</v>
      </c>
      <c r="Q47" s="2"/>
      <c r="R47" s="7">
        <f t="shared" si="32"/>
        <v>0</v>
      </c>
      <c r="S47" s="2"/>
      <c r="T47" s="6"/>
      <c r="U47" s="2"/>
      <c r="V47" s="7">
        <f t="shared" si="33"/>
        <v>0</v>
      </c>
      <c r="W47" s="2"/>
      <c r="X47" s="6">
        <f t="shared" si="34"/>
        <v>6793.79</v>
      </c>
      <c r="Y47" s="2"/>
      <c r="Z47" s="7">
        <f t="shared" si="35"/>
        <v>0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SUM(OSRRefP22_5x_0)</f>
        <v>12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12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12</v>
      </c>
      <c r="Q49" s="2"/>
      <c r="R49" s="7">
        <f t="shared" si="32"/>
        <v>0</v>
      </c>
      <c r="S49" s="2"/>
      <c r="T49" s="6"/>
      <c r="U49" s="2"/>
      <c r="V49" s="7">
        <f t="shared" si="33"/>
        <v>0</v>
      </c>
      <c r="W49" s="2"/>
      <c r="X49" s="6">
        <f t="shared" si="34"/>
        <v>12</v>
      </c>
      <c r="Y49" s="2"/>
      <c r="Z49" s="7">
        <f t="shared" si="35"/>
        <v>0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575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575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575</v>
      </c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575</v>
      </c>
      <c r="Y51" s="2"/>
      <c r="Z51" s="7">
        <f t="shared" si="35"/>
        <v>0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132.9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132.9</v>
      </c>
      <c r="M52" s="1"/>
      <c r="N52" s="5">
        <f t="shared" si="31"/>
        <v>0</v>
      </c>
      <c r="O52" s="13"/>
      <c r="P52" s="1">
        <f>SUM(OSRRefP22_7x_0)</f>
        <v>1413.18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1413.18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47.9</v>
      </c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47.9</v>
      </c>
      <c r="M53" s="2"/>
      <c r="N53" s="7">
        <f t="shared" si="31"/>
        <v>0</v>
      </c>
      <c r="O53" s="11"/>
      <c r="P53" s="6">
        <v>310.49</v>
      </c>
      <c r="Q53" s="2"/>
      <c r="R53" s="7">
        <f t="shared" si="32"/>
        <v>0</v>
      </c>
      <c r="S53" s="2"/>
      <c r="T53" s="6"/>
      <c r="U53" s="2"/>
      <c r="V53" s="7">
        <f t="shared" si="33"/>
        <v>0</v>
      </c>
      <c r="W53" s="2"/>
      <c r="X53" s="6">
        <f t="shared" si="34"/>
        <v>310.49</v>
      </c>
      <c r="Y53" s="2"/>
      <c r="Z53" s="7">
        <f t="shared" si="35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85</v>
      </c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85</v>
      </c>
      <c r="M54" s="2"/>
      <c r="N54" s="7">
        <f t="shared" si="31"/>
        <v>0</v>
      </c>
      <c r="O54" s="11"/>
      <c r="P54" s="6">
        <v>1102.69</v>
      </c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1102.69</v>
      </c>
      <c r="Y54" s="2"/>
      <c r="Z54" s="7">
        <f t="shared" si="35"/>
        <v>0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SUM(OSRRefD22_8x_0)</f>
        <v>320.25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320.25</v>
      </c>
      <c r="M55" s="1"/>
      <c r="N55" s="5">
        <f t="shared" ref="N55:N57" si="39">IF(H55=0,0,L55/H55)</f>
        <v>0</v>
      </c>
      <c r="O55" s="13"/>
      <c r="P55" s="1">
        <f>SUM(OSRRefP22_8x_0)</f>
        <v>2084.4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2084.4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320.25</v>
      </c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320.25</v>
      </c>
      <c r="M56" s="2"/>
      <c r="N56" s="7">
        <f t="shared" si="39"/>
        <v>0</v>
      </c>
      <c r="O56" s="11"/>
      <c r="P56" s="6">
        <v>2257.44</v>
      </c>
      <c r="Q56" s="2"/>
      <c r="R56" s="7">
        <f t="shared" si="40"/>
        <v>0</v>
      </c>
      <c r="S56" s="2"/>
      <c r="T56" s="6"/>
      <c r="U56" s="2"/>
      <c r="V56" s="7">
        <f t="shared" si="41"/>
        <v>0</v>
      </c>
      <c r="W56" s="2"/>
      <c r="X56" s="6">
        <f t="shared" si="42"/>
        <v>2257.44</v>
      </c>
      <c r="Y56" s="2"/>
      <c r="Z56" s="7">
        <f t="shared" si="43"/>
        <v>0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-173.04</v>
      </c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-173.04</v>
      </c>
      <c r="Y57" s="2"/>
      <c r="Z57" s="7">
        <f t="shared" si="43"/>
        <v>0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0</v>
      </c>
      <c r="E58" s="1"/>
      <c r="F58" s="5">
        <f t="shared" ref="F58:F61" si="44">IF(D$12=0,0,D58/D$12)</f>
        <v>0</v>
      </c>
      <c r="G58" s="1"/>
      <c r="H58" s="1">
        <f>SUM(OSRRefH22_9x_0)</f>
        <v>0</v>
      </c>
      <c r="I58" s="1"/>
      <c r="J58" s="5">
        <f t="shared" ref="J58:J61" si="45">IF(H$12=0,0,H58/H$12)</f>
        <v>0</v>
      </c>
      <c r="K58" s="1"/>
      <c r="L58" s="1">
        <f t="shared" ref="L58:L61" si="46">+D58-H58</f>
        <v>0</v>
      </c>
      <c r="M58" s="1"/>
      <c r="N58" s="5">
        <f t="shared" ref="N58:N61" si="47">IF(H58=0,0,L58/H58)</f>
        <v>0</v>
      </c>
      <c r="O58" s="13"/>
      <c r="P58" s="1">
        <f>SUM(OSRRefP22_9x_0)</f>
        <v>0</v>
      </c>
      <c r="Q58" s="1"/>
      <c r="R58" s="5">
        <f t="shared" ref="R58:R61" si="48">IF(P$12=0,0,P58/P$12)</f>
        <v>0</v>
      </c>
      <c r="S58" s="1"/>
      <c r="T58" s="1">
        <f>SUM(OSRRefT22_9x_0)</f>
        <v>0</v>
      </c>
      <c r="U58" s="1"/>
      <c r="V58" s="5">
        <f t="shared" ref="V58:V61" si="49">IF(T$12=0,0,T58/T$12)</f>
        <v>0</v>
      </c>
      <c r="W58" s="1"/>
      <c r="X58" s="1">
        <f t="shared" ref="X58:X61" si="50">+P58-T58</f>
        <v>0</v>
      </c>
      <c r="Y58" s="1"/>
      <c r="Z58" s="5">
        <f t="shared" ref="Z58:Z61" si="51">IF(T58=0,0,X58/T58)</f>
        <v>0</v>
      </c>
    </row>
    <row r="59" spans="1:26" s="24" customFormat="1" hidden="1" outlineLevel="2" x14ac:dyDescent="0.25">
      <c r="A59" s="26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44"/>
        <v>0</v>
      </c>
      <c r="G59" s="2"/>
      <c r="H59" s="6">
        <v>0</v>
      </c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/>
      <c r="Q59" s="2"/>
      <c r="R59" s="7">
        <f t="shared" si="48"/>
        <v>0</v>
      </c>
      <c r="S59" s="2"/>
      <c r="T59" s="6">
        <v>0</v>
      </c>
      <c r="U59" s="2"/>
      <c r="V59" s="7">
        <f t="shared" si="49"/>
        <v>0</v>
      </c>
      <c r="W59" s="2"/>
      <c r="X59" s="6">
        <f t="shared" si="50"/>
        <v>0</v>
      </c>
      <c r="Y59" s="2"/>
      <c r="Z59" s="7">
        <f t="shared" si="51"/>
        <v>0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4"/>
        <v>0</v>
      </c>
      <c r="G60" s="2"/>
      <c r="H60" s="6">
        <v>0</v>
      </c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0</v>
      </c>
      <c r="U60" s="2"/>
      <c r="V60" s="7">
        <f t="shared" si="49"/>
        <v>0</v>
      </c>
      <c r="W60" s="2"/>
      <c r="X60" s="6">
        <f t="shared" si="50"/>
        <v>0</v>
      </c>
      <c r="Y60" s="2"/>
      <c r="Z60" s="7">
        <f t="shared" si="51"/>
        <v>0</v>
      </c>
    </row>
    <row r="61" spans="1:26" s="24" customFormat="1" hidden="1" outlineLevel="2" x14ac:dyDescent="0.25">
      <c r="A61" s="26"/>
      <c r="B61" s="11" t="str">
        <f>CONCATENATE("          ", "6248", " - ", "UNIFORMS")</f>
        <v xml:space="preserve">          6248 - UNIFORMS</v>
      </c>
      <c r="C61" s="11"/>
      <c r="D61" s="6"/>
      <c r="E61" s="2"/>
      <c r="F61" s="7">
        <f t="shared" si="44"/>
        <v>0</v>
      </c>
      <c r="G61" s="2"/>
      <c r="H61" s="6"/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7" customFormat="1" outlineLevel="1" collapsed="1" x14ac:dyDescent="0.25">
      <c r="A62" s="25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30</v>
      </c>
      <c r="E62" s="1"/>
      <c r="F62" s="5">
        <f t="shared" ref="F62:F63" si="52">IF(D$12=0,0,D62/D$12)</f>
        <v>0</v>
      </c>
      <c r="G62" s="1"/>
      <c r="H62" s="1">
        <f>SUM(OSRRefH22_10x_0)</f>
        <v>0</v>
      </c>
      <c r="I62" s="1"/>
      <c r="J62" s="5">
        <f t="shared" ref="J62:J63" si="53">IF(H$12=0,0,H62/H$12)</f>
        <v>0</v>
      </c>
      <c r="K62" s="1"/>
      <c r="L62" s="1">
        <f t="shared" ref="L62:L63" si="54">+D62-H62</f>
        <v>30</v>
      </c>
      <c r="M62" s="1"/>
      <c r="N62" s="5">
        <f t="shared" ref="N62:N63" si="55">IF(H62=0,0,L62/H62)</f>
        <v>0</v>
      </c>
      <c r="O62" s="13"/>
      <c r="P62" s="1">
        <f>SUM(OSRRefP22_10x_0)</f>
        <v>454.32</v>
      </c>
      <c r="Q62" s="1"/>
      <c r="R62" s="5">
        <f t="shared" ref="R62:R63" si="56">IF(P$12=0,0,P62/P$12)</f>
        <v>0</v>
      </c>
      <c r="S62" s="1"/>
      <c r="T62" s="1">
        <f>SUM(OSRRefT22_10x_0)</f>
        <v>0</v>
      </c>
      <c r="U62" s="1"/>
      <c r="V62" s="5">
        <f t="shared" ref="V62:V63" si="57">IF(T$12=0,0,T62/T$12)</f>
        <v>0</v>
      </c>
      <c r="W62" s="1"/>
      <c r="X62" s="1">
        <f t="shared" ref="X62:X63" si="58">+P62-T62</f>
        <v>454.32</v>
      </c>
      <c r="Y62" s="1"/>
      <c r="Z62" s="5">
        <f t="shared" ref="Z62:Z63" si="59">IF(T62=0,0,X62/T62)</f>
        <v>0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30</v>
      </c>
      <c r="E63" s="2"/>
      <c r="F63" s="7">
        <f t="shared" si="52"/>
        <v>0</v>
      </c>
      <c r="G63" s="2"/>
      <c r="H63" s="6"/>
      <c r="I63" s="2"/>
      <c r="J63" s="7">
        <f t="shared" si="53"/>
        <v>0</v>
      </c>
      <c r="K63" s="2"/>
      <c r="L63" s="6">
        <f t="shared" si="54"/>
        <v>30</v>
      </c>
      <c r="M63" s="2"/>
      <c r="N63" s="7">
        <f t="shared" si="55"/>
        <v>0</v>
      </c>
      <c r="O63" s="11"/>
      <c r="P63" s="6">
        <v>454.32</v>
      </c>
      <c r="Q63" s="2"/>
      <c r="R63" s="7">
        <f t="shared" si="56"/>
        <v>0</v>
      </c>
      <c r="S63" s="2"/>
      <c r="T63" s="6"/>
      <c r="U63" s="2"/>
      <c r="V63" s="7">
        <f t="shared" si="57"/>
        <v>0</v>
      </c>
      <c r="W63" s="2"/>
      <c r="X63" s="6">
        <f t="shared" si="58"/>
        <v>454.32</v>
      </c>
      <c r="Y63" s="2"/>
      <c r="Z63" s="7">
        <f t="shared" si="59"/>
        <v>0</v>
      </c>
    </row>
    <row r="64" spans="1:26" s="61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9" t="s">
        <v>293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277</v>
      </c>
      <c r="C67" s="28"/>
      <c r="D67" s="20">
        <f>+D19-D21+D65</f>
        <v>-891.89</v>
      </c>
      <c r="E67" s="14"/>
      <c r="F67" s="22">
        <f>IF(D$12=0,0,D67/D$12)</f>
        <v>0</v>
      </c>
      <c r="G67" s="14"/>
      <c r="H67" s="20">
        <f>+H19-H21+H65</f>
        <v>0</v>
      </c>
      <c r="I67" s="14"/>
      <c r="J67" s="22">
        <f>IF(H$12=0,0,H67/H$12)</f>
        <v>0</v>
      </c>
      <c r="K67" s="16"/>
      <c r="L67" s="20">
        <f>+D67-H67</f>
        <v>-891.89</v>
      </c>
      <c r="M67" s="16"/>
      <c r="N67" s="22">
        <f>IF(H67=0,0,L67/H67)</f>
        <v>0</v>
      </c>
      <c r="O67" s="29"/>
      <c r="P67" s="20">
        <f>+P19-P21+P65</f>
        <v>-11153.289999999999</v>
      </c>
      <c r="Q67" s="14"/>
      <c r="R67" s="22">
        <f>IF(P$12=0,0,P67/P$12)</f>
        <v>0</v>
      </c>
      <c r="S67" s="14"/>
      <c r="T67" s="20">
        <f>+T19-T21+T65</f>
        <v>2</v>
      </c>
      <c r="U67" s="14"/>
      <c r="V67" s="22">
        <f>IF(T$12=0,0,T67/T$12)</f>
        <v>1</v>
      </c>
      <c r="W67" s="16"/>
      <c r="X67" s="20">
        <f>+P67-T67</f>
        <v>-11155.289999999999</v>
      </c>
      <c r="Y67" s="16"/>
      <c r="Z67" s="22">
        <f>IF(T67=0,0,X67/T67)</f>
        <v>-5577.6449999999995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2"/>
      <c r="B69" s="10" t="s">
        <v>128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126</v>
      </c>
      <c r="C71" s="28"/>
      <c r="D71" s="34">
        <f>+D67-D69</f>
        <v>-891.89</v>
      </c>
      <c r="E71" s="14"/>
      <c r="F71" s="35">
        <f>IF(D$12=0,0,D71/D$12)</f>
        <v>0</v>
      </c>
      <c r="G71" s="14"/>
      <c r="H71" s="34">
        <f>+H67-H69</f>
        <v>0</v>
      </c>
      <c r="I71" s="14"/>
      <c r="J71" s="35">
        <f>IF(H$12=0,0,H71/H$12)</f>
        <v>0</v>
      </c>
      <c r="K71" s="16"/>
      <c r="L71" s="34">
        <f>D71-H71</f>
        <v>-891.89</v>
      </c>
      <c r="M71" s="16"/>
      <c r="N71" s="35">
        <f>IF(H71=0,0,L71/H71)</f>
        <v>0</v>
      </c>
      <c r="O71" s="29"/>
      <c r="P71" s="34">
        <f>+P67-P69</f>
        <v>-11153.289999999999</v>
      </c>
      <c r="Q71" s="14"/>
      <c r="R71" s="35">
        <f>IF(P$12=0,0,P71/P$12)</f>
        <v>0</v>
      </c>
      <c r="S71" s="14"/>
      <c r="T71" s="34">
        <f>+T67-T69</f>
        <v>2</v>
      </c>
      <c r="U71" s="14"/>
      <c r="V71" s="35">
        <f>IF(T$12=0,0,T71/T$12)</f>
        <v>1</v>
      </c>
      <c r="W71" s="16"/>
      <c r="X71" s="34">
        <f>P71-T71</f>
        <v>-11155.289999999999</v>
      </c>
      <c r="Y71" s="16"/>
      <c r="Z71" s="35">
        <f>IF(T71=0,0,X71/T71)</f>
        <v>-5577.6449999999995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294</v>
      </c>
      <c r="C74" s="28"/>
      <c r="D74" s="33">
        <f>SUM(D71:D73)</f>
        <v>-891.89</v>
      </c>
      <c r="E74" s="14"/>
      <c r="F74" s="31">
        <f>IF(D$12=0,0,D74/D$12)</f>
        <v>0</v>
      </c>
      <c r="G74" s="14"/>
      <c r="H74" s="33">
        <f>SUM(H71:H73)</f>
        <v>0</v>
      </c>
      <c r="I74" s="14"/>
      <c r="J74" s="31">
        <f>IF(H$12=0,0,H74/H$12)</f>
        <v>0</v>
      </c>
      <c r="K74" s="16"/>
      <c r="L74" s="33">
        <f>+D74-H74</f>
        <v>-891.89</v>
      </c>
      <c r="M74" s="16"/>
      <c r="N74" s="31">
        <f>IF(H74=0,0,L74/H74)</f>
        <v>0</v>
      </c>
      <c r="O74" s="29"/>
      <c r="P74" s="33">
        <f>SUM(P71:P73)</f>
        <v>-11153.289999999999</v>
      </c>
      <c r="Q74" s="14"/>
      <c r="R74" s="31">
        <f>IF(P$12=0,0,P74/P$12)</f>
        <v>0</v>
      </c>
      <c r="S74" s="14"/>
      <c r="T74" s="33">
        <f>SUM(T71:T73)</f>
        <v>2</v>
      </c>
      <c r="U74" s="14"/>
      <c r="V74" s="31">
        <f>IF(T$12=0,0,T74/T$12)</f>
        <v>1</v>
      </c>
      <c r="W74" s="16"/>
      <c r="X74" s="33">
        <f>+P74-T74</f>
        <v>-11155.289999999999</v>
      </c>
      <c r="Y74" s="16"/>
      <c r="Z74" s="31">
        <f>IF(T74=0,0,X74/T74)</f>
        <v>-5577.6449999999995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6">
        <v>44454.686112384261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5" t="s">
        <v>56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63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86"/>
  <sheetViews>
    <sheetView zoomScale="80" workbookViewId="0">
      <pane xSplit="3" ySplit="10" topLeftCell="D25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5458</v>
      </c>
      <c r="I12" s="4"/>
      <c r="J12" s="12"/>
      <c r="K12" s="4"/>
      <c r="L12" s="4">
        <f t="shared" ref="L12:L17" si="0">+D12-H12</f>
        <v>-5458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213087</v>
      </c>
      <c r="U12" s="4"/>
      <c r="V12" s="12"/>
      <c r="W12" s="4"/>
      <c r="X12" s="4">
        <f t="shared" ref="X12:X17" si="2">+P12-T12</f>
        <v>-213087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7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7" si="5">0</f>
        <v>0</v>
      </c>
      <c r="Q13" s="2"/>
      <c r="R13" s="19"/>
      <c r="S13" s="2"/>
      <c r="T13" s="2"/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5458</v>
      </c>
      <c r="I14" s="2"/>
      <c r="J14" s="19"/>
      <c r="K14" s="2"/>
      <c r="L14" s="2">
        <f t="shared" si="0"/>
        <v>-5458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213087</v>
      </c>
      <c r="U14" s="2"/>
      <c r="V14" s="19"/>
      <c r="W14" s="2"/>
      <c r="X14" s="2">
        <f t="shared" si="2"/>
        <v>-213087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257</v>
      </c>
      <c r="C19" s="10"/>
      <c r="D19" s="4">
        <f>SUM(OSRRefD16x_0)</f>
        <v>108</v>
      </c>
      <c r="E19" s="4"/>
      <c r="F19" s="12">
        <f t="shared" ref="F19:F21" si="6">IF(D$12=0,0,D19/D$12)</f>
        <v>0</v>
      </c>
      <c r="G19" s="4"/>
      <c r="H19" s="4">
        <f>SUM(OSRRefH16x_0)</f>
        <v>2587</v>
      </c>
      <c r="I19" s="4"/>
      <c r="J19" s="12">
        <f t="shared" ref="J19:J21" si="7">IF(H$12=0,0,H19/H$12)</f>
        <v>0.47398314400879443</v>
      </c>
      <c r="K19" s="4"/>
      <c r="L19" s="4">
        <f t="shared" ref="L19:L21" si="8">+D19-H19</f>
        <v>-2479</v>
      </c>
      <c r="M19" s="4"/>
      <c r="N19" s="12">
        <f t="shared" ref="N19:N21" si="9">IF(H19=0,0,L19/H19)</f>
        <v>-0.95825280247390798</v>
      </c>
      <c r="O19" s="10"/>
      <c r="P19" s="4">
        <f>SUM(OSRRefP16x_0)</f>
        <v>-505.59</v>
      </c>
      <c r="Q19" s="4"/>
      <c r="R19" s="12">
        <f t="shared" ref="R19:R21" si="10">IF(P$12=0,0,P19/P$12)</f>
        <v>0</v>
      </c>
      <c r="S19" s="4"/>
      <c r="T19" s="4">
        <f>SUM(OSRRefT16x_0)</f>
        <v>101003</v>
      </c>
      <c r="U19" s="4"/>
      <c r="V19" s="12">
        <f t="shared" ref="V19:V21" si="11">IF(T$12=0,0,T19/T$12)</f>
        <v>0.47399888308531257</v>
      </c>
      <c r="W19" s="4"/>
      <c r="X19" s="4">
        <f t="shared" ref="X19:X21" si="12">+P19-T19</f>
        <v>-101508.59</v>
      </c>
      <c r="Y19" s="4"/>
      <c r="Z19" s="12">
        <f t="shared" ref="Z19:Z21" si="13">IF(T19=0,0,X19/T19)</f>
        <v>-1.0050056929002109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2587</v>
      </c>
      <c r="I20" s="2"/>
      <c r="J20" s="19">
        <f t="shared" si="7"/>
        <v>0.47398314400879443</v>
      </c>
      <c r="K20" s="2"/>
      <c r="L20" s="2">
        <f t="shared" si="8"/>
        <v>-2587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101003</v>
      </c>
      <c r="U20" s="2"/>
      <c r="V20" s="19">
        <f t="shared" si="11"/>
        <v>0.47399888308531257</v>
      </c>
      <c r="W20" s="2"/>
      <c r="X20" s="2">
        <f t="shared" si="12"/>
        <v>-101003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108</v>
      </c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108</v>
      </c>
      <c r="M21" s="2"/>
      <c r="N21" s="19">
        <f t="shared" si="9"/>
        <v>0</v>
      </c>
      <c r="O21" s="11"/>
      <c r="P21" s="2">
        <v>-505.59</v>
      </c>
      <c r="Q21" s="2"/>
      <c r="R21" s="19">
        <f t="shared" si="10"/>
        <v>0</v>
      </c>
      <c r="S21" s="2"/>
      <c r="T21" s="2"/>
      <c r="U21" s="2"/>
      <c r="V21" s="19">
        <f t="shared" si="11"/>
        <v>0</v>
      </c>
      <c r="W21" s="2"/>
      <c r="X21" s="2">
        <f t="shared" si="12"/>
        <v>-505.59</v>
      </c>
      <c r="Y21" s="2"/>
      <c r="Z21" s="19">
        <f t="shared" si="13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D12-D19</f>
        <v>-108</v>
      </c>
      <c r="E23" s="14"/>
      <c r="F23" s="22">
        <f>IF(D$12=0,0,D23/D$12)</f>
        <v>0</v>
      </c>
      <c r="G23" s="14"/>
      <c r="H23" s="20">
        <f>H12-H19</f>
        <v>2871</v>
      </c>
      <c r="I23" s="14"/>
      <c r="J23" s="22">
        <f>IF(H$12=0,0,H23/H$12)</f>
        <v>0.52601685599120562</v>
      </c>
      <c r="K23" s="16"/>
      <c r="L23" s="20">
        <f>+D23-H23</f>
        <v>-2979</v>
      </c>
      <c r="M23" s="16"/>
      <c r="N23" s="22">
        <f>IF(H23=0,0,L23/H23)</f>
        <v>-1.0376175548589341</v>
      </c>
      <c r="O23" s="29"/>
      <c r="P23" s="20">
        <f>P12-P19</f>
        <v>505.59</v>
      </c>
      <c r="Q23" s="14"/>
      <c r="R23" s="22">
        <f>IF(P$12=0,0,P23/P$12)</f>
        <v>0</v>
      </c>
      <c r="S23" s="14"/>
      <c r="T23" s="20">
        <f>T12-T19</f>
        <v>112084</v>
      </c>
      <c r="U23" s="14"/>
      <c r="V23" s="22">
        <f>IF(T$12=0,0,T23/T$12)</f>
        <v>0.52600111691468743</v>
      </c>
      <c r="W23" s="16"/>
      <c r="X23" s="20">
        <f>+P23-T23</f>
        <v>-111578.41</v>
      </c>
      <c r="Y23" s="16"/>
      <c r="Z23" s="22">
        <f>IF(T23=0,0,X23/T23)</f>
        <v>-0.9954891866814175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96</v>
      </c>
      <c r="E25" s="21"/>
      <c r="F25" s="30">
        <f t="shared" ref="F25:F35" si="14">IF(D$12=0,0,D25/D$12)</f>
        <v>0</v>
      </c>
      <c r="G25" s="21"/>
      <c r="H25" s="21">
        <f>SUM(OSRRefH22x_0)</f>
        <v>11598.229076200001</v>
      </c>
      <c r="I25" s="21"/>
      <c r="J25" s="30">
        <f t="shared" ref="J25:J35" si="15">IF(H$12=0,0,H25/H$12)</f>
        <v>2.1249961663979482</v>
      </c>
      <c r="K25" s="4"/>
      <c r="L25" s="21">
        <f t="shared" ref="L25:L35" si="16">+D25-H25</f>
        <v>-11502.229076200001</v>
      </c>
      <c r="M25" s="4"/>
      <c r="N25" s="30">
        <f t="shared" ref="N25:N35" si="17">IF(H25=0,0,L25/H25)</f>
        <v>-0.99172287429664618</v>
      </c>
      <c r="O25" s="10"/>
      <c r="P25" s="21">
        <f>SUM(OSRRefP22x_0)</f>
        <v>46930.159999999996</v>
      </c>
      <c r="Q25" s="21"/>
      <c r="R25" s="30">
        <f t="shared" ref="R25:R35" si="18">IF(P$12=0,0,P25/P$12)</f>
        <v>0</v>
      </c>
      <c r="S25" s="21"/>
      <c r="T25" s="21">
        <f>SUM(OSRRefT22x_0)</f>
        <v>200396.31278179999</v>
      </c>
      <c r="U25" s="21"/>
      <c r="V25" s="30">
        <f t="shared" ref="V25:V35" si="19">IF(T$12=0,0,T25/T$12)</f>
        <v>0.94044363467410019</v>
      </c>
      <c r="W25" s="4"/>
      <c r="X25" s="21">
        <f t="shared" ref="X25:X35" si="20">+P25-T25</f>
        <v>-153466.15278179999</v>
      </c>
      <c r="Y25" s="4"/>
      <c r="Z25" s="30">
        <f t="shared" ref="Z25:Z35" si="21">IF(T25=0,0,X25/T25)</f>
        <v>-0.76581325599987682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4"/>
        <v>0</v>
      </c>
      <c r="G26" s="1"/>
      <c r="H26" s="1">
        <f>SUM(OSRRefH22_0x_0)</f>
        <v>3549.6490762000003</v>
      </c>
      <c r="I26" s="1"/>
      <c r="J26" s="5">
        <f t="shared" si="15"/>
        <v>0.6503571044705021</v>
      </c>
      <c r="K26" s="1"/>
      <c r="L26" s="1">
        <f t="shared" si="16"/>
        <v>-3549.6490762000003</v>
      </c>
      <c r="M26" s="1"/>
      <c r="N26" s="5">
        <f t="shared" si="17"/>
        <v>-1</v>
      </c>
      <c r="O26" s="13"/>
      <c r="P26" s="1">
        <f>SUM(OSRRefP22_0x_0)</f>
        <v>21787.579999999998</v>
      </c>
      <c r="Q26" s="1"/>
      <c r="R26" s="5">
        <f t="shared" si="18"/>
        <v>0</v>
      </c>
      <c r="S26" s="1"/>
      <c r="T26" s="1">
        <f>SUM(OSRRefT22_0x_0)</f>
        <v>45668.8527818</v>
      </c>
      <c r="U26" s="1"/>
      <c r="V26" s="5">
        <f t="shared" si="19"/>
        <v>0.21432022029405828</v>
      </c>
      <c r="W26" s="1"/>
      <c r="X26" s="1">
        <f t="shared" si="20"/>
        <v>-23881.272781800002</v>
      </c>
      <c r="Y26" s="1"/>
      <c r="Z26" s="5">
        <f t="shared" si="21"/>
        <v>-0.52292254626805934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4"/>
        <v>0</v>
      </c>
      <c r="G27" s="2"/>
      <c r="H27" s="6">
        <v>486.72620819999997</v>
      </c>
      <c r="I27" s="2"/>
      <c r="J27" s="7">
        <f t="shared" si="15"/>
        <v>8.9176659618908014E-2</v>
      </c>
      <c r="K27" s="2"/>
      <c r="L27" s="6">
        <f t="shared" si="16"/>
        <v>-486.72620819999997</v>
      </c>
      <c r="M27" s="2"/>
      <c r="N27" s="7">
        <f t="shared" si="17"/>
        <v>-1</v>
      </c>
      <c r="O27" s="11"/>
      <c r="P27" s="6">
        <v>1924.35</v>
      </c>
      <c r="Q27" s="2"/>
      <c r="R27" s="7">
        <f t="shared" si="18"/>
        <v>0</v>
      </c>
      <c r="S27" s="2"/>
      <c r="T27" s="6">
        <v>7153.2483857999996</v>
      </c>
      <c r="U27" s="2"/>
      <c r="V27" s="7">
        <f t="shared" si="19"/>
        <v>3.3569614222359878E-2</v>
      </c>
      <c r="W27" s="2"/>
      <c r="X27" s="6">
        <f t="shared" si="20"/>
        <v>-5228.8983857999992</v>
      </c>
      <c r="Y27" s="2"/>
      <c r="Z27" s="7">
        <f t="shared" si="21"/>
        <v>-0.7309823598716283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4"/>
        <v>0</v>
      </c>
      <c r="G28" s="2"/>
      <c r="H28" s="6">
        <v>132.34678</v>
      </c>
      <c r="I28" s="2"/>
      <c r="J28" s="7">
        <f t="shared" si="15"/>
        <v>2.4248219127885672E-2</v>
      </c>
      <c r="K28" s="2"/>
      <c r="L28" s="6">
        <f t="shared" si="16"/>
        <v>-132.34678</v>
      </c>
      <c r="M28" s="2"/>
      <c r="N28" s="7">
        <f t="shared" si="17"/>
        <v>-1</v>
      </c>
      <c r="O28" s="11"/>
      <c r="P28" s="6">
        <v>499.06</v>
      </c>
      <c r="Q28" s="2"/>
      <c r="R28" s="7">
        <f t="shared" si="18"/>
        <v>0</v>
      </c>
      <c r="S28" s="2"/>
      <c r="T28" s="6">
        <v>2468.0546599999998</v>
      </c>
      <c r="U28" s="2"/>
      <c r="V28" s="7">
        <f t="shared" si="19"/>
        <v>1.1582380248443123E-2</v>
      </c>
      <c r="W28" s="2"/>
      <c r="X28" s="6">
        <f t="shared" si="20"/>
        <v>-1968.9946599999998</v>
      </c>
      <c r="Y28" s="2"/>
      <c r="Z28" s="7">
        <f t="shared" si="21"/>
        <v>-0.79779216072953585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4"/>
        <v>0</v>
      </c>
      <c r="G29" s="2"/>
      <c r="H29" s="6">
        <v>1980</v>
      </c>
      <c r="I29" s="2"/>
      <c r="J29" s="7">
        <f t="shared" si="15"/>
        <v>0.36277024551117626</v>
      </c>
      <c r="K29" s="2"/>
      <c r="L29" s="6">
        <f t="shared" si="16"/>
        <v>-1980</v>
      </c>
      <c r="M29" s="2"/>
      <c r="N29" s="7">
        <f t="shared" si="17"/>
        <v>-1</v>
      </c>
      <c r="O29" s="11"/>
      <c r="P29" s="6">
        <v>12083.19</v>
      </c>
      <c r="Q29" s="2"/>
      <c r="R29" s="7">
        <f t="shared" si="18"/>
        <v>0</v>
      </c>
      <c r="S29" s="2"/>
      <c r="T29" s="6">
        <v>23760</v>
      </c>
      <c r="U29" s="2"/>
      <c r="V29" s="7">
        <f t="shared" si="19"/>
        <v>0.11150375198862436</v>
      </c>
      <c r="W29" s="2"/>
      <c r="X29" s="6">
        <f t="shared" si="20"/>
        <v>-11676.81</v>
      </c>
      <c r="Y29" s="2"/>
      <c r="Z29" s="7">
        <f t="shared" si="21"/>
        <v>-0.49144823232323231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4"/>
        <v>0</v>
      </c>
      <c r="G30" s="2"/>
      <c r="H30" s="6">
        <v>18.600088</v>
      </c>
      <c r="I30" s="2"/>
      <c r="J30" s="7">
        <f t="shared" si="15"/>
        <v>3.4078578233785266E-3</v>
      </c>
      <c r="K30" s="2"/>
      <c r="L30" s="6">
        <f t="shared" si="16"/>
        <v>-18.600088</v>
      </c>
      <c r="M30" s="2"/>
      <c r="N30" s="7">
        <f t="shared" si="17"/>
        <v>-1</v>
      </c>
      <c r="O30" s="11"/>
      <c r="P30" s="6">
        <v>70.14</v>
      </c>
      <c r="Q30" s="2"/>
      <c r="R30" s="7">
        <f t="shared" si="18"/>
        <v>0</v>
      </c>
      <c r="S30" s="2"/>
      <c r="T30" s="6">
        <v>346.86173600000001</v>
      </c>
      <c r="U30" s="2"/>
      <c r="V30" s="7">
        <f t="shared" si="19"/>
        <v>1.627793980862277E-3</v>
      </c>
      <c r="W30" s="2"/>
      <c r="X30" s="6">
        <f t="shared" si="20"/>
        <v>-276.72173600000002</v>
      </c>
      <c r="Y30" s="2"/>
      <c r="Z30" s="7">
        <f t="shared" si="21"/>
        <v>-0.79778686225568574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4"/>
        <v>0</v>
      </c>
      <c r="G31" s="2"/>
      <c r="H31" s="6">
        <v>478.67599999999999</v>
      </c>
      <c r="I31" s="2"/>
      <c r="J31" s="7">
        <f t="shared" si="15"/>
        <v>8.7701722242579702E-2</v>
      </c>
      <c r="K31" s="2"/>
      <c r="L31" s="6">
        <f t="shared" si="16"/>
        <v>-478.67599999999999</v>
      </c>
      <c r="M31" s="2"/>
      <c r="N31" s="7">
        <f t="shared" si="17"/>
        <v>-1</v>
      </c>
      <c r="O31" s="11"/>
      <c r="P31" s="6">
        <v>3490.92</v>
      </c>
      <c r="Q31" s="2"/>
      <c r="R31" s="7">
        <f t="shared" si="18"/>
        <v>0</v>
      </c>
      <c r="S31" s="2"/>
      <c r="T31" s="6">
        <v>6222.7879999999996</v>
      </c>
      <c r="U31" s="2"/>
      <c r="V31" s="7">
        <f t="shared" si="19"/>
        <v>2.9203039134250326E-2</v>
      </c>
      <c r="W31" s="2"/>
      <c r="X31" s="6">
        <f t="shared" si="20"/>
        <v>-2731.8679999999995</v>
      </c>
      <c r="Y31" s="2"/>
      <c r="Z31" s="7">
        <f t="shared" si="21"/>
        <v>-0.43901029570668321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4"/>
        <v>0</v>
      </c>
      <c r="G32" s="2"/>
      <c r="H32" s="6">
        <v>0</v>
      </c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0</v>
      </c>
      <c r="U32" s="2"/>
      <c r="V32" s="7">
        <f t="shared" si="19"/>
        <v>0</v>
      </c>
      <c r="W32" s="2"/>
      <c r="X32" s="6">
        <f t="shared" si="20"/>
        <v>0</v>
      </c>
      <c r="Y32" s="2"/>
      <c r="Z32" s="7">
        <f t="shared" si="21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4"/>
        <v>0</v>
      </c>
      <c r="G33" s="2"/>
      <c r="H33" s="6">
        <v>166.98</v>
      </c>
      <c r="I33" s="2"/>
      <c r="J33" s="7">
        <f t="shared" si="15"/>
        <v>3.0593624038109196E-2</v>
      </c>
      <c r="K33" s="2"/>
      <c r="L33" s="6">
        <f t="shared" si="16"/>
        <v>-166.98</v>
      </c>
      <c r="M33" s="2"/>
      <c r="N33" s="7">
        <f t="shared" si="17"/>
        <v>-1</v>
      </c>
      <c r="O33" s="11"/>
      <c r="P33" s="6">
        <v>2035.3</v>
      </c>
      <c r="Q33" s="2"/>
      <c r="R33" s="7">
        <f t="shared" si="18"/>
        <v>0</v>
      </c>
      <c r="S33" s="2"/>
      <c r="T33" s="6">
        <v>2170.7399999999998</v>
      </c>
      <c r="U33" s="2"/>
      <c r="V33" s="7">
        <f t="shared" si="19"/>
        <v>1.0187106674738487E-2</v>
      </c>
      <c r="W33" s="2"/>
      <c r="X33" s="6">
        <f t="shared" si="20"/>
        <v>-135.43999999999983</v>
      </c>
      <c r="Y33" s="2"/>
      <c r="Z33" s="7">
        <f t="shared" si="21"/>
        <v>-6.2393469508093942E-2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4"/>
        <v>0</v>
      </c>
      <c r="G34" s="2"/>
      <c r="H34" s="6">
        <v>111.32</v>
      </c>
      <c r="I34" s="2"/>
      <c r="J34" s="7">
        <f t="shared" si="15"/>
        <v>2.0395749358739463E-2</v>
      </c>
      <c r="K34" s="2"/>
      <c r="L34" s="6">
        <f t="shared" si="16"/>
        <v>-111.32</v>
      </c>
      <c r="M34" s="2"/>
      <c r="N34" s="7">
        <f t="shared" si="17"/>
        <v>-1</v>
      </c>
      <c r="O34" s="11"/>
      <c r="P34" s="6">
        <v>1283.8</v>
      </c>
      <c r="Q34" s="2"/>
      <c r="R34" s="7">
        <f t="shared" si="18"/>
        <v>0</v>
      </c>
      <c r="S34" s="2"/>
      <c r="T34" s="6">
        <v>1447.16</v>
      </c>
      <c r="U34" s="2"/>
      <c r="V34" s="7">
        <f t="shared" si="19"/>
        <v>6.7914044498256585E-3</v>
      </c>
      <c r="W34" s="2"/>
      <c r="X34" s="6">
        <f t="shared" si="20"/>
        <v>-163.36000000000013</v>
      </c>
      <c r="Y34" s="2"/>
      <c r="Z34" s="7">
        <f t="shared" si="21"/>
        <v>-0.11288316426656356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4"/>
        <v>0</v>
      </c>
      <c r="G35" s="2"/>
      <c r="H35" s="6">
        <v>175</v>
      </c>
      <c r="I35" s="2"/>
      <c r="J35" s="7">
        <f t="shared" si="15"/>
        <v>3.2063026749725172E-2</v>
      </c>
      <c r="K35" s="2"/>
      <c r="L35" s="6">
        <f t="shared" si="16"/>
        <v>-175</v>
      </c>
      <c r="M35" s="2"/>
      <c r="N35" s="7">
        <f t="shared" si="17"/>
        <v>-1</v>
      </c>
      <c r="O35" s="11"/>
      <c r="P35" s="6">
        <v>400.82</v>
      </c>
      <c r="Q35" s="2"/>
      <c r="R35" s="7">
        <f t="shared" si="18"/>
        <v>0</v>
      </c>
      <c r="S35" s="2"/>
      <c r="T35" s="6">
        <v>2100</v>
      </c>
      <c r="U35" s="2"/>
      <c r="V35" s="7">
        <f t="shared" si="19"/>
        <v>9.8551295949541734E-3</v>
      </c>
      <c r="W35" s="2"/>
      <c r="X35" s="6">
        <f t="shared" si="20"/>
        <v>-1699.18</v>
      </c>
      <c r="Y35" s="2"/>
      <c r="Z35" s="7">
        <f t="shared" si="21"/>
        <v>-0.80913333333333337</v>
      </c>
    </row>
    <row r="36" spans="1:26" s="27" customFormat="1" outlineLevel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2">IF(D$12=0,0,D36/D$12)</f>
        <v>0</v>
      </c>
      <c r="G36" s="1"/>
      <c r="H36" s="1">
        <f>SUM(OSRRefH22_1x_0)</f>
        <v>6875.58</v>
      </c>
      <c r="I36" s="1"/>
      <c r="J36" s="5">
        <f t="shared" ref="J36:J46" si="23">IF(H$12=0,0,H36/H$12)</f>
        <v>1.2597251740564308</v>
      </c>
      <c r="K36" s="1"/>
      <c r="L36" s="1">
        <f t="shared" ref="L36:L46" si="24">+D36-H36</f>
        <v>-6875.58</v>
      </c>
      <c r="M36" s="1"/>
      <c r="N36" s="5">
        <f t="shared" ref="N36:N46" si="25">IF(H36=0,0,L36/H36)</f>
        <v>-1</v>
      </c>
      <c r="O36" s="13"/>
      <c r="P36" s="1">
        <f>SUM(OSRRefP22_1x_0)</f>
        <v>23136.42</v>
      </c>
      <c r="Q36" s="1"/>
      <c r="R36" s="5">
        <f t="shared" ref="R36:R46" si="26">IF(P$12=0,0,P36/P$12)</f>
        <v>0</v>
      </c>
      <c r="S36" s="1"/>
      <c r="T36" s="1">
        <f>SUM(OSRRefT22_1x_0)</f>
        <v>129790.46</v>
      </c>
      <c r="U36" s="1"/>
      <c r="V36" s="5">
        <f t="shared" ref="V36:V46" si="27">IF(T$12=0,0,T36/T$12)</f>
        <v>0.60909609689938859</v>
      </c>
      <c r="W36" s="1"/>
      <c r="X36" s="1">
        <f t="shared" ref="X36:X46" si="28">+P36-T36</f>
        <v>-106654.04000000001</v>
      </c>
      <c r="Y36" s="1"/>
      <c r="Z36" s="5">
        <f t="shared" ref="Z36:Z46" si="29">IF(T36=0,0,X36/T36)</f>
        <v>-0.82174021110642492</v>
      </c>
    </row>
    <row r="37" spans="1:26" s="24" customFormat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2"/>
        <v>0</v>
      </c>
      <c r="G37" s="2"/>
      <c r="H37" s="6">
        <v>5287.7</v>
      </c>
      <c r="I37" s="2"/>
      <c r="J37" s="7">
        <f t="shared" si="23"/>
        <v>0.96879809454012455</v>
      </c>
      <c r="K37" s="2"/>
      <c r="L37" s="6">
        <f t="shared" si="24"/>
        <v>-5287.7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68740.100000000006</v>
      </c>
      <c r="U37" s="2"/>
      <c r="V37" s="7">
        <f t="shared" si="27"/>
        <v>0.32259171136671877</v>
      </c>
      <c r="W37" s="2"/>
      <c r="X37" s="6">
        <f t="shared" si="28"/>
        <v>-68740.100000000006</v>
      </c>
      <c r="Y37" s="2"/>
      <c r="Z37" s="7">
        <f t="shared" si="29"/>
        <v>-1</v>
      </c>
    </row>
    <row r="38" spans="1:26" s="24" customFormat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23136.42</v>
      </c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23136.42</v>
      </c>
      <c r="Y38" s="2"/>
      <c r="Z38" s="7">
        <f t="shared" si="29"/>
        <v>0</v>
      </c>
    </row>
    <row r="39" spans="1:26" s="24" customFormat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2"/>
        <v>0</v>
      </c>
      <c r="G40" s="2"/>
      <c r="H40" s="6">
        <v>793.94</v>
      </c>
      <c r="I40" s="2"/>
      <c r="J40" s="7">
        <f t="shared" si="23"/>
        <v>0.14546353975815318</v>
      </c>
      <c r="K40" s="2"/>
      <c r="L40" s="6">
        <f t="shared" si="24"/>
        <v>-793.94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21111.86</v>
      </c>
      <c r="U40" s="2"/>
      <c r="V40" s="7">
        <f t="shared" si="27"/>
        <v>9.9076245852632971E-2</v>
      </c>
      <c r="W40" s="2"/>
      <c r="X40" s="6">
        <f t="shared" si="28"/>
        <v>-21111.86</v>
      </c>
      <c r="Y40" s="2"/>
      <c r="Z40" s="7">
        <f t="shared" si="29"/>
        <v>-1</v>
      </c>
    </row>
    <row r="41" spans="1:26" s="24" customFormat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2"/>
        <v>0</v>
      </c>
      <c r="G41" s="2"/>
      <c r="H41" s="6">
        <v>793.94</v>
      </c>
      <c r="I41" s="2"/>
      <c r="J41" s="7">
        <f t="shared" si="23"/>
        <v>0.14546353975815318</v>
      </c>
      <c r="K41" s="2"/>
      <c r="L41" s="6">
        <f t="shared" si="24"/>
        <v>-793.94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24958.5</v>
      </c>
      <c r="U41" s="2"/>
      <c r="V41" s="7">
        <f t="shared" si="27"/>
        <v>0.11712821523603036</v>
      </c>
      <c r="W41" s="2"/>
      <c r="X41" s="6">
        <f t="shared" si="28"/>
        <v>-24958.5</v>
      </c>
      <c r="Y41" s="2"/>
      <c r="Z41" s="7">
        <f t="shared" si="29"/>
        <v>-1</v>
      </c>
    </row>
    <row r="42" spans="1:26" s="24" customFormat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4" customFormat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2"/>
        <v>0</v>
      </c>
      <c r="G44" s="2"/>
      <c r="H44" s="6">
        <v>0</v>
      </c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1"/>
      <c r="P44" s="6"/>
      <c r="Q44" s="2"/>
      <c r="R44" s="7">
        <f t="shared" si="26"/>
        <v>0</v>
      </c>
      <c r="S44" s="2"/>
      <c r="T44" s="6">
        <v>14980</v>
      </c>
      <c r="U44" s="2"/>
      <c r="V44" s="7">
        <f t="shared" si="27"/>
        <v>7.0299924444006442E-2</v>
      </c>
      <c r="W44" s="2"/>
      <c r="X44" s="6">
        <f t="shared" si="28"/>
        <v>-14980</v>
      </c>
      <c r="Y44" s="2"/>
      <c r="Z44" s="7">
        <f t="shared" si="29"/>
        <v>-1</v>
      </c>
    </row>
    <row r="45" spans="1:26" s="24" customFormat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2"/>
        <v>0</v>
      </c>
      <c r="G45" s="2"/>
      <c r="H45" s="6">
        <v>0</v>
      </c>
      <c r="I45" s="2"/>
      <c r="J45" s="7">
        <f t="shared" si="23"/>
        <v>0</v>
      </c>
      <c r="K45" s="2"/>
      <c r="L45" s="6">
        <f t="shared" si="24"/>
        <v>0</v>
      </c>
      <c r="M45" s="2"/>
      <c r="N45" s="7">
        <f t="shared" si="25"/>
        <v>0</v>
      </c>
      <c r="O45" s="11"/>
      <c r="P45" s="6"/>
      <c r="Q45" s="2"/>
      <c r="R45" s="7">
        <f t="shared" si="26"/>
        <v>0</v>
      </c>
      <c r="S45" s="2"/>
      <c r="T45" s="6">
        <v>0</v>
      </c>
      <c r="U45" s="2"/>
      <c r="V45" s="7">
        <f t="shared" si="27"/>
        <v>0</v>
      </c>
      <c r="W45" s="2"/>
      <c r="X45" s="6">
        <f t="shared" si="28"/>
        <v>0</v>
      </c>
      <c r="Y45" s="2"/>
      <c r="Z45" s="7">
        <f t="shared" si="29"/>
        <v>0</v>
      </c>
    </row>
    <row r="46" spans="1:26" s="24" customFormat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7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7" si="30">IF(D$12=0,0,D47/D$12)</f>
        <v>0</v>
      </c>
      <c r="G47" s="1"/>
      <c r="H47" s="1">
        <f>SUM(OSRRefH22_2x_0)</f>
        <v>100</v>
      </c>
      <c r="I47" s="1"/>
      <c r="J47" s="5">
        <f t="shared" ref="J47:J57" si="31">IF(H$12=0,0,H47/H$12)</f>
        <v>1.8321729571271528E-2</v>
      </c>
      <c r="K47" s="1"/>
      <c r="L47" s="1">
        <f t="shared" ref="L47:L57" si="32">+D47-H47</f>
        <v>-100</v>
      </c>
      <c r="M47" s="1"/>
      <c r="N47" s="5">
        <f t="shared" ref="N47:N57" si="33">IF(H47=0,0,L47/H47)</f>
        <v>-1</v>
      </c>
      <c r="O47" s="13"/>
      <c r="P47" s="1">
        <f>SUM(OSRRefP22_2x_0)</f>
        <v>0</v>
      </c>
      <c r="Q47" s="1"/>
      <c r="R47" s="5">
        <f t="shared" ref="R47:R57" si="34">IF(P$12=0,0,P47/P$12)</f>
        <v>0</v>
      </c>
      <c r="S47" s="1"/>
      <c r="T47" s="1">
        <f>SUM(OSRRefT22_2x_0)</f>
        <v>1200</v>
      </c>
      <c r="U47" s="1"/>
      <c r="V47" s="5">
        <f t="shared" ref="V47:V57" si="35">IF(T$12=0,0,T47/T$12)</f>
        <v>5.6315026256880995E-3</v>
      </c>
      <c r="W47" s="1"/>
      <c r="X47" s="1">
        <f t="shared" ref="X47:X57" si="36">+P47-T47</f>
        <v>-1200</v>
      </c>
      <c r="Y47" s="1"/>
      <c r="Z47" s="5">
        <f t="shared" ref="Z47:Z57" si="37">IF(T47=0,0,X47/T47)</f>
        <v>-1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30"/>
        <v>0</v>
      </c>
      <c r="G48" s="2"/>
      <c r="H48" s="6">
        <v>100</v>
      </c>
      <c r="I48" s="2"/>
      <c r="J48" s="7">
        <f t="shared" si="31"/>
        <v>1.8321729571271528E-2</v>
      </c>
      <c r="K48" s="2"/>
      <c r="L48" s="6">
        <f t="shared" si="32"/>
        <v>-100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1200</v>
      </c>
      <c r="U48" s="2"/>
      <c r="V48" s="7">
        <f t="shared" si="35"/>
        <v>5.6315026256880995E-3</v>
      </c>
      <c r="W48" s="2"/>
      <c r="X48" s="6">
        <f t="shared" si="36"/>
        <v>-1200</v>
      </c>
      <c r="Y48" s="2"/>
      <c r="Z48" s="7">
        <f t="shared" si="37"/>
        <v>-1</v>
      </c>
    </row>
    <row r="49" spans="1:26" s="27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SUM(OSRRefD22_3x_0)</f>
        <v>0</v>
      </c>
      <c r="E49" s="1"/>
      <c r="F49" s="5">
        <f t="shared" si="30"/>
        <v>0</v>
      </c>
      <c r="G49" s="1"/>
      <c r="H49" s="1">
        <f>SUM(OSRRefH22_3x_0)</f>
        <v>345</v>
      </c>
      <c r="I49" s="1"/>
      <c r="J49" s="5">
        <f t="shared" si="31"/>
        <v>6.320996702088677E-2</v>
      </c>
      <c r="K49" s="1"/>
      <c r="L49" s="1">
        <f t="shared" si="32"/>
        <v>-345</v>
      </c>
      <c r="M49" s="1"/>
      <c r="N49" s="5">
        <f t="shared" si="33"/>
        <v>-1</v>
      </c>
      <c r="O49" s="13"/>
      <c r="P49" s="1">
        <f>SUM(OSRRefP22_3x_0)</f>
        <v>240</v>
      </c>
      <c r="Q49" s="1"/>
      <c r="R49" s="5">
        <f t="shared" si="34"/>
        <v>0</v>
      </c>
      <c r="S49" s="1"/>
      <c r="T49" s="1">
        <f>SUM(OSRRefT22_3x_0)</f>
        <v>13366</v>
      </c>
      <c r="U49" s="1"/>
      <c r="V49" s="5">
        <f t="shared" si="35"/>
        <v>6.2725553412455948E-2</v>
      </c>
      <c r="W49" s="1"/>
      <c r="X49" s="1">
        <f t="shared" si="36"/>
        <v>-13126</v>
      </c>
      <c r="Y49" s="1"/>
      <c r="Z49" s="5">
        <f t="shared" si="37"/>
        <v>-0.98204399221906324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30"/>
        <v>0</v>
      </c>
      <c r="G50" s="2"/>
      <c r="H50" s="6">
        <v>345</v>
      </c>
      <c r="I50" s="2"/>
      <c r="J50" s="7">
        <f t="shared" si="31"/>
        <v>6.320996702088677E-2</v>
      </c>
      <c r="K50" s="2"/>
      <c r="L50" s="6">
        <f t="shared" si="32"/>
        <v>-345</v>
      </c>
      <c r="M50" s="2"/>
      <c r="N50" s="7">
        <f t="shared" si="33"/>
        <v>-1</v>
      </c>
      <c r="O50" s="11"/>
      <c r="P50" s="6">
        <v>240</v>
      </c>
      <c r="Q50" s="2"/>
      <c r="R50" s="7">
        <f t="shared" si="34"/>
        <v>0</v>
      </c>
      <c r="S50" s="2"/>
      <c r="T50" s="6">
        <v>13366</v>
      </c>
      <c r="U50" s="2"/>
      <c r="V50" s="7">
        <f t="shared" si="35"/>
        <v>6.2725553412455948E-2</v>
      </c>
      <c r="W50" s="2"/>
      <c r="X50" s="6">
        <f t="shared" si="36"/>
        <v>-13126</v>
      </c>
      <c r="Y50" s="2"/>
      <c r="Z50" s="7">
        <f t="shared" si="37"/>
        <v>-0.98204399221906324</v>
      </c>
    </row>
    <row r="51" spans="1:26" s="27" customFormat="1" outlineLevel="1" collapsed="1" x14ac:dyDescent="0.25">
      <c r="A51" s="25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0</v>
      </c>
      <c r="E51" s="1"/>
      <c r="F51" s="5">
        <f t="shared" si="30"/>
        <v>0</v>
      </c>
      <c r="G51" s="1"/>
      <c r="H51" s="1">
        <f>SUM(OSRRefH22_4x_0)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SUM(OSRRefP22_4x_0)</f>
        <v>280.10000000000002</v>
      </c>
      <c r="Q51" s="1"/>
      <c r="R51" s="5">
        <f t="shared" si="34"/>
        <v>0</v>
      </c>
      <c r="S51" s="1"/>
      <c r="T51" s="1">
        <f>SUM(OSRRefT22_4x_0)</f>
        <v>0</v>
      </c>
      <c r="U51" s="1"/>
      <c r="V51" s="5">
        <f t="shared" si="35"/>
        <v>0</v>
      </c>
      <c r="W51" s="1"/>
      <c r="X51" s="1">
        <f t="shared" si="36"/>
        <v>280.10000000000002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"6305", " - ", "FREIGHT OUT")</f>
        <v xml:space="preserve">          6305 - FREIGHT OUT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>
        <v>280.10000000000002</v>
      </c>
      <c r="Q52" s="2"/>
      <c r="R52" s="7">
        <f t="shared" si="34"/>
        <v>0</v>
      </c>
      <c r="S52" s="2"/>
      <c r="T52" s="6"/>
      <c r="U52" s="2"/>
      <c r="V52" s="7">
        <f t="shared" si="35"/>
        <v>0</v>
      </c>
      <c r="W52" s="2"/>
      <c r="X52" s="6">
        <f t="shared" si="36"/>
        <v>280.10000000000002</v>
      </c>
      <c r="Y52" s="2"/>
      <c r="Z52" s="7">
        <f t="shared" si="37"/>
        <v>0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si="30"/>
        <v>0</v>
      </c>
      <c r="G53" s="1"/>
      <c r="H53" s="1">
        <f>SUM(OSRRefH22_5x_0)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SUM(OSRRefP22_5x_0)</f>
        <v>160</v>
      </c>
      <c r="Q53" s="1"/>
      <c r="R53" s="5">
        <f t="shared" si="34"/>
        <v>0</v>
      </c>
      <c r="S53" s="1"/>
      <c r="T53" s="1">
        <f>SUM(OSRRefT22_5x_0)</f>
        <v>1350</v>
      </c>
      <c r="U53" s="1"/>
      <c r="V53" s="5">
        <f t="shared" si="35"/>
        <v>6.3354404538991113E-3</v>
      </c>
      <c r="W53" s="1"/>
      <c r="X53" s="1">
        <f t="shared" si="36"/>
        <v>-1190</v>
      </c>
      <c r="Y53" s="1"/>
      <c r="Z53" s="5">
        <f t="shared" si="37"/>
        <v>-0.88148148148148153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160</v>
      </c>
      <c r="Q54" s="2"/>
      <c r="R54" s="7">
        <f t="shared" si="34"/>
        <v>0</v>
      </c>
      <c r="S54" s="2"/>
      <c r="T54" s="6">
        <v>1350</v>
      </c>
      <c r="U54" s="2"/>
      <c r="V54" s="7">
        <f t="shared" si="35"/>
        <v>6.3354404538991113E-3</v>
      </c>
      <c r="W54" s="2"/>
      <c r="X54" s="6">
        <f t="shared" si="36"/>
        <v>-1190</v>
      </c>
      <c r="Y54" s="2"/>
      <c r="Z54" s="7">
        <f t="shared" si="37"/>
        <v>-0.88148148148148153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SUM(OSRRefD22_6x_0)</f>
        <v>23.95</v>
      </c>
      <c r="E55" s="1"/>
      <c r="F55" s="5">
        <f t="shared" si="30"/>
        <v>0</v>
      </c>
      <c r="G55" s="1"/>
      <c r="H55" s="1">
        <f>SUM(OSRRefH22_6x_0)</f>
        <v>35</v>
      </c>
      <c r="I55" s="1"/>
      <c r="J55" s="5">
        <f t="shared" si="31"/>
        <v>6.4126053499450348E-3</v>
      </c>
      <c r="K55" s="1"/>
      <c r="L55" s="1">
        <f t="shared" si="32"/>
        <v>-11.05</v>
      </c>
      <c r="M55" s="1"/>
      <c r="N55" s="5">
        <f t="shared" si="33"/>
        <v>-0.31571428571428573</v>
      </c>
      <c r="O55" s="13"/>
      <c r="P55" s="1">
        <f>SUM(OSRRefP22_6x_0)</f>
        <v>96.31</v>
      </c>
      <c r="Q55" s="1"/>
      <c r="R55" s="5">
        <f t="shared" si="34"/>
        <v>0</v>
      </c>
      <c r="S55" s="1"/>
      <c r="T55" s="1">
        <f>SUM(OSRRefT22_6x_0)</f>
        <v>385</v>
      </c>
      <c r="U55" s="1"/>
      <c r="V55" s="5">
        <f t="shared" si="35"/>
        <v>1.8067737590749318E-3</v>
      </c>
      <c r="W55" s="1"/>
      <c r="X55" s="1">
        <f t="shared" si="36"/>
        <v>-288.69</v>
      </c>
      <c r="Y55" s="1"/>
      <c r="Z55" s="5">
        <f t="shared" si="37"/>
        <v>-0.74984415584415587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23.95</v>
      </c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23.95</v>
      </c>
      <c r="M56" s="2"/>
      <c r="N56" s="7">
        <f t="shared" si="33"/>
        <v>0</v>
      </c>
      <c r="O56" s="11"/>
      <c r="P56" s="6">
        <v>96.31</v>
      </c>
      <c r="Q56" s="2"/>
      <c r="R56" s="7">
        <f t="shared" si="34"/>
        <v>0</v>
      </c>
      <c r="S56" s="2"/>
      <c r="T56" s="6"/>
      <c r="U56" s="2"/>
      <c r="V56" s="7">
        <f t="shared" si="35"/>
        <v>0</v>
      </c>
      <c r="W56" s="2"/>
      <c r="X56" s="6">
        <f t="shared" si="36"/>
        <v>96.31</v>
      </c>
      <c r="Y56" s="2"/>
      <c r="Z56" s="7">
        <f t="shared" si="37"/>
        <v>0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0"/>
        <v>0</v>
      </c>
      <c r="G57" s="2"/>
      <c r="H57" s="6">
        <v>35</v>
      </c>
      <c r="I57" s="2"/>
      <c r="J57" s="7">
        <f t="shared" si="31"/>
        <v>6.4126053499450348E-3</v>
      </c>
      <c r="K57" s="2"/>
      <c r="L57" s="6">
        <f t="shared" si="32"/>
        <v>-35</v>
      </c>
      <c r="M57" s="2"/>
      <c r="N57" s="7">
        <f t="shared" si="33"/>
        <v>-1</v>
      </c>
      <c r="O57" s="11"/>
      <c r="P57" s="6"/>
      <c r="Q57" s="2"/>
      <c r="R57" s="7">
        <f t="shared" si="34"/>
        <v>0</v>
      </c>
      <c r="S57" s="2"/>
      <c r="T57" s="6">
        <v>385</v>
      </c>
      <c r="U57" s="2"/>
      <c r="V57" s="7">
        <f t="shared" si="35"/>
        <v>1.8067737590749318E-3</v>
      </c>
      <c r="W57" s="2"/>
      <c r="X57" s="6">
        <f t="shared" si="36"/>
        <v>-385</v>
      </c>
      <c r="Y57" s="2"/>
      <c r="Z57" s="7">
        <f t="shared" si="37"/>
        <v>-1</v>
      </c>
    </row>
    <row r="58" spans="1:26" s="27" customFormat="1" outlineLevel="1" collapsed="1" x14ac:dyDescent="0.25">
      <c r="A58" s="25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SUM(OSRRefD22_7x_0)</f>
        <v>0</v>
      </c>
      <c r="E58" s="1"/>
      <c r="F58" s="5">
        <f t="shared" ref="F58:F63" si="38">IF(D$12=0,0,D58/D$12)</f>
        <v>0</v>
      </c>
      <c r="G58" s="1"/>
      <c r="H58" s="1">
        <f>SUM(OSRRefH22_7x_0)</f>
        <v>163</v>
      </c>
      <c r="I58" s="1"/>
      <c r="J58" s="5">
        <f t="shared" ref="J58:J63" si="39">IF(H$12=0,0,H58/H$12)</f>
        <v>2.9864419201172592E-2</v>
      </c>
      <c r="K58" s="1"/>
      <c r="L58" s="1">
        <f t="shared" ref="L58:L63" si="40">+D58-H58</f>
        <v>-163</v>
      </c>
      <c r="M58" s="1"/>
      <c r="N58" s="5">
        <f t="shared" ref="N58:N63" si="41">IF(H58=0,0,L58/H58)</f>
        <v>-1</v>
      </c>
      <c r="O58" s="13"/>
      <c r="P58" s="1">
        <f>SUM(OSRRefP22_7x_0)</f>
        <v>0</v>
      </c>
      <c r="Q58" s="1"/>
      <c r="R58" s="5">
        <f t="shared" ref="R58:R63" si="42">IF(P$12=0,0,P58/P$12)</f>
        <v>0</v>
      </c>
      <c r="S58" s="1"/>
      <c r="T58" s="1">
        <f>SUM(OSRRefT22_7x_0)</f>
        <v>1956</v>
      </c>
      <c r="U58" s="1"/>
      <c r="V58" s="5">
        <f t="shared" ref="V58:V63" si="43">IF(T$12=0,0,T58/T$12)</f>
        <v>9.1793492798716014E-3</v>
      </c>
      <c r="W58" s="1"/>
      <c r="X58" s="1">
        <f t="shared" ref="X58:X63" si="44">+P58-T58</f>
        <v>-1956</v>
      </c>
      <c r="Y58" s="1"/>
      <c r="Z58" s="5">
        <f t="shared" ref="Z58:Z63" si="45">IF(T58=0,0,X58/T58)</f>
        <v>-1</v>
      </c>
    </row>
    <row r="59" spans="1:26" s="24" customFormat="1" hidden="1" outlineLevel="2" x14ac:dyDescent="0.25">
      <c r="A59" s="26"/>
      <c r="B59" s="11" t="str">
        <f>CONCATENATE("          ", "6285", " - ", "JANITORIAL SERVICES")</f>
        <v xml:space="preserve">          6285 - JANITORIAL SERVICES</v>
      </c>
      <c r="C59" s="11"/>
      <c r="D59" s="6"/>
      <c r="E59" s="2"/>
      <c r="F59" s="7">
        <f t="shared" si="38"/>
        <v>0</v>
      </c>
      <c r="G59" s="2"/>
      <c r="H59" s="6">
        <v>163</v>
      </c>
      <c r="I59" s="2"/>
      <c r="J59" s="7">
        <f t="shared" si="39"/>
        <v>2.9864419201172592E-2</v>
      </c>
      <c r="K59" s="2"/>
      <c r="L59" s="6">
        <f t="shared" si="40"/>
        <v>-163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1956</v>
      </c>
      <c r="U59" s="2"/>
      <c r="V59" s="7">
        <f t="shared" si="43"/>
        <v>9.1793492798716014E-3</v>
      </c>
      <c r="W59" s="2"/>
      <c r="X59" s="6">
        <f t="shared" si="44"/>
        <v>-1956</v>
      </c>
      <c r="Y59" s="2"/>
      <c r="Z59" s="7">
        <f t="shared" si="45"/>
        <v>-1</v>
      </c>
    </row>
    <row r="60" spans="1:26" s="27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SUM(OSRRefD22_8x_0)</f>
        <v>0</v>
      </c>
      <c r="E60" s="1"/>
      <c r="F60" s="5">
        <f t="shared" si="38"/>
        <v>0</v>
      </c>
      <c r="G60" s="1"/>
      <c r="H60" s="1">
        <f>SUM(OSRRefH22_8x_0)</f>
        <v>410</v>
      </c>
      <c r="I60" s="1"/>
      <c r="J60" s="5">
        <f t="shared" si="39"/>
        <v>7.5119091242213262E-2</v>
      </c>
      <c r="K60" s="1"/>
      <c r="L60" s="1">
        <f t="shared" si="40"/>
        <v>-410</v>
      </c>
      <c r="M60" s="1"/>
      <c r="N60" s="5">
        <f t="shared" si="41"/>
        <v>-1</v>
      </c>
      <c r="O60" s="13"/>
      <c r="P60" s="1">
        <f>SUM(OSRRefP22_8x_0)</f>
        <v>0</v>
      </c>
      <c r="Q60" s="1"/>
      <c r="R60" s="5">
        <f t="shared" si="42"/>
        <v>0</v>
      </c>
      <c r="S60" s="1"/>
      <c r="T60" s="1">
        <f>SUM(OSRRefT22_8x_0)</f>
        <v>5120</v>
      </c>
      <c r="U60" s="1"/>
      <c r="V60" s="5">
        <f t="shared" si="43"/>
        <v>2.4027744536269224E-2</v>
      </c>
      <c r="W60" s="1"/>
      <c r="X60" s="1">
        <f t="shared" si="44"/>
        <v>-5120</v>
      </c>
      <c r="Y60" s="1"/>
      <c r="Z60" s="5">
        <f t="shared" si="45"/>
        <v>-1</v>
      </c>
    </row>
    <row r="61" spans="1:26" s="24" customFormat="1" hidden="1" outlineLevel="2" x14ac:dyDescent="0.25">
      <c r="A61" s="26"/>
      <c r="B61" s="11" t="str">
        <f>CONCATENATE("          ", "6235", " - ", "COVID-19 EXPENSES")</f>
        <v xml:space="preserve">          6235 - COVID-19 EXPENSES</v>
      </c>
      <c r="C61" s="11"/>
      <c r="D61" s="6"/>
      <c r="E61" s="2"/>
      <c r="F61" s="7">
        <f t="shared" si="38"/>
        <v>0</v>
      </c>
      <c r="G61" s="2"/>
      <c r="H61" s="6">
        <v>0</v>
      </c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0</v>
      </c>
      <c r="U61" s="2"/>
      <c r="V61" s="7">
        <f t="shared" si="43"/>
        <v>0</v>
      </c>
      <c r="W61" s="2"/>
      <c r="X61" s="6">
        <f t="shared" si="44"/>
        <v>0</v>
      </c>
      <c r="Y61" s="2"/>
      <c r="Z61" s="7">
        <f t="shared" si="45"/>
        <v>0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38"/>
        <v>0</v>
      </c>
      <c r="G62" s="2"/>
      <c r="H62" s="6">
        <v>410</v>
      </c>
      <c r="I62" s="2"/>
      <c r="J62" s="7">
        <f t="shared" si="39"/>
        <v>7.5119091242213262E-2</v>
      </c>
      <c r="K62" s="2"/>
      <c r="L62" s="6">
        <f t="shared" si="40"/>
        <v>-410</v>
      </c>
      <c r="M62" s="2"/>
      <c r="N62" s="7">
        <f t="shared" si="41"/>
        <v>-1</v>
      </c>
      <c r="O62" s="11"/>
      <c r="P62" s="6"/>
      <c r="Q62" s="2"/>
      <c r="R62" s="7">
        <f t="shared" si="42"/>
        <v>0</v>
      </c>
      <c r="S62" s="2"/>
      <c r="T62" s="6">
        <v>5120</v>
      </c>
      <c r="U62" s="2"/>
      <c r="V62" s="7">
        <f t="shared" si="43"/>
        <v>2.4027744536269224E-2</v>
      </c>
      <c r="W62" s="2"/>
      <c r="X62" s="6">
        <f t="shared" si="44"/>
        <v>-5120</v>
      </c>
      <c r="Y62" s="2"/>
      <c r="Z62" s="7">
        <f t="shared" si="45"/>
        <v>-1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1"/>
      <c r="P63" s="6"/>
      <c r="Q63" s="2"/>
      <c r="R63" s="7">
        <f t="shared" si="42"/>
        <v>0</v>
      </c>
      <c r="S63" s="2"/>
      <c r="T63" s="6">
        <v>0</v>
      </c>
      <c r="U63" s="2"/>
      <c r="V63" s="7">
        <f t="shared" si="43"/>
        <v>0</v>
      </c>
      <c r="W63" s="2"/>
      <c r="X63" s="6">
        <f t="shared" si="44"/>
        <v>0</v>
      </c>
      <c r="Y63" s="2"/>
      <c r="Z63" s="7">
        <f t="shared" si="45"/>
        <v>0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SUM(OSRRefD22_9x_0)</f>
        <v>72.05</v>
      </c>
      <c r="E64" s="1"/>
      <c r="F64" s="5">
        <f t="shared" ref="F64:F66" si="46">IF(D$12=0,0,D64/D$12)</f>
        <v>0</v>
      </c>
      <c r="G64" s="1"/>
      <c r="H64" s="1">
        <f>SUM(OSRRefH22_9x_0)</f>
        <v>120</v>
      </c>
      <c r="I64" s="1"/>
      <c r="J64" s="5">
        <f t="shared" ref="J64:J66" si="47">IF(H$12=0,0,H64/H$12)</f>
        <v>2.1986075485525832E-2</v>
      </c>
      <c r="K64" s="1"/>
      <c r="L64" s="1">
        <f t="shared" ref="L64:L66" si="48">+D64-H64</f>
        <v>-47.95</v>
      </c>
      <c r="M64" s="1"/>
      <c r="N64" s="5">
        <f t="shared" ref="N64:N66" si="49">IF(H64=0,0,L64/H64)</f>
        <v>-0.39958333333333335</v>
      </c>
      <c r="O64" s="13"/>
      <c r="P64" s="1">
        <f>SUM(OSRRefP22_9x_0)</f>
        <v>1229.75</v>
      </c>
      <c r="Q64" s="1"/>
      <c r="R64" s="5">
        <f t="shared" ref="R64:R66" si="50">IF(P$12=0,0,P64/P$12)</f>
        <v>0</v>
      </c>
      <c r="S64" s="1"/>
      <c r="T64" s="1">
        <f>SUM(OSRRefT22_9x_0)</f>
        <v>1440</v>
      </c>
      <c r="U64" s="1"/>
      <c r="V64" s="5">
        <f t="shared" ref="V64:V66" si="51">IF(T$12=0,0,T64/T$12)</f>
        <v>6.7578031508257188E-3</v>
      </c>
      <c r="W64" s="1"/>
      <c r="X64" s="1">
        <f t="shared" ref="X64:X66" si="52">+P64-T64</f>
        <v>-210.25</v>
      </c>
      <c r="Y64" s="1"/>
      <c r="Z64" s="5">
        <f t="shared" ref="Z64:Z66" si="53">IF(T64=0,0,X64/T64)</f>
        <v>-0.14600694444444445</v>
      </c>
    </row>
    <row r="65" spans="1:26" s="24" customFormat="1" hidden="1" outlineLevel="2" x14ac:dyDescent="0.25">
      <c r="A65" s="26"/>
      <c r="B65" s="11" t="str">
        <f>CONCATENATE("          ", "6303", " - ", "DATA PHONE LINES")</f>
        <v xml:space="preserve">          6303 - DATA PHONE LINES</v>
      </c>
      <c r="C65" s="11"/>
      <c r="D65" s="6"/>
      <c r="E65" s="2"/>
      <c r="F65" s="7">
        <f t="shared" si="46"/>
        <v>0</v>
      </c>
      <c r="G65" s="2"/>
      <c r="H65" s="6">
        <v>120</v>
      </c>
      <c r="I65" s="2"/>
      <c r="J65" s="7">
        <f t="shared" si="47"/>
        <v>2.1986075485525832E-2</v>
      </c>
      <c r="K65" s="2"/>
      <c r="L65" s="6">
        <f t="shared" si="48"/>
        <v>-120</v>
      </c>
      <c r="M65" s="2"/>
      <c r="N65" s="7">
        <f t="shared" si="49"/>
        <v>-1</v>
      </c>
      <c r="O65" s="11"/>
      <c r="P65" s="6"/>
      <c r="Q65" s="2"/>
      <c r="R65" s="7">
        <f t="shared" si="50"/>
        <v>0</v>
      </c>
      <c r="S65" s="2"/>
      <c r="T65" s="6">
        <v>1440</v>
      </c>
      <c r="U65" s="2"/>
      <c r="V65" s="7">
        <f t="shared" si="51"/>
        <v>6.7578031508257188E-3</v>
      </c>
      <c r="W65" s="2"/>
      <c r="X65" s="6">
        <f t="shared" si="52"/>
        <v>-1440</v>
      </c>
      <c r="Y65" s="2"/>
      <c r="Z65" s="7">
        <f t="shared" si="53"/>
        <v>-1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72.05</v>
      </c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72.05</v>
      </c>
      <c r="M66" s="2"/>
      <c r="N66" s="7">
        <f t="shared" si="49"/>
        <v>0</v>
      </c>
      <c r="O66" s="11"/>
      <c r="P66" s="6">
        <v>1229.75</v>
      </c>
      <c r="Q66" s="2"/>
      <c r="R66" s="7">
        <f t="shared" si="50"/>
        <v>0</v>
      </c>
      <c r="S66" s="2"/>
      <c r="T66" s="6"/>
      <c r="U66" s="2"/>
      <c r="V66" s="7">
        <f t="shared" si="51"/>
        <v>0</v>
      </c>
      <c r="W66" s="2"/>
      <c r="X66" s="6">
        <f t="shared" si="52"/>
        <v>1229.75</v>
      </c>
      <c r="Y66" s="2"/>
      <c r="Z66" s="7">
        <f t="shared" si="53"/>
        <v>0</v>
      </c>
    </row>
    <row r="67" spans="1:26" s="27" customFormat="1" outlineLevel="1" collapsed="1" x14ac:dyDescent="0.25">
      <c r="A67" s="25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SUM(OSRRefD22_10x_0)</f>
        <v>0</v>
      </c>
      <c r="E67" s="1"/>
      <c r="F67" s="5">
        <f t="shared" ref="F67:F70" si="54">IF(D$12=0,0,D67/D$12)</f>
        <v>0</v>
      </c>
      <c r="G67" s="1"/>
      <c r="H67" s="1">
        <f>SUM(OSRRefH22_10x_0)</f>
        <v>0</v>
      </c>
      <c r="I67" s="1"/>
      <c r="J67" s="5">
        <f t="shared" ref="J67:J70" si="55">IF(H$12=0,0,H67/H$12)</f>
        <v>0</v>
      </c>
      <c r="K67" s="1"/>
      <c r="L67" s="1">
        <f t="shared" ref="L67:L70" si="56">+D67-H67</f>
        <v>0</v>
      </c>
      <c r="M67" s="1"/>
      <c r="N67" s="5">
        <f t="shared" ref="N67:N70" si="57">IF(H67=0,0,L67/H67)</f>
        <v>0</v>
      </c>
      <c r="O67" s="13"/>
      <c r="P67" s="1">
        <f>SUM(OSRRefP22_10x_0)</f>
        <v>0</v>
      </c>
      <c r="Q67" s="1"/>
      <c r="R67" s="5">
        <f t="shared" ref="R67:R70" si="58">IF(P$12=0,0,P67/P$12)</f>
        <v>0</v>
      </c>
      <c r="S67" s="1"/>
      <c r="T67" s="1">
        <f>SUM(OSRRefT22_10x_0)</f>
        <v>120</v>
      </c>
      <c r="U67" s="1"/>
      <c r="V67" s="5">
        <f t="shared" ref="V67:V70" si="59">IF(T$12=0,0,T67/T$12)</f>
        <v>5.631502625688099E-4</v>
      </c>
      <c r="W67" s="1"/>
      <c r="X67" s="1">
        <f t="shared" ref="X67:X70" si="60">+P67-T67</f>
        <v>-120</v>
      </c>
      <c r="Y67" s="1"/>
      <c r="Z67" s="5">
        <f t="shared" ref="Z67:Z70" si="61">IF(T67=0,0,X67/T67)</f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120</v>
      </c>
      <c r="U68" s="2"/>
      <c r="V68" s="7">
        <f t="shared" si="59"/>
        <v>5.631502625688099E-4</v>
      </c>
      <c r="W68" s="2"/>
      <c r="X68" s="6">
        <f t="shared" si="60"/>
        <v>-120</v>
      </c>
      <c r="Y68" s="2"/>
      <c r="Z68" s="7">
        <f t="shared" si="61"/>
        <v>-1</v>
      </c>
    </row>
    <row r="69" spans="1:26" s="27" customFormat="1" outlineLevel="1" collapsed="1" x14ac:dyDescent="0.25">
      <c r="A69" s="25"/>
      <c r="B69" s="13" t="str">
        <f>CONCATENATE("     ","Travel                                            ")</f>
        <v xml:space="preserve">     Travel                                            </v>
      </c>
      <c r="C69" s="13"/>
      <c r="D69" s="1">
        <f>SUM(OSRRefD22_11x_0)</f>
        <v>0</v>
      </c>
      <c r="E69" s="1"/>
      <c r="F69" s="5">
        <f t="shared" si="54"/>
        <v>0</v>
      </c>
      <c r="G69" s="1"/>
      <c r="H69" s="1">
        <f>SUM(OSRRefH22_11x_0)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3"/>
      <c r="P69" s="1">
        <f>SUM(OSRRefP22_11x_0)</f>
        <v>0</v>
      </c>
      <c r="Q69" s="1"/>
      <c r="R69" s="5">
        <f t="shared" si="58"/>
        <v>0</v>
      </c>
      <c r="S69" s="1"/>
      <c r="T69" s="1">
        <f>SUM(OSRRefT22_11x_0)</f>
        <v>0</v>
      </c>
      <c r="U69" s="1"/>
      <c r="V69" s="5">
        <f t="shared" si="59"/>
        <v>0</v>
      </c>
      <c r="W69" s="1"/>
      <c r="X69" s="1">
        <f t="shared" si="60"/>
        <v>0</v>
      </c>
      <c r="Y69" s="1"/>
      <c r="Z69" s="5">
        <f t="shared" si="61"/>
        <v>0</v>
      </c>
    </row>
    <row r="70" spans="1:26" s="24" customFormat="1" hidden="1" outlineLevel="2" x14ac:dyDescent="0.25">
      <c r="A70" s="26"/>
      <c r="B70" s="11" t="str">
        <f>CONCATENATE("          ", "6292", " - ", "TRAVEL/CONFERENCE")</f>
        <v xml:space="preserve">          6292 - TRAVEL/CONFERENCE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0">
        <f>+D23-D25+D72</f>
        <v>-204</v>
      </c>
      <c r="E74" s="14"/>
      <c r="F74" s="22">
        <f>IF(D$12=0,0,D74/D$12)</f>
        <v>0</v>
      </c>
      <c r="G74" s="14"/>
      <c r="H74" s="20">
        <f>+H23-H25+H72</f>
        <v>-8727.2290762000011</v>
      </c>
      <c r="I74" s="14"/>
      <c r="J74" s="22">
        <f>IF(H$12=0,0,H74/H$12)</f>
        <v>-1.5989793104067427</v>
      </c>
      <c r="K74" s="16"/>
      <c r="L74" s="20">
        <f>+D74-H74</f>
        <v>8523.2290762000011</v>
      </c>
      <c r="M74" s="16"/>
      <c r="N74" s="22">
        <f>IF(H74=0,0,L74/H74)</f>
        <v>-0.9766248830850186</v>
      </c>
      <c r="O74" s="29"/>
      <c r="P74" s="20">
        <f>+P23-P25+P72</f>
        <v>-46424.57</v>
      </c>
      <c r="Q74" s="14"/>
      <c r="R74" s="22">
        <f>IF(P$12=0,0,P74/P$12)</f>
        <v>0</v>
      </c>
      <c r="S74" s="14"/>
      <c r="T74" s="20">
        <f>+T23-T25+T72</f>
        <v>-88312.312781799992</v>
      </c>
      <c r="U74" s="14"/>
      <c r="V74" s="22">
        <f>IF(T$12=0,0,T74/T$12)</f>
        <v>-0.41444251775941277</v>
      </c>
      <c r="W74" s="16"/>
      <c r="X74" s="20">
        <f>+P74-T74</f>
        <v>41887.742781799992</v>
      </c>
      <c r="Y74" s="16"/>
      <c r="Z74" s="22">
        <f>IF(T74=0,0,X74/T74)</f>
        <v>-0.47431373341218286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>
        <v>-2324</v>
      </c>
      <c r="I76" s="4"/>
      <c r="J76" s="12">
        <f>IF(H$12=0,0,H76/H$12)</f>
        <v>-0.42579699523635028</v>
      </c>
      <c r="K76" s="4"/>
      <c r="L76" s="4">
        <f>+D76-H76</f>
        <v>2324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36008</v>
      </c>
      <c r="U76" s="4"/>
      <c r="V76" s="12">
        <f>IF(T$12=0,0,T76/T$12)</f>
        <v>0.16898262212148091</v>
      </c>
      <c r="W76" s="4"/>
      <c r="X76" s="4">
        <f>+P76-T76</f>
        <v>-36008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4">
        <f>+D74-D76</f>
        <v>-204</v>
      </c>
      <c r="E78" s="14"/>
      <c r="F78" s="35">
        <f>IF(D$12=0,0,D78/D$12)</f>
        <v>0</v>
      </c>
      <c r="G78" s="14"/>
      <c r="H78" s="34">
        <f>+H74-H76</f>
        <v>-6403.2290762000011</v>
      </c>
      <c r="I78" s="14"/>
      <c r="J78" s="35">
        <f>IF(H$12=0,0,H78/H$12)</f>
        <v>-1.1731823151703924</v>
      </c>
      <c r="K78" s="16"/>
      <c r="L78" s="34">
        <f>D78-H78</f>
        <v>6199.2290762000011</v>
      </c>
      <c r="M78" s="16"/>
      <c r="N78" s="35">
        <f>IF(H78=0,0,L78/H78)</f>
        <v>-0.96814107420297635</v>
      </c>
      <c r="O78" s="29"/>
      <c r="P78" s="34">
        <f>+P74-P76</f>
        <v>-46424.57</v>
      </c>
      <c r="Q78" s="14"/>
      <c r="R78" s="35">
        <f>IF(P$12=0,0,P78/P$12)</f>
        <v>0</v>
      </c>
      <c r="S78" s="14"/>
      <c r="T78" s="34">
        <f>+T74-T76</f>
        <v>-124320.31278179999</v>
      </c>
      <c r="U78" s="14"/>
      <c r="V78" s="35">
        <f>IF(T$12=0,0,T78/T$12)</f>
        <v>-0.58342513988089373</v>
      </c>
      <c r="W78" s="16"/>
      <c r="X78" s="34">
        <f>P78-T78</f>
        <v>77895.742781799985</v>
      </c>
      <c r="Y78" s="16"/>
      <c r="Z78" s="35">
        <f>IF(T78=0,0,X78/T78)</f>
        <v>-0.62657293115500923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3">
        <f>SUM(D78:D80)</f>
        <v>-204</v>
      </c>
      <c r="E81" s="14"/>
      <c r="F81" s="31">
        <f>IF(D$12=0,0,D81/D$12)</f>
        <v>0</v>
      </c>
      <c r="G81" s="14"/>
      <c r="H81" s="33">
        <f>SUM(H78:H80)</f>
        <v>-6403.2290762000011</v>
      </c>
      <c r="I81" s="14"/>
      <c r="J81" s="31">
        <f>IF(H$12=0,0,H81/H$12)</f>
        <v>-1.1731823151703924</v>
      </c>
      <c r="K81" s="16"/>
      <c r="L81" s="33">
        <f>+D81-H81</f>
        <v>6199.2290762000011</v>
      </c>
      <c r="M81" s="16"/>
      <c r="N81" s="31">
        <f>IF(H81=0,0,L81/H81)</f>
        <v>-0.96814107420297635</v>
      </c>
      <c r="O81" s="29"/>
      <c r="P81" s="33">
        <f>SUM(P78:P80)</f>
        <v>-46424.57</v>
      </c>
      <c r="Q81" s="14"/>
      <c r="R81" s="31">
        <f>IF(P$12=0,0,P81/P$12)</f>
        <v>0</v>
      </c>
      <c r="S81" s="14"/>
      <c r="T81" s="33">
        <f>SUM(T78:T80)</f>
        <v>-124320.31278179999</v>
      </c>
      <c r="U81" s="14"/>
      <c r="V81" s="31">
        <f>IF(T$12=0,0,T81/T$12)</f>
        <v>-0.58342513988089373</v>
      </c>
      <c r="W81" s="16"/>
      <c r="X81" s="33">
        <f>+P81-T81</f>
        <v>77895.742781799985</v>
      </c>
      <c r="Y81" s="16"/>
      <c r="Z81" s="31">
        <f>IF(T81=0,0,X81/T81)</f>
        <v>-0.62657293115500923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6">
        <v>44454.686112384261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3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","321", " - ", "Corner Market")</f>
        <v>Department 321 - Corner Market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115155</v>
      </c>
      <c r="U12" s="4"/>
      <c r="V12" s="12"/>
      <c r="W12" s="4"/>
      <c r="X12" s="4">
        <f t="shared" ref="X12:X15" si="2">+P12-T12</f>
        <v>-112678.53</v>
      </c>
      <c r="Y12" s="4"/>
      <c r="Z12" s="12">
        <f t="shared" ref="Z12:Z15" si="3">IF(T12=0,0,X12/T12)</f>
        <v>-0.97849446398332685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--444.59</f>
        <v>444.59</v>
      </c>
      <c r="Q13" s="2"/>
      <c r="R13" s="19"/>
      <c r="S13" s="2"/>
      <c r="T13" s="2"/>
      <c r="U13" s="2"/>
      <c r="V13" s="19"/>
      <c r="W13" s="2"/>
      <c r="X13" s="2">
        <f t="shared" si="2"/>
        <v>444.59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115155</v>
      </c>
      <c r="U14" s="2"/>
      <c r="V14" s="19"/>
      <c r="W14" s="2"/>
      <c r="X14" s="2">
        <f t="shared" si="2"/>
        <v>-115155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--2031.88</f>
        <v>2031.88</v>
      </c>
      <c r="Q15" s="2"/>
      <c r="R15" s="19"/>
      <c r="S15" s="2"/>
      <c r="T15" s="2"/>
      <c r="U15" s="2"/>
      <c r="V15" s="19"/>
      <c r="W15" s="2"/>
      <c r="X15" s="2">
        <f t="shared" si="2"/>
        <v>2031.88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174.1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174.1</v>
      </c>
      <c r="M17" s="4"/>
      <c r="N17" s="12">
        <f t="shared" ref="N17:N20" si="8">IF(H17=0,0,L17/H17)</f>
        <v>0</v>
      </c>
      <c r="O17" s="10"/>
      <c r="P17" s="4">
        <f>SUM(OSRRefP16x_0)</f>
        <v>19753.830000000002</v>
      </c>
      <c r="Q17" s="4"/>
      <c r="R17" s="12">
        <f t="shared" ref="R17:R20" si="9">IF(P$12=0,0,P17/P$12)</f>
        <v>7.9766078329234755</v>
      </c>
      <c r="S17" s="4"/>
      <c r="T17" s="4">
        <f>SUM(OSRRefT16x_0)</f>
        <v>60295</v>
      </c>
      <c r="U17" s="4"/>
      <c r="V17" s="12">
        <f t="shared" ref="V17:V20" si="10">IF(T$12=0,0,T17/T$12)</f>
        <v>0.52359862793625978</v>
      </c>
      <c r="W17" s="4"/>
      <c r="X17" s="4">
        <f t="shared" ref="X17:X20" si="11">+P17-T17</f>
        <v>-40541.17</v>
      </c>
      <c r="Y17" s="4"/>
      <c r="Z17" s="12">
        <f t="shared" ref="Z17:Z20" si="12">IF(T17=0,0,X17/T17)</f>
        <v>-0.67238029687370426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60295</v>
      </c>
      <c r="U18" s="2"/>
      <c r="V18" s="19">
        <f t="shared" si="10"/>
        <v>0.52359862793625978</v>
      </c>
      <c r="W18" s="2"/>
      <c r="X18" s="2">
        <f t="shared" si="11"/>
        <v>-60295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15.1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15.1</v>
      </c>
      <c r="M19" s="2"/>
      <c r="N19" s="19">
        <f t="shared" si="8"/>
        <v>0</v>
      </c>
      <c r="O19" s="11"/>
      <c r="P19" s="2">
        <v>15.83</v>
      </c>
      <c r="Q19" s="2"/>
      <c r="R19" s="19">
        <f t="shared" si="9"/>
        <v>6.3921630385185358E-3</v>
      </c>
      <c r="S19" s="2"/>
      <c r="T19" s="2"/>
      <c r="U19" s="2"/>
      <c r="V19" s="19">
        <f t="shared" si="10"/>
        <v>0</v>
      </c>
      <c r="W19" s="2"/>
      <c r="X19" s="2">
        <f t="shared" si="11"/>
        <v>15.83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159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159</v>
      </c>
      <c r="M20" s="2"/>
      <c r="N20" s="19">
        <f t="shared" si="8"/>
        <v>0</v>
      </c>
      <c r="O20" s="11"/>
      <c r="P20" s="2">
        <v>19738</v>
      </c>
      <c r="Q20" s="2"/>
      <c r="R20" s="19">
        <f t="shared" si="9"/>
        <v>7.970215669884956</v>
      </c>
      <c r="S20" s="2"/>
      <c r="T20" s="2"/>
      <c r="U20" s="2"/>
      <c r="V20" s="19">
        <f t="shared" si="10"/>
        <v>0</v>
      </c>
      <c r="W20" s="2"/>
      <c r="X20" s="2">
        <f t="shared" si="11"/>
        <v>19738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108</v>
      </c>
      <c r="C22" s="28"/>
      <c r="D22" s="20">
        <f>D12-D17</f>
        <v>-174.1</v>
      </c>
      <c r="E22" s="14"/>
      <c r="F22" s="22">
        <f>IF(D$12=0,0,D22/D$12)</f>
        <v>0</v>
      </c>
      <c r="G22" s="14"/>
      <c r="H22" s="20">
        <f>H12-H17</f>
        <v>0</v>
      </c>
      <c r="I22" s="14"/>
      <c r="J22" s="22">
        <f>IF(H$12=0,0,H22/H$12)</f>
        <v>0</v>
      </c>
      <c r="K22" s="16"/>
      <c r="L22" s="20">
        <f>+D22-H22</f>
        <v>-174.1</v>
      </c>
      <c r="M22" s="16"/>
      <c r="N22" s="22">
        <f>IF(H22=0,0,L22/H22)</f>
        <v>0</v>
      </c>
      <c r="O22" s="29"/>
      <c r="P22" s="20">
        <f>P12-P17</f>
        <v>-17277.36</v>
      </c>
      <c r="Q22" s="14"/>
      <c r="R22" s="22">
        <f>IF(P$12=0,0,P22/P$12)</f>
        <v>-6.9766078329234755</v>
      </c>
      <c r="S22" s="14"/>
      <c r="T22" s="20">
        <f>T12-T17</f>
        <v>54860</v>
      </c>
      <c r="U22" s="14"/>
      <c r="V22" s="22">
        <f>IF(T$12=0,0,T22/T$12)</f>
        <v>0.47640137206374017</v>
      </c>
      <c r="W22" s="16"/>
      <c r="X22" s="20">
        <f>+P22-T22</f>
        <v>-72137.36</v>
      </c>
      <c r="Y22" s="16"/>
      <c r="Z22" s="22">
        <f>IF(T22=0,0,X22/T22)</f>
        <v>-1.3149354721108275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295</v>
      </c>
      <c r="C24" s="10"/>
      <c r="D24" s="21">
        <f>SUM(OSRRefD22x_0)</f>
        <v>1324.8500000000001</v>
      </c>
      <c r="E24" s="21"/>
      <c r="F24" s="30">
        <f t="shared" ref="F24:F34" si="13">IF(D$12=0,0,D24/D$12)</f>
        <v>0</v>
      </c>
      <c r="G24" s="21"/>
      <c r="H24" s="21">
        <f>SUM(OSRRefH22x_0)</f>
        <v>1937</v>
      </c>
      <c r="I24" s="21"/>
      <c r="J24" s="30">
        <f t="shared" ref="J24:J34" si="14">IF(H$12=0,0,H24/H$12)</f>
        <v>0</v>
      </c>
      <c r="K24" s="4"/>
      <c r="L24" s="21">
        <f t="shared" ref="L24:L34" si="15">+D24-H24</f>
        <v>-612.14999999999986</v>
      </c>
      <c r="M24" s="4"/>
      <c r="N24" s="30">
        <f t="shared" ref="N24:N34" si="16">IF(H24=0,0,L24/H24)</f>
        <v>-0.31602994321115119</v>
      </c>
      <c r="O24" s="10"/>
      <c r="P24" s="21">
        <f>SUM(OSRRefP22x_0)</f>
        <v>43012.979999999996</v>
      </c>
      <c r="Q24" s="21"/>
      <c r="R24" s="30">
        <f t="shared" ref="R24:R34" si="17">IF(P$12=0,0,P24/P$12)</f>
        <v>17.368665883293556</v>
      </c>
      <c r="S24" s="21"/>
      <c r="T24" s="21">
        <f>SUM(OSRRefT22x_0)</f>
        <v>101591.3217878</v>
      </c>
      <c r="U24" s="21"/>
      <c r="V24" s="30">
        <f t="shared" ref="V24:V34" si="18">IF(T$12=0,0,T24/T$12)</f>
        <v>0.88221372747861582</v>
      </c>
      <c r="W24" s="4"/>
      <c r="X24" s="21">
        <f t="shared" ref="X24:X34" si="19">+P24-T24</f>
        <v>-58578.341787800004</v>
      </c>
      <c r="Y24" s="4"/>
      <c r="Z24" s="30">
        <f t="shared" ref="Z24:Z34" si="20">IF(T24=0,0,X24/T24)</f>
        <v>-0.57660773338648119</v>
      </c>
    </row>
    <row r="25" spans="1:26" s="27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0</v>
      </c>
      <c r="I25" s="1"/>
      <c r="J25" s="5">
        <f t="shared" si="14"/>
        <v>0</v>
      </c>
      <c r="K25" s="1"/>
      <c r="L25" s="1">
        <f t="shared" si="15"/>
        <v>0</v>
      </c>
      <c r="M25" s="1"/>
      <c r="N25" s="5">
        <f t="shared" si="16"/>
        <v>0</v>
      </c>
      <c r="O25" s="13"/>
      <c r="P25" s="1">
        <f>SUM(OSRRefP22_0x_0)</f>
        <v>8751.99</v>
      </c>
      <c r="Q25" s="1"/>
      <c r="R25" s="5">
        <f t="shared" si="17"/>
        <v>3.5340585591588023</v>
      </c>
      <c r="S25" s="1"/>
      <c r="T25" s="1">
        <f>SUM(OSRRefT22_0x_0)</f>
        <v>4411.3817878</v>
      </c>
      <c r="U25" s="1"/>
      <c r="V25" s="5">
        <f t="shared" si="18"/>
        <v>3.8308208829838042E-2</v>
      </c>
      <c r="W25" s="1"/>
      <c r="X25" s="1">
        <f t="shared" si="19"/>
        <v>4340.6082121999998</v>
      </c>
      <c r="Y25" s="1"/>
      <c r="Z25" s="5">
        <f t="shared" si="20"/>
        <v>0.98395659704727223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1667.09</v>
      </c>
      <c r="Q26" s="2"/>
      <c r="R26" s="7">
        <f t="shared" si="17"/>
        <v>0.67317189386505782</v>
      </c>
      <c r="S26" s="2"/>
      <c r="T26" s="6">
        <v>1750.6589538000001</v>
      </c>
      <c r="U26" s="2"/>
      <c r="V26" s="7">
        <f t="shared" si="18"/>
        <v>1.5202630834961574E-2</v>
      </c>
      <c r="W26" s="2"/>
      <c r="X26" s="6">
        <f t="shared" si="19"/>
        <v>-83.568953800000145</v>
      </c>
      <c r="Y26" s="2"/>
      <c r="Z26" s="7">
        <f t="shared" si="20"/>
        <v>-4.7735713240208456E-2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331.61</v>
      </c>
      <c r="Q27" s="2"/>
      <c r="R27" s="7">
        <f t="shared" si="17"/>
        <v>0.13390430734069056</v>
      </c>
      <c r="S27" s="2"/>
      <c r="T27" s="6">
        <v>963.27539000000002</v>
      </c>
      <c r="U27" s="2"/>
      <c r="V27" s="7">
        <f t="shared" si="18"/>
        <v>8.3650331292605615E-3</v>
      </c>
      <c r="W27" s="2"/>
      <c r="X27" s="6">
        <f t="shared" si="19"/>
        <v>-631.66539</v>
      </c>
      <c r="Y27" s="2"/>
      <c r="Z27" s="7">
        <f t="shared" si="20"/>
        <v>-0.65574745971658221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3385.22</v>
      </c>
      <c r="Q28" s="2"/>
      <c r="R28" s="7">
        <f t="shared" si="17"/>
        <v>1.366953768872629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3385.22</v>
      </c>
      <c r="Y28" s="2"/>
      <c r="Z28" s="7">
        <f t="shared" si="20"/>
        <v>0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62.01</v>
      </c>
      <c r="Q29" s="2"/>
      <c r="R29" s="7">
        <f t="shared" si="17"/>
        <v>2.5039673406098192E-2</v>
      </c>
      <c r="S29" s="2"/>
      <c r="T29" s="6">
        <v>135.379244</v>
      </c>
      <c r="U29" s="2"/>
      <c r="V29" s="7">
        <f t="shared" si="18"/>
        <v>1.1756262776258088E-3</v>
      </c>
      <c r="W29" s="2"/>
      <c r="X29" s="6">
        <f t="shared" si="19"/>
        <v>-73.369244000000009</v>
      </c>
      <c r="Y29" s="2"/>
      <c r="Z29" s="7">
        <f t="shared" si="20"/>
        <v>-0.54195341791094664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1254.1099999999999</v>
      </c>
      <c r="Q30" s="2"/>
      <c r="R30" s="7">
        <f t="shared" si="17"/>
        <v>0.50641033406421232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1254.1099999999999</v>
      </c>
      <c r="Y30" s="2"/>
      <c r="Z30" s="7">
        <f t="shared" si="20"/>
        <v>0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>
        <v>958.88</v>
      </c>
      <c r="Q32" s="2"/>
      <c r="R32" s="7">
        <f t="shared" si="17"/>
        <v>0.38719629149555612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958.88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>
        <v>767.52</v>
      </c>
      <c r="Q33" s="2"/>
      <c r="R33" s="7">
        <f t="shared" si="17"/>
        <v>0.30992501423397006</v>
      </c>
      <c r="S33" s="2"/>
      <c r="T33" s="6">
        <v>1562.0681999999999</v>
      </c>
      <c r="U33" s="2"/>
      <c r="V33" s="7">
        <f t="shared" si="18"/>
        <v>1.35649185879901E-2</v>
      </c>
      <c r="W33" s="2"/>
      <c r="X33" s="6">
        <f t="shared" si="19"/>
        <v>-794.54819999999995</v>
      </c>
      <c r="Y33" s="2"/>
      <c r="Z33" s="7">
        <f t="shared" si="20"/>
        <v>-0.50865141483579268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325.55</v>
      </c>
      <c r="Q34" s="2"/>
      <c r="R34" s="7">
        <f t="shared" si="17"/>
        <v>0.13145727588058809</v>
      </c>
      <c r="S34" s="2"/>
      <c r="T34" s="6"/>
      <c r="U34" s="2"/>
      <c r="V34" s="7">
        <f t="shared" si="18"/>
        <v>0</v>
      </c>
      <c r="W34" s="2"/>
      <c r="X34" s="6">
        <f t="shared" si="19"/>
        <v>325.55</v>
      </c>
      <c r="Y34" s="2"/>
      <c r="Z34" s="7">
        <f t="shared" si="20"/>
        <v>0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0</v>
      </c>
      <c r="I35" s="1"/>
      <c r="J35" s="5">
        <f t="shared" ref="J35:J45" si="22">IF(H$12=0,0,H35/H$12)</f>
        <v>0</v>
      </c>
      <c r="K35" s="1"/>
      <c r="L35" s="1">
        <f t="shared" ref="L35:L45" si="23">+D35-H35</f>
        <v>0</v>
      </c>
      <c r="M35" s="1"/>
      <c r="N35" s="5">
        <f t="shared" ref="N35:N45" si="24">IF(H35=0,0,L35/H35)</f>
        <v>0</v>
      </c>
      <c r="O35" s="13"/>
      <c r="P35" s="1">
        <f>SUM(OSRRefP22_1x_0)</f>
        <v>15859.96</v>
      </c>
      <c r="Q35" s="1"/>
      <c r="R35" s="5">
        <f t="shared" ref="R35:R45" si="25">IF(P$12=0,0,P35/P$12)</f>
        <v>6.404260903624917</v>
      </c>
      <c r="S35" s="1"/>
      <c r="T35" s="1">
        <f>SUM(OSRRefT22_1x_0)</f>
        <v>52068.94</v>
      </c>
      <c r="U35" s="1"/>
      <c r="V35" s="5">
        <f t="shared" ref="V35:V45" si="26">IF(T$12=0,0,T35/T$12)</f>
        <v>0.45216395293300338</v>
      </c>
      <c r="W35" s="1"/>
      <c r="X35" s="1">
        <f t="shared" ref="X35:X45" si="27">+P35-T35</f>
        <v>-36208.980000000003</v>
      </c>
      <c r="Y35" s="1"/>
      <c r="Z35" s="5">
        <f t="shared" ref="Z35:Z45" si="28">IF(T35=0,0,X35/T35)</f>
        <v>-0.6954045924499328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>
        <v>13728</v>
      </c>
      <c r="Q37" s="2"/>
      <c r="R37" s="7">
        <f t="shared" si="25"/>
        <v>5.5433742383311726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13728</v>
      </c>
      <c r="Y37" s="2"/>
      <c r="Z37" s="7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22875.46</v>
      </c>
      <c r="U39" s="2"/>
      <c r="V39" s="7">
        <f t="shared" si="26"/>
        <v>0.19864929877122139</v>
      </c>
      <c r="W39" s="2"/>
      <c r="X39" s="6">
        <f t="shared" si="27"/>
        <v>-22875.46</v>
      </c>
      <c r="Y39" s="2"/>
      <c r="Z39" s="7">
        <f t="shared" si="28"/>
        <v>-1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2131.96</v>
      </c>
      <c r="Q40" s="2"/>
      <c r="R40" s="7">
        <f t="shared" si="25"/>
        <v>0.86088666529374469</v>
      </c>
      <c r="S40" s="2"/>
      <c r="T40" s="6">
        <v>9726.48</v>
      </c>
      <c r="U40" s="2"/>
      <c r="V40" s="7">
        <f t="shared" si="26"/>
        <v>8.4464243845252043E-2</v>
      </c>
      <c r="W40" s="2"/>
      <c r="X40" s="6">
        <f t="shared" si="27"/>
        <v>-7594.5199999999995</v>
      </c>
      <c r="Y40" s="2"/>
      <c r="Z40" s="7">
        <f t="shared" si="28"/>
        <v>-0.78080867898767081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0</v>
      </c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19467</v>
      </c>
      <c r="U43" s="2"/>
      <c r="V43" s="7">
        <f t="shared" si="26"/>
        <v>0.1690504103165299</v>
      </c>
      <c r="W43" s="2"/>
      <c r="X43" s="6">
        <f t="shared" si="27"/>
        <v>-19467</v>
      </c>
      <c r="Y43" s="2"/>
      <c r="Z43" s="7">
        <f t="shared" si="28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7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8" si="29">IF(D$12=0,0,D46/D$12)</f>
        <v>0</v>
      </c>
      <c r="G46" s="1"/>
      <c r="H46" s="1">
        <f>SUM(OSRRefH22_2x_0)</f>
        <v>0</v>
      </c>
      <c r="I46" s="1"/>
      <c r="J46" s="5">
        <f t="shared" ref="J46:J58" si="30">IF(H$12=0,0,H46/H$12)</f>
        <v>0</v>
      </c>
      <c r="K46" s="1"/>
      <c r="L46" s="1">
        <f t="shared" ref="L46:L58" si="31">+D46-H46</f>
        <v>0</v>
      </c>
      <c r="M46" s="1"/>
      <c r="N46" s="5">
        <f t="shared" ref="N46:N58" si="32">IF(H46=0,0,L46/H46)</f>
        <v>0</v>
      </c>
      <c r="O46" s="13"/>
      <c r="P46" s="1">
        <f>SUM(OSRRefP22_2x_0)</f>
        <v>0</v>
      </c>
      <c r="Q46" s="1"/>
      <c r="R46" s="5">
        <f t="shared" ref="R46:R58" si="33">IF(P$12=0,0,P46/P$12)</f>
        <v>0</v>
      </c>
      <c r="S46" s="1"/>
      <c r="T46" s="1">
        <f>SUM(OSRRefT22_2x_0)</f>
        <v>1000</v>
      </c>
      <c r="U46" s="1"/>
      <c r="V46" s="5">
        <f t="shared" ref="V46:V58" si="34">IF(T$12=0,0,T46/T$12)</f>
        <v>8.6839477226347099E-3</v>
      </c>
      <c r="W46" s="1"/>
      <c r="X46" s="1">
        <f t="shared" ref="X46:X58" si="35">+P46-T46</f>
        <v>-1000</v>
      </c>
      <c r="Y46" s="1"/>
      <c r="Z46" s="5">
        <f t="shared" ref="Z46:Z58" si="36">IF(T46=0,0,X46/T46)</f>
        <v>-1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1000</v>
      </c>
      <c r="U47" s="2"/>
      <c r="V47" s="7">
        <f t="shared" si="34"/>
        <v>8.6839477226347099E-3</v>
      </c>
      <c r="W47" s="2"/>
      <c r="X47" s="6">
        <f t="shared" si="35"/>
        <v>-1000</v>
      </c>
      <c r="Y47" s="2"/>
      <c r="Z47" s="7">
        <f t="shared" si="36"/>
        <v>-1</v>
      </c>
    </row>
    <row r="48" spans="1:26" s="27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3.31</v>
      </c>
      <c r="Q48" s="1"/>
      <c r="R48" s="5">
        <f t="shared" si="33"/>
        <v>1.3365798899239642E-3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3.31</v>
      </c>
      <c r="Y48" s="1"/>
      <c r="Z48" s="5">
        <f t="shared" si="36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3.31</v>
      </c>
      <c r="Q49" s="2"/>
      <c r="R49" s="7">
        <f t="shared" si="33"/>
        <v>1.3365798899239642E-3</v>
      </c>
      <c r="S49" s="2"/>
      <c r="T49" s="6"/>
      <c r="U49" s="2"/>
      <c r="V49" s="7">
        <f t="shared" si="34"/>
        <v>0</v>
      </c>
      <c r="W49" s="2"/>
      <c r="X49" s="6">
        <f t="shared" si="35"/>
        <v>3.31</v>
      </c>
      <c r="Y49" s="2"/>
      <c r="Z49" s="7">
        <f t="shared" si="36"/>
        <v>0</v>
      </c>
    </row>
    <row r="50" spans="1:26" s="27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100.01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100.01</v>
      </c>
      <c r="M50" s="1"/>
      <c r="N50" s="5">
        <f t="shared" si="32"/>
        <v>0</v>
      </c>
      <c r="O50" s="13"/>
      <c r="P50" s="1">
        <f>SUM(OSRRefP22_4x_0)</f>
        <v>1773.09</v>
      </c>
      <c r="Q50" s="1"/>
      <c r="R50" s="5">
        <f t="shared" si="33"/>
        <v>0.7159747543883026</v>
      </c>
      <c r="S50" s="1"/>
      <c r="T50" s="1">
        <f>SUM(OSRRefT22_4x_0)</f>
        <v>7294</v>
      </c>
      <c r="U50" s="1"/>
      <c r="V50" s="5">
        <f t="shared" si="34"/>
        <v>6.334071468889757E-2</v>
      </c>
      <c r="W50" s="1"/>
      <c r="X50" s="1">
        <f t="shared" si="35"/>
        <v>-5520.91</v>
      </c>
      <c r="Y50" s="1"/>
      <c r="Z50" s="5">
        <f t="shared" si="36"/>
        <v>-0.75691115985741708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100.01</v>
      </c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100.01</v>
      </c>
      <c r="M51" s="2"/>
      <c r="N51" s="7">
        <f t="shared" si="32"/>
        <v>0</v>
      </c>
      <c r="O51" s="11"/>
      <c r="P51" s="6">
        <v>1773.09</v>
      </c>
      <c r="Q51" s="2"/>
      <c r="R51" s="7">
        <f t="shared" si="33"/>
        <v>0.7159747543883026</v>
      </c>
      <c r="S51" s="2"/>
      <c r="T51" s="6">
        <v>7294</v>
      </c>
      <c r="U51" s="2"/>
      <c r="V51" s="7">
        <f t="shared" si="34"/>
        <v>6.334071468889757E-2</v>
      </c>
      <c r="W51" s="2"/>
      <c r="X51" s="6">
        <f t="shared" si="35"/>
        <v>-5520.91</v>
      </c>
      <c r="Y51" s="2"/>
      <c r="Z51" s="7">
        <f t="shared" si="36"/>
        <v>-0.75691115985741708</v>
      </c>
    </row>
    <row r="52" spans="1:26" s="27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1075.44</v>
      </c>
      <c r="E52" s="1"/>
      <c r="F52" s="5">
        <f t="shared" si="29"/>
        <v>0</v>
      </c>
      <c r="G52" s="1"/>
      <c r="H52" s="1">
        <f>SUM(OSRRefH22_5x_0)</f>
        <v>1075</v>
      </c>
      <c r="I52" s="1"/>
      <c r="J52" s="5">
        <f t="shared" si="30"/>
        <v>0</v>
      </c>
      <c r="K52" s="1"/>
      <c r="L52" s="1">
        <f t="shared" si="31"/>
        <v>0.44000000000005457</v>
      </c>
      <c r="M52" s="1"/>
      <c r="N52" s="5">
        <f t="shared" si="32"/>
        <v>4.0930232558144609E-4</v>
      </c>
      <c r="O52" s="13"/>
      <c r="P52" s="1">
        <f>SUM(OSRRefP22_5x_0)</f>
        <v>12904.51</v>
      </c>
      <c r="Q52" s="1"/>
      <c r="R52" s="5">
        <f t="shared" si="33"/>
        <v>5.2108485061397873</v>
      </c>
      <c r="S52" s="1"/>
      <c r="T52" s="1">
        <f>SUM(OSRRefT22_5x_0)</f>
        <v>12900</v>
      </c>
      <c r="U52" s="1"/>
      <c r="V52" s="5">
        <f t="shared" si="34"/>
        <v>0.11202292562198776</v>
      </c>
      <c r="W52" s="1"/>
      <c r="X52" s="1">
        <f t="shared" si="35"/>
        <v>4.5100000000002183</v>
      </c>
      <c r="Y52" s="1"/>
      <c r="Z52" s="5">
        <f t="shared" si="36"/>
        <v>3.4961240310079213E-4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1075.44</v>
      </c>
      <c r="E53" s="2"/>
      <c r="F53" s="7">
        <f t="shared" si="29"/>
        <v>0</v>
      </c>
      <c r="G53" s="2"/>
      <c r="H53" s="6">
        <v>1075</v>
      </c>
      <c r="I53" s="2"/>
      <c r="J53" s="7">
        <f t="shared" si="30"/>
        <v>0</v>
      </c>
      <c r="K53" s="2"/>
      <c r="L53" s="6">
        <f t="shared" si="31"/>
        <v>0.44000000000005457</v>
      </c>
      <c r="M53" s="2"/>
      <c r="N53" s="7">
        <f t="shared" si="32"/>
        <v>4.0930232558144609E-4</v>
      </c>
      <c r="O53" s="11"/>
      <c r="P53" s="6">
        <v>12904.51</v>
      </c>
      <c r="Q53" s="2"/>
      <c r="R53" s="7">
        <f t="shared" si="33"/>
        <v>5.2108485061397873</v>
      </c>
      <c r="S53" s="2"/>
      <c r="T53" s="6">
        <v>12900</v>
      </c>
      <c r="U53" s="2"/>
      <c r="V53" s="7">
        <f t="shared" si="34"/>
        <v>0.11202292562198776</v>
      </c>
      <c r="W53" s="2"/>
      <c r="X53" s="6">
        <f t="shared" si="35"/>
        <v>4.5100000000002183</v>
      </c>
      <c r="Y53" s="2"/>
      <c r="Z53" s="7">
        <f t="shared" si="36"/>
        <v>3.4961240310079213E-4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3"/>
      <c r="P54" s="1">
        <f>SUM(OSRRefP22_6x_0)</f>
        <v>1138.94</v>
      </c>
      <c r="Q54" s="1"/>
      <c r="R54" s="5">
        <f t="shared" si="33"/>
        <v>0.4599046223051359</v>
      </c>
      <c r="S54" s="1"/>
      <c r="T54" s="1">
        <f>SUM(OSRRefT22_6x_0)</f>
        <v>1000</v>
      </c>
      <c r="U54" s="1"/>
      <c r="V54" s="5">
        <f t="shared" si="34"/>
        <v>8.6839477226347099E-3</v>
      </c>
      <c r="W54" s="1"/>
      <c r="X54" s="1">
        <f t="shared" si="35"/>
        <v>138.94000000000005</v>
      </c>
      <c r="Y54" s="1"/>
      <c r="Z54" s="5">
        <f t="shared" si="36"/>
        <v>0.13894000000000006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1138.94</v>
      </c>
      <c r="Q55" s="2"/>
      <c r="R55" s="7">
        <f t="shared" si="33"/>
        <v>0.4599046223051359</v>
      </c>
      <c r="S55" s="2"/>
      <c r="T55" s="6">
        <v>1000</v>
      </c>
      <c r="U55" s="2"/>
      <c r="V55" s="7">
        <f t="shared" si="34"/>
        <v>8.6839477226347099E-3</v>
      </c>
      <c r="W55" s="2"/>
      <c r="X55" s="6">
        <f t="shared" si="35"/>
        <v>138.94000000000005</v>
      </c>
      <c r="Y55" s="2"/>
      <c r="Z55" s="7">
        <f t="shared" si="36"/>
        <v>0.13894000000000006</v>
      </c>
    </row>
    <row r="56" spans="1:26" s="27" customFormat="1" outlineLevel="1" collapsed="1" x14ac:dyDescent="0.25">
      <c r="A56" s="25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SUM(OSRRefD22_7x_0)</f>
        <v>47.9</v>
      </c>
      <c r="E56" s="1"/>
      <c r="F56" s="5">
        <f t="shared" si="29"/>
        <v>0</v>
      </c>
      <c r="G56" s="1"/>
      <c r="H56" s="1">
        <f>SUM(OSRRefH22_7x_0)</f>
        <v>250</v>
      </c>
      <c r="I56" s="1"/>
      <c r="J56" s="5">
        <f t="shared" si="30"/>
        <v>0</v>
      </c>
      <c r="K56" s="1"/>
      <c r="L56" s="1">
        <f t="shared" si="31"/>
        <v>-202.1</v>
      </c>
      <c r="M56" s="1"/>
      <c r="N56" s="5">
        <f t="shared" si="32"/>
        <v>-0.80840000000000001</v>
      </c>
      <c r="O56" s="13"/>
      <c r="P56" s="1">
        <f>SUM(OSRRefP22_7x_0)</f>
        <v>588.75</v>
      </c>
      <c r="Q56" s="1"/>
      <c r="R56" s="5">
        <f t="shared" si="33"/>
        <v>0.23773758616094681</v>
      </c>
      <c r="S56" s="1"/>
      <c r="T56" s="1">
        <f>SUM(OSRRefT22_7x_0)</f>
        <v>2750</v>
      </c>
      <c r="U56" s="1"/>
      <c r="V56" s="5">
        <f t="shared" si="34"/>
        <v>2.3880856237245451E-2</v>
      </c>
      <c r="W56" s="1"/>
      <c r="X56" s="1">
        <f t="shared" si="35"/>
        <v>-2161.25</v>
      </c>
      <c r="Y56" s="1"/>
      <c r="Z56" s="5">
        <f t="shared" si="36"/>
        <v>-0.78590909090909089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>
        <v>47.9</v>
      </c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47.9</v>
      </c>
      <c r="M57" s="2"/>
      <c r="N57" s="7">
        <f t="shared" si="32"/>
        <v>0</v>
      </c>
      <c r="O57" s="11"/>
      <c r="P57" s="6">
        <v>271.19</v>
      </c>
      <c r="Q57" s="2"/>
      <c r="R57" s="7">
        <f t="shared" si="33"/>
        <v>0.10950667684244104</v>
      </c>
      <c r="S57" s="2"/>
      <c r="T57" s="6"/>
      <c r="U57" s="2"/>
      <c r="V57" s="7">
        <f t="shared" si="34"/>
        <v>0</v>
      </c>
      <c r="W57" s="2"/>
      <c r="X57" s="6">
        <f t="shared" si="35"/>
        <v>271.19</v>
      </c>
      <c r="Y57" s="2"/>
      <c r="Z57" s="7">
        <f t="shared" si="36"/>
        <v>0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29"/>
        <v>0</v>
      </c>
      <c r="G58" s="2"/>
      <c r="H58" s="6">
        <v>250</v>
      </c>
      <c r="I58" s="2"/>
      <c r="J58" s="7">
        <f t="shared" si="30"/>
        <v>0</v>
      </c>
      <c r="K58" s="2"/>
      <c r="L58" s="6">
        <f t="shared" si="31"/>
        <v>-250</v>
      </c>
      <c r="M58" s="2"/>
      <c r="N58" s="7">
        <f t="shared" si="32"/>
        <v>-1</v>
      </c>
      <c r="O58" s="11"/>
      <c r="P58" s="6">
        <v>317.56</v>
      </c>
      <c r="Q58" s="2"/>
      <c r="R58" s="7">
        <f t="shared" si="33"/>
        <v>0.12823090931850575</v>
      </c>
      <c r="S58" s="2"/>
      <c r="T58" s="6">
        <v>2750</v>
      </c>
      <c r="U58" s="2"/>
      <c r="V58" s="7">
        <f t="shared" si="34"/>
        <v>2.3880856237245451E-2</v>
      </c>
      <c r="W58" s="2"/>
      <c r="X58" s="6">
        <f t="shared" si="35"/>
        <v>-2432.44</v>
      </c>
      <c r="Y58" s="2"/>
      <c r="Z58" s="7">
        <f t="shared" si="36"/>
        <v>-0.8845236363636364</v>
      </c>
    </row>
    <row r="59" spans="1:26" s="27" customFormat="1" outlineLevel="1" collapsed="1" x14ac:dyDescent="0.25">
      <c r="A59" s="25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SUM(OSRRefD22_8x_0)</f>
        <v>0</v>
      </c>
      <c r="E59" s="1"/>
      <c r="F59" s="5">
        <f t="shared" ref="F59:F61" si="37">IF(D$12=0,0,D59/D$12)</f>
        <v>0</v>
      </c>
      <c r="G59" s="1"/>
      <c r="H59" s="1">
        <f>SUM(OSRRefH22_8x_0)</f>
        <v>0</v>
      </c>
      <c r="I59" s="1"/>
      <c r="J59" s="5">
        <f t="shared" ref="J59:J61" si="38">IF(H$12=0,0,H59/H$12)</f>
        <v>0</v>
      </c>
      <c r="K59" s="1"/>
      <c r="L59" s="1">
        <f t="shared" ref="L59:L61" si="39">+D59-H59</f>
        <v>0</v>
      </c>
      <c r="M59" s="1"/>
      <c r="N59" s="5">
        <f t="shared" ref="N59:N61" si="40">IF(H59=0,0,L59/H59)</f>
        <v>0</v>
      </c>
      <c r="O59" s="13"/>
      <c r="P59" s="1">
        <f>SUM(OSRRefP22_8x_0)</f>
        <v>185.7</v>
      </c>
      <c r="Q59" s="1"/>
      <c r="R59" s="5">
        <f t="shared" ref="R59:R61" si="41">IF(P$12=0,0,P59/P$12)</f>
        <v>7.4985766029873155E-2</v>
      </c>
      <c r="S59" s="1"/>
      <c r="T59" s="1">
        <f>SUM(OSRRefT22_8x_0)</f>
        <v>10320</v>
      </c>
      <c r="U59" s="1"/>
      <c r="V59" s="5">
        <f t="shared" ref="V59:V61" si="42">IF(T$12=0,0,T59/T$12)</f>
        <v>8.961834049759021E-2</v>
      </c>
      <c r="W59" s="1"/>
      <c r="X59" s="1">
        <f t="shared" ref="X59:X61" si="43">+P59-T59</f>
        <v>-10134.299999999999</v>
      </c>
      <c r="Y59" s="1"/>
      <c r="Z59" s="5">
        <f t="shared" ref="Z59:Z61" si="44">IF(T59=0,0,X59/T59)</f>
        <v>-0.98200581395348829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185.7</v>
      </c>
      <c r="Q60" s="2"/>
      <c r="R60" s="7">
        <f t="shared" si="41"/>
        <v>7.4985766029873155E-2</v>
      </c>
      <c r="S60" s="2"/>
      <c r="T60" s="6"/>
      <c r="U60" s="2"/>
      <c r="V60" s="7">
        <f t="shared" si="42"/>
        <v>0</v>
      </c>
      <c r="W60" s="2"/>
      <c r="X60" s="6">
        <f t="shared" si="43"/>
        <v>185.7</v>
      </c>
      <c r="Y60" s="2"/>
      <c r="Z60" s="7">
        <f t="shared" si="44"/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/>
      <c r="Q61" s="2"/>
      <c r="R61" s="7">
        <f t="shared" si="41"/>
        <v>0</v>
      </c>
      <c r="S61" s="2"/>
      <c r="T61" s="6">
        <v>10320</v>
      </c>
      <c r="U61" s="2"/>
      <c r="V61" s="7">
        <f t="shared" si="42"/>
        <v>8.961834049759021E-2</v>
      </c>
      <c r="W61" s="2"/>
      <c r="X61" s="6">
        <f t="shared" si="43"/>
        <v>-10320</v>
      </c>
      <c r="Y61" s="2"/>
      <c r="Z61" s="7">
        <f t="shared" si="44"/>
        <v>-1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0</v>
      </c>
      <c r="E62" s="1"/>
      <c r="F62" s="5">
        <f t="shared" ref="F62:F64" si="45">IF(D$12=0,0,D62/D$12)</f>
        <v>0</v>
      </c>
      <c r="G62" s="1"/>
      <c r="H62" s="1">
        <f>SUM(OSRRefH22_9x_0)</f>
        <v>287</v>
      </c>
      <c r="I62" s="1"/>
      <c r="J62" s="5">
        <f t="shared" ref="J62:J64" si="46">IF(H$12=0,0,H62/H$12)</f>
        <v>0</v>
      </c>
      <c r="K62" s="1"/>
      <c r="L62" s="1">
        <f t="shared" ref="L62:L64" si="47">+D62-H62</f>
        <v>-287</v>
      </c>
      <c r="M62" s="1"/>
      <c r="N62" s="5">
        <f t="shared" ref="N62:N64" si="48">IF(H62=0,0,L62/H62)</f>
        <v>-1</v>
      </c>
      <c r="O62" s="13"/>
      <c r="P62" s="1">
        <f>SUM(OSRRefP22_9x_0)</f>
        <v>-63.319999999999993</v>
      </c>
      <c r="Q62" s="1"/>
      <c r="R62" s="5">
        <f t="shared" ref="R62:R64" si="49">IF(P$12=0,0,P62/P$12)</f>
        <v>-2.556865215407414E-2</v>
      </c>
      <c r="S62" s="1"/>
      <c r="T62" s="1">
        <f>SUM(OSRRefT22_9x_0)</f>
        <v>3157</v>
      </c>
      <c r="U62" s="1"/>
      <c r="V62" s="5">
        <f t="shared" ref="V62:V64" si="50">IF(T$12=0,0,T62/T$12)</f>
        <v>2.7415222960357779E-2</v>
      </c>
      <c r="W62" s="1"/>
      <c r="X62" s="1">
        <f t="shared" ref="X62:X64" si="51">+P62-T62</f>
        <v>-3220.32</v>
      </c>
      <c r="Y62" s="1"/>
      <c r="Z62" s="5">
        <f t="shared" ref="Z62:Z64" si="52">IF(T62=0,0,X62/T62)</f>
        <v>-1.0200570161545772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>
        <v>82</v>
      </c>
      <c r="Q63" s="2"/>
      <c r="R63" s="7">
        <f t="shared" si="49"/>
        <v>3.3111646819868598E-2</v>
      </c>
      <c r="S63" s="2"/>
      <c r="T63" s="6"/>
      <c r="U63" s="2"/>
      <c r="V63" s="7">
        <f t="shared" si="50"/>
        <v>0</v>
      </c>
      <c r="W63" s="2"/>
      <c r="X63" s="6">
        <f t="shared" si="51"/>
        <v>82</v>
      </c>
      <c r="Y63" s="2"/>
      <c r="Z63" s="7">
        <f t="shared" si="52"/>
        <v>0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45"/>
        <v>0</v>
      </c>
      <c r="G64" s="2"/>
      <c r="H64" s="6">
        <v>287</v>
      </c>
      <c r="I64" s="2"/>
      <c r="J64" s="7">
        <f t="shared" si="46"/>
        <v>0</v>
      </c>
      <c r="K64" s="2"/>
      <c r="L64" s="6">
        <f t="shared" si="47"/>
        <v>-287</v>
      </c>
      <c r="M64" s="2"/>
      <c r="N64" s="7">
        <f t="shared" si="48"/>
        <v>-1</v>
      </c>
      <c r="O64" s="11"/>
      <c r="P64" s="6">
        <v>-145.32</v>
      </c>
      <c r="Q64" s="2"/>
      <c r="R64" s="7">
        <f t="shared" si="49"/>
        <v>-5.8680298973942738E-2</v>
      </c>
      <c r="S64" s="2"/>
      <c r="T64" s="6">
        <v>3157</v>
      </c>
      <c r="U64" s="2"/>
      <c r="V64" s="7">
        <f t="shared" si="50"/>
        <v>2.7415222960357779E-2</v>
      </c>
      <c r="W64" s="2"/>
      <c r="X64" s="6">
        <f t="shared" si="51"/>
        <v>-3302.32</v>
      </c>
      <c r="Y64" s="2"/>
      <c r="Z64" s="7">
        <f t="shared" si="52"/>
        <v>-1.0460310421286032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0</v>
      </c>
      <c r="E65" s="1"/>
      <c r="F65" s="5">
        <f t="shared" ref="F65:F68" si="53">IF(D$12=0,0,D65/D$12)</f>
        <v>0</v>
      </c>
      <c r="G65" s="1"/>
      <c r="H65" s="1">
        <f>SUM(OSRRefH22_10x_0)</f>
        <v>200</v>
      </c>
      <c r="I65" s="1"/>
      <c r="J65" s="5">
        <f t="shared" ref="J65:J68" si="54">IF(H$12=0,0,H65/H$12)</f>
        <v>0</v>
      </c>
      <c r="K65" s="1"/>
      <c r="L65" s="1">
        <f t="shared" ref="L65:L68" si="55">+D65-H65</f>
        <v>-200</v>
      </c>
      <c r="M65" s="1"/>
      <c r="N65" s="5">
        <f t="shared" ref="N65:N68" si="56">IF(H65=0,0,L65/H65)</f>
        <v>-1</v>
      </c>
      <c r="O65" s="13"/>
      <c r="P65" s="1">
        <f>SUM(OSRRefP22_10x_0)</f>
        <v>328.55</v>
      </c>
      <c r="Q65" s="1"/>
      <c r="R65" s="5">
        <f t="shared" ref="R65:R68" si="57">IF(P$12=0,0,P65/P$12)</f>
        <v>0.13266867759351011</v>
      </c>
      <c r="S65" s="1"/>
      <c r="T65" s="1">
        <f>SUM(OSRRefT22_10x_0)</f>
        <v>5070</v>
      </c>
      <c r="U65" s="1"/>
      <c r="V65" s="5">
        <f t="shared" ref="V65:V68" si="58">IF(T$12=0,0,T65/T$12)</f>
        <v>4.4027614953757975E-2</v>
      </c>
      <c r="W65" s="1"/>
      <c r="X65" s="1">
        <f t="shared" ref="X65:X68" si="59">+P65-T65</f>
        <v>-4741.45</v>
      </c>
      <c r="Y65" s="1"/>
      <c r="Z65" s="5">
        <f t="shared" ref="Z65:Z68" si="60">IF(T65=0,0,X65/T65)</f>
        <v>-0.93519723865877713</v>
      </c>
    </row>
    <row r="66" spans="1:26" s="24" customFormat="1" hidden="1" outlineLevel="2" x14ac:dyDescent="0.25">
      <c r="A66" s="26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3"/>
        <v>0</v>
      </c>
      <c r="G66" s="2"/>
      <c r="H66" s="6">
        <v>200</v>
      </c>
      <c r="I66" s="2"/>
      <c r="J66" s="7">
        <f t="shared" si="54"/>
        <v>0</v>
      </c>
      <c r="K66" s="2"/>
      <c r="L66" s="6">
        <f t="shared" si="55"/>
        <v>-200</v>
      </c>
      <c r="M66" s="2"/>
      <c r="N66" s="7">
        <f t="shared" si="56"/>
        <v>-1</v>
      </c>
      <c r="O66" s="11"/>
      <c r="P66" s="6">
        <v>207.27</v>
      </c>
      <c r="Q66" s="2"/>
      <c r="R66" s="7">
        <f t="shared" si="57"/>
        <v>8.3695744345782502E-2</v>
      </c>
      <c r="S66" s="2"/>
      <c r="T66" s="6">
        <v>2200</v>
      </c>
      <c r="U66" s="2"/>
      <c r="V66" s="7">
        <f t="shared" si="58"/>
        <v>1.910468498979636E-2</v>
      </c>
      <c r="W66" s="2"/>
      <c r="X66" s="6">
        <f t="shared" si="59"/>
        <v>-1992.73</v>
      </c>
      <c r="Y66" s="2"/>
      <c r="Z66" s="7">
        <f t="shared" si="60"/>
        <v>-0.90578636363636367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53"/>
        <v>0</v>
      </c>
      <c r="G67" s="2"/>
      <c r="H67" s="6"/>
      <c r="I67" s="2"/>
      <c r="J67" s="7">
        <f t="shared" si="54"/>
        <v>0</v>
      </c>
      <c r="K67" s="2"/>
      <c r="L67" s="6">
        <f t="shared" si="55"/>
        <v>0</v>
      </c>
      <c r="M67" s="2"/>
      <c r="N67" s="7">
        <f t="shared" si="56"/>
        <v>0</v>
      </c>
      <c r="O67" s="11"/>
      <c r="P67" s="6">
        <v>121.28</v>
      </c>
      <c r="Q67" s="2"/>
      <c r="R67" s="7">
        <f t="shared" si="57"/>
        <v>4.8972933247727606E-2</v>
      </c>
      <c r="S67" s="2"/>
      <c r="T67" s="6">
        <v>2670</v>
      </c>
      <c r="U67" s="2"/>
      <c r="V67" s="7">
        <f t="shared" si="58"/>
        <v>2.3186140419434675E-2</v>
      </c>
      <c r="W67" s="2"/>
      <c r="X67" s="6">
        <f t="shared" si="59"/>
        <v>-2548.7199999999998</v>
      </c>
      <c r="Y67" s="2"/>
      <c r="Z67" s="7">
        <f t="shared" si="60"/>
        <v>-0.95457677902621718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53"/>
        <v>0</v>
      </c>
      <c r="G68" s="2"/>
      <c r="H68" s="6"/>
      <c r="I68" s="2"/>
      <c r="J68" s="7">
        <f t="shared" si="54"/>
        <v>0</v>
      </c>
      <c r="K68" s="2"/>
      <c r="L68" s="6">
        <f t="shared" si="55"/>
        <v>0</v>
      </c>
      <c r="M68" s="2"/>
      <c r="N68" s="7">
        <f t="shared" si="56"/>
        <v>0</v>
      </c>
      <c r="O68" s="11"/>
      <c r="P68" s="6"/>
      <c r="Q68" s="2"/>
      <c r="R68" s="7">
        <f t="shared" si="57"/>
        <v>0</v>
      </c>
      <c r="S68" s="2"/>
      <c r="T68" s="6">
        <v>200</v>
      </c>
      <c r="U68" s="2"/>
      <c r="V68" s="7">
        <f t="shared" si="58"/>
        <v>1.7367895445269419E-3</v>
      </c>
      <c r="W68" s="2"/>
      <c r="X68" s="6">
        <f t="shared" si="59"/>
        <v>-200</v>
      </c>
      <c r="Y68" s="2"/>
      <c r="Z68" s="7">
        <f t="shared" si="60"/>
        <v>-1</v>
      </c>
    </row>
    <row r="69" spans="1:26" s="27" customFormat="1" outlineLevel="1" collapsed="1" x14ac:dyDescent="0.25">
      <c r="A69" s="25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51.5</v>
      </c>
      <c r="E69" s="1"/>
      <c r="F69" s="5">
        <f t="shared" ref="F69:F71" si="61">IF(D$12=0,0,D69/D$12)</f>
        <v>0</v>
      </c>
      <c r="G69" s="1"/>
      <c r="H69" s="1">
        <f>SUM(OSRRefH22_11x_0)</f>
        <v>75</v>
      </c>
      <c r="I69" s="1"/>
      <c r="J69" s="5">
        <f t="shared" ref="J69:J71" si="62">IF(H$12=0,0,H69/H$12)</f>
        <v>0</v>
      </c>
      <c r="K69" s="1"/>
      <c r="L69" s="1">
        <f t="shared" ref="L69:L71" si="63">+D69-H69</f>
        <v>-23.5</v>
      </c>
      <c r="M69" s="1"/>
      <c r="N69" s="5">
        <f t="shared" ref="N69:N71" si="64">IF(H69=0,0,L69/H69)</f>
        <v>-0.31333333333333335</v>
      </c>
      <c r="O69" s="13"/>
      <c r="P69" s="1">
        <f>SUM(OSRRefP22_11x_0)</f>
        <v>941.5</v>
      </c>
      <c r="Q69" s="1"/>
      <c r="R69" s="5">
        <f t="shared" ref="R69:R71" si="65">IF(P$12=0,0,P69/P$12)</f>
        <v>0.3801782375720279</v>
      </c>
      <c r="S69" s="1"/>
      <c r="T69" s="1">
        <f>SUM(OSRRefT22_11x_0)</f>
        <v>900</v>
      </c>
      <c r="U69" s="1"/>
      <c r="V69" s="5">
        <f t="shared" ref="V69:V71" si="66">IF(T$12=0,0,T69/T$12)</f>
        <v>7.8155529503712382E-3</v>
      </c>
      <c r="W69" s="1"/>
      <c r="X69" s="1">
        <f t="shared" ref="X69:X71" si="67">+P69-T69</f>
        <v>41.5</v>
      </c>
      <c r="Y69" s="1"/>
      <c r="Z69" s="5">
        <f t="shared" ref="Z69:Z71" si="68">IF(T69=0,0,X69/T69)</f>
        <v>4.611111111111111E-2</v>
      </c>
    </row>
    <row r="70" spans="1:26" s="24" customFormat="1" hidden="1" outlineLevel="2" x14ac:dyDescent="0.25">
      <c r="A70" s="26"/>
      <c r="B70" s="11" t="str">
        <f>CONCATENATE("          ", "6303", " - ", "DATA PHONE LINES")</f>
        <v xml:space="preserve">          6303 - DATA PHONE LINES</v>
      </c>
      <c r="C70" s="11"/>
      <c r="D70" s="6"/>
      <c r="E70" s="2"/>
      <c r="F70" s="7">
        <f t="shared" si="61"/>
        <v>0</v>
      </c>
      <c r="G70" s="2"/>
      <c r="H70" s="6">
        <v>75</v>
      </c>
      <c r="I70" s="2"/>
      <c r="J70" s="7">
        <f t="shared" si="62"/>
        <v>0</v>
      </c>
      <c r="K70" s="2"/>
      <c r="L70" s="6">
        <f t="shared" si="63"/>
        <v>-75</v>
      </c>
      <c r="M70" s="2"/>
      <c r="N70" s="7">
        <f t="shared" si="64"/>
        <v>-1</v>
      </c>
      <c r="O70" s="11"/>
      <c r="P70" s="6"/>
      <c r="Q70" s="2"/>
      <c r="R70" s="7">
        <f t="shared" si="65"/>
        <v>0</v>
      </c>
      <c r="S70" s="2"/>
      <c r="T70" s="6">
        <v>900</v>
      </c>
      <c r="U70" s="2"/>
      <c r="V70" s="7">
        <f t="shared" si="66"/>
        <v>7.8155529503712382E-3</v>
      </c>
      <c r="W70" s="2"/>
      <c r="X70" s="6">
        <f t="shared" si="67"/>
        <v>-900</v>
      </c>
      <c r="Y70" s="2"/>
      <c r="Z70" s="7">
        <f t="shared" si="68"/>
        <v>-1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>
        <v>51.5</v>
      </c>
      <c r="E71" s="2"/>
      <c r="F71" s="7">
        <f t="shared" si="61"/>
        <v>0</v>
      </c>
      <c r="G71" s="2"/>
      <c r="H71" s="6"/>
      <c r="I71" s="2"/>
      <c r="J71" s="7">
        <f t="shared" si="62"/>
        <v>0</v>
      </c>
      <c r="K71" s="2"/>
      <c r="L71" s="6">
        <f t="shared" si="63"/>
        <v>51.5</v>
      </c>
      <c r="M71" s="2"/>
      <c r="N71" s="7">
        <f t="shared" si="64"/>
        <v>0</v>
      </c>
      <c r="O71" s="11"/>
      <c r="P71" s="6">
        <v>941.5</v>
      </c>
      <c r="Q71" s="2"/>
      <c r="R71" s="7">
        <f t="shared" si="65"/>
        <v>0.3801782375720279</v>
      </c>
      <c r="S71" s="2"/>
      <c r="T71" s="6"/>
      <c r="U71" s="2"/>
      <c r="V71" s="7">
        <f t="shared" si="66"/>
        <v>0</v>
      </c>
      <c r="W71" s="2"/>
      <c r="X71" s="6">
        <f t="shared" si="67"/>
        <v>941.5</v>
      </c>
      <c r="Y71" s="2"/>
      <c r="Z71" s="7">
        <f t="shared" si="68"/>
        <v>0</v>
      </c>
    </row>
    <row r="72" spans="1:26" s="27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ref="F72:F75" si="69">IF(D$12=0,0,D72/D$12)</f>
        <v>0</v>
      </c>
      <c r="G72" s="1"/>
      <c r="H72" s="1">
        <f>SUM(OSRRefH22_12x_0)</f>
        <v>0</v>
      </c>
      <c r="I72" s="1"/>
      <c r="J72" s="5">
        <f t="shared" ref="J72:J75" si="70">IF(H$12=0,0,H72/H$12)</f>
        <v>0</v>
      </c>
      <c r="K72" s="1"/>
      <c r="L72" s="1">
        <f t="shared" ref="L72:L75" si="71">+D72-H72</f>
        <v>0</v>
      </c>
      <c r="M72" s="1"/>
      <c r="N72" s="5">
        <f t="shared" ref="N72:N75" si="72">IF(H72=0,0,L72/H72)</f>
        <v>0</v>
      </c>
      <c r="O72" s="13"/>
      <c r="P72" s="1">
        <f>SUM(OSRRefP22_12x_0)</f>
        <v>0</v>
      </c>
      <c r="Q72" s="1"/>
      <c r="R72" s="5">
        <f t="shared" ref="R72:R75" si="73">IF(P$12=0,0,P72/P$12)</f>
        <v>0</v>
      </c>
      <c r="S72" s="1"/>
      <c r="T72" s="1">
        <f>SUM(OSRRefT22_12x_0)</f>
        <v>120</v>
      </c>
      <c r="U72" s="1"/>
      <c r="V72" s="5">
        <f t="shared" ref="V72:V75" si="74">IF(T$12=0,0,T72/T$12)</f>
        <v>1.0420737267161652E-3</v>
      </c>
      <c r="W72" s="1"/>
      <c r="X72" s="1">
        <f t="shared" ref="X72:X75" si="75">+P72-T72</f>
        <v>-120</v>
      </c>
      <c r="Y72" s="1"/>
      <c r="Z72" s="5">
        <f t="shared" ref="Z72:Z75" si="76">IF(T72=0,0,X72/T72)</f>
        <v>-1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69"/>
        <v>0</v>
      </c>
      <c r="G73" s="2"/>
      <c r="H73" s="6"/>
      <c r="I73" s="2"/>
      <c r="J73" s="7">
        <f t="shared" si="70"/>
        <v>0</v>
      </c>
      <c r="K73" s="2"/>
      <c r="L73" s="6">
        <f t="shared" si="71"/>
        <v>0</v>
      </c>
      <c r="M73" s="2"/>
      <c r="N73" s="7">
        <f t="shared" si="72"/>
        <v>0</v>
      </c>
      <c r="O73" s="11"/>
      <c r="P73" s="6"/>
      <c r="Q73" s="2"/>
      <c r="R73" s="7">
        <f t="shared" si="73"/>
        <v>0</v>
      </c>
      <c r="S73" s="2"/>
      <c r="T73" s="6">
        <v>120</v>
      </c>
      <c r="U73" s="2"/>
      <c r="V73" s="7">
        <f t="shared" si="74"/>
        <v>1.0420737267161652E-3</v>
      </c>
      <c r="W73" s="2"/>
      <c r="X73" s="6">
        <f t="shared" si="75"/>
        <v>-120</v>
      </c>
      <c r="Y73" s="2"/>
      <c r="Z73" s="7">
        <f t="shared" si="76"/>
        <v>-1</v>
      </c>
    </row>
    <row r="74" spans="1:26" s="27" customFormat="1" outlineLevel="1" collapsed="1" x14ac:dyDescent="0.25">
      <c r="A74" s="25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50</v>
      </c>
      <c r="E74" s="1"/>
      <c r="F74" s="5">
        <f t="shared" si="69"/>
        <v>0</v>
      </c>
      <c r="G74" s="1"/>
      <c r="H74" s="1">
        <f>SUM(OSRRefH22_13x_0)</f>
        <v>50</v>
      </c>
      <c r="I74" s="1"/>
      <c r="J74" s="5">
        <f t="shared" si="70"/>
        <v>0</v>
      </c>
      <c r="K74" s="1"/>
      <c r="L74" s="1">
        <f t="shared" si="71"/>
        <v>0</v>
      </c>
      <c r="M74" s="1"/>
      <c r="N74" s="5">
        <f t="shared" si="72"/>
        <v>0</v>
      </c>
      <c r="O74" s="13"/>
      <c r="P74" s="1">
        <f>SUM(OSRRefP22_13x_0)</f>
        <v>600</v>
      </c>
      <c r="Q74" s="1"/>
      <c r="R74" s="5">
        <f t="shared" si="73"/>
        <v>0.2422803425844044</v>
      </c>
      <c r="S74" s="1"/>
      <c r="T74" s="1">
        <f>SUM(OSRRefT22_13x_0)</f>
        <v>600</v>
      </c>
      <c r="U74" s="1"/>
      <c r="V74" s="5">
        <f t="shared" si="74"/>
        <v>5.2103686335808258E-3</v>
      </c>
      <c r="W74" s="1"/>
      <c r="X74" s="1">
        <f t="shared" si="75"/>
        <v>0</v>
      </c>
      <c r="Y74" s="1"/>
      <c r="Z74" s="5">
        <f t="shared" si="76"/>
        <v>0</v>
      </c>
    </row>
    <row r="75" spans="1:26" s="24" customFormat="1" hidden="1" outlineLevel="2" x14ac:dyDescent="0.25">
      <c r="A75" s="26"/>
      <c r="B75" s="11" t="str">
        <f>CONCATENATE("          ", "6274", " - ", "UTILITIES")</f>
        <v xml:space="preserve">          6274 - UTILITIES</v>
      </c>
      <c r="C75" s="11"/>
      <c r="D75" s="6">
        <v>50</v>
      </c>
      <c r="E75" s="2"/>
      <c r="F75" s="7">
        <f t="shared" si="69"/>
        <v>0</v>
      </c>
      <c r="G75" s="2"/>
      <c r="H75" s="6">
        <v>50</v>
      </c>
      <c r="I75" s="2"/>
      <c r="J75" s="7">
        <f t="shared" si="70"/>
        <v>0</v>
      </c>
      <c r="K75" s="2"/>
      <c r="L75" s="6">
        <f t="shared" si="71"/>
        <v>0</v>
      </c>
      <c r="M75" s="2"/>
      <c r="N75" s="7">
        <f t="shared" si="72"/>
        <v>0</v>
      </c>
      <c r="O75" s="11"/>
      <c r="P75" s="6">
        <v>600</v>
      </c>
      <c r="Q75" s="2"/>
      <c r="R75" s="7">
        <f t="shared" si="73"/>
        <v>0.2422803425844044</v>
      </c>
      <c r="S75" s="2"/>
      <c r="T75" s="6">
        <v>600</v>
      </c>
      <c r="U75" s="2"/>
      <c r="V75" s="7">
        <f t="shared" si="74"/>
        <v>5.2103686335808258E-3</v>
      </c>
      <c r="W75" s="2"/>
      <c r="X75" s="6">
        <f t="shared" si="75"/>
        <v>0</v>
      </c>
      <c r="Y75" s="2"/>
      <c r="Z75" s="7">
        <f t="shared" si="76"/>
        <v>0</v>
      </c>
    </row>
    <row r="76" spans="1:26" s="61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0">
        <f>+D22-D24+D77</f>
        <v>-1498.95</v>
      </c>
      <c r="E79" s="14"/>
      <c r="F79" s="22">
        <f>IF(D$12=0,0,D79/D$12)</f>
        <v>0</v>
      </c>
      <c r="G79" s="14"/>
      <c r="H79" s="20">
        <f>+H22-H24+H77</f>
        <v>-1937</v>
      </c>
      <c r="I79" s="14"/>
      <c r="J79" s="22">
        <f>IF(H$12=0,0,H79/H$12)</f>
        <v>0</v>
      </c>
      <c r="K79" s="16"/>
      <c r="L79" s="20">
        <f>+D79-H79</f>
        <v>438.04999999999995</v>
      </c>
      <c r="M79" s="16"/>
      <c r="N79" s="22">
        <f>IF(H79=0,0,L79/H79)</f>
        <v>-0.22614868353123385</v>
      </c>
      <c r="O79" s="29"/>
      <c r="P79" s="20">
        <f>+P22-P24+P77</f>
        <v>-60290.34</v>
      </c>
      <c r="Q79" s="14"/>
      <c r="R79" s="22">
        <f>IF(P$12=0,0,P79/P$12)</f>
        <v>-24.345273716217029</v>
      </c>
      <c r="S79" s="14"/>
      <c r="T79" s="20">
        <f>+T22-T24+T77</f>
        <v>-46731.3217878</v>
      </c>
      <c r="U79" s="14"/>
      <c r="V79" s="22">
        <f>IF(T$12=0,0,T79/T$12)</f>
        <v>-0.40581235541487559</v>
      </c>
      <c r="W79" s="16"/>
      <c r="X79" s="20">
        <f>+P79-T79</f>
        <v>-13559.018212199997</v>
      </c>
      <c r="Y79" s="16"/>
      <c r="Z79" s="22">
        <f>IF(T79=0,0,X79/T79)</f>
        <v>0.29014839926354935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156.27000000000001</v>
      </c>
      <c r="E81" s="4"/>
      <c r="F81" s="12">
        <f>IF(D$12=0,0,D81/D$12)</f>
        <v>0</v>
      </c>
      <c r="G81" s="4"/>
      <c r="H81" s="4">
        <v>-1801</v>
      </c>
      <c r="I81" s="4"/>
      <c r="J81" s="12">
        <f>IF(H$12=0,0,H81/H$12)</f>
        <v>0</v>
      </c>
      <c r="K81" s="4"/>
      <c r="L81" s="4">
        <f>+D81-H81</f>
        <v>1957.27</v>
      </c>
      <c r="M81" s="4"/>
      <c r="N81" s="12">
        <f>IF(H81=0,0,L81/H81)</f>
        <v>-1.0867684619655746</v>
      </c>
      <c r="O81" s="10"/>
      <c r="P81" s="4">
        <v>685.47</v>
      </c>
      <c r="Q81" s="4"/>
      <c r="R81" s="12">
        <f>IF(P$12=0,0,P81/P$12)</f>
        <v>0.27679317738555281</v>
      </c>
      <c r="S81" s="4"/>
      <c r="T81" s="4">
        <v>19458</v>
      </c>
      <c r="U81" s="4"/>
      <c r="V81" s="12">
        <f>IF(T$12=0,0,T81/T$12)</f>
        <v>0.16897225478702618</v>
      </c>
      <c r="W81" s="4"/>
      <c r="X81" s="4">
        <f>+P81-T81</f>
        <v>-18772.53</v>
      </c>
      <c r="Y81" s="4"/>
      <c r="Z81" s="12">
        <f>IF(T81=0,0,X81/T81)</f>
        <v>-0.96477181621954977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4">
        <f>+D79-D81</f>
        <v>-1655.22</v>
      </c>
      <c r="E83" s="14"/>
      <c r="F83" s="35">
        <f>IF(D$12=0,0,D83/D$12)</f>
        <v>0</v>
      </c>
      <c r="G83" s="14"/>
      <c r="H83" s="34">
        <f>+H79-H81</f>
        <v>-136</v>
      </c>
      <c r="I83" s="14"/>
      <c r="J83" s="35">
        <f>IF(H$12=0,0,H83/H$12)</f>
        <v>0</v>
      </c>
      <c r="K83" s="16"/>
      <c r="L83" s="34">
        <f>D83-H83</f>
        <v>-1519.22</v>
      </c>
      <c r="M83" s="16"/>
      <c r="N83" s="35">
        <f>IF(H83=0,0,L83/H83)</f>
        <v>11.170735294117648</v>
      </c>
      <c r="O83" s="29"/>
      <c r="P83" s="34">
        <f>+P79-P81</f>
        <v>-60975.81</v>
      </c>
      <c r="Q83" s="14"/>
      <c r="R83" s="35">
        <f>IF(P$12=0,0,P83/P$12)</f>
        <v>-24.622066893602582</v>
      </c>
      <c r="S83" s="14"/>
      <c r="T83" s="34">
        <f>+T79-T81</f>
        <v>-66189.3217878</v>
      </c>
      <c r="U83" s="14"/>
      <c r="V83" s="35">
        <f>IF(T$12=0,0,T83/T$12)</f>
        <v>-0.57478461020190175</v>
      </c>
      <c r="W83" s="16"/>
      <c r="X83" s="34">
        <f>P83-T83</f>
        <v>5213.5117878000019</v>
      </c>
      <c r="Y83" s="16"/>
      <c r="Z83" s="35">
        <f>IF(T83=0,0,X83/T83)</f>
        <v>-7.8766659741797737E-2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3">
        <f>SUM(D83:D85)</f>
        <v>-1655.22</v>
      </c>
      <c r="E86" s="14"/>
      <c r="F86" s="31">
        <f>IF(D$12=0,0,D86/D$12)</f>
        <v>0</v>
      </c>
      <c r="G86" s="14"/>
      <c r="H86" s="33">
        <f>SUM(H83:H85)</f>
        <v>-136</v>
      </c>
      <c r="I86" s="14"/>
      <c r="J86" s="31">
        <f>IF(H$12=0,0,H86/H$12)</f>
        <v>0</v>
      </c>
      <c r="K86" s="16"/>
      <c r="L86" s="33">
        <f>+D86-H86</f>
        <v>-1519.22</v>
      </c>
      <c r="M86" s="16"/>
      <c r="N86" s="31">
        <f>IF(H86=0,0,L86/H86)</f>
        <v>11.170735294117648</v>
      </c>
      <c r="O86" s="29"/>
      <c r="P86" s="33">
        <f>SUM(P83:P85)</f>
        <v>-60975.81</v>
      </c>
      <c r="Q86" s="14"/>
      <c r="R86" s="31">
        <f>IF(P$12=0,0,P86/P$12)</f>
        <v>-24.622066893602582</v>
      </c>
      <c r="S86" s="14"/>
      <c r="T86" s="33">
        <f>SUM(T83:T85)</f>
        <v>-66189.3217878</v>
      </c>
      <c r="U86" s="14"/>
      <c r="V86" s="31">
        <f>IF(T$12=0,0,T86/T$12)</f>
        <v>-0.57478461020190175</v>
      </c>
      <c r="W86" s="16"/>
      <c r="X86" s="33">
        <f>+P86-T86</f>
        <v>5213.5117878000019</v>
      </c>
      <c r="Y86" s="16"/>
      <c r="Z86" s="31">
        <f>IF(T86=0,0,X86/T86)</f>
        <v>-7.8766659741797737E-2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6">
        <v>44454.686112384261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306.5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306.5</v>
      </c>
      <c r="M15" s="4"/>
      <c r="N15" s="12">
        <f t="shared" ref="N15:N17" si="7">IF(H15=0,0,L15/H15)</f>
        <v>0</v>
      </c>
      <c r="O15" s="10"/>
      <c r="P15" s="4">
        <f>SUM(OSRRefP16x_0)</f>
        <v>-915.83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-915.83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306.5</v>
      </c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306.5</v>
      </c>
      <c r="M17" s="2"/>
      <c r="N17" s="19">
        <f t="shared" si="7"/>
        <v>0</v>
      </c>
      <c r="O17" s="11"/>
      <c r="P17" s="2">
        <v>-915.83</v>
      </c>
      <c r="Q17" s="2"/>
      <c r="R17" s="19">
        <f t="shared" si="8"/>
        <v>0</v>
      </c>
      <c r="S17" s="2"/>
      <c r="T17" s="2"/>
      <c r="U17" s="2"/>
      <c r="V17" s="19">
        <f t="shared" si="9"/>
        <v>0</v>
      </c>
      <c r="W17" s="2"/>
      <c r="X17" s="2">
        <f t="shared" si="10"/>
        <v>-915.83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D12-D15</f>
        <v>-306.5</v>
      </c>
      <c r="E19" s="14"/>
      <c r="F19" s="22">
        <f>IF(D$12=0,0,D19/D$12)</f>
        <v>0</v>
      </c>
      <c r="G19" s="14"/>
      <c r="H19" s="20">
        <f>H12-H15</f>
        <v>0</v>
      </c>
      <c r="I19" s="14"/>
      <c r="J19" s="22">
        <f>IF(H$12=0,0,H19/H$12)</f>
        <v>0</v>
      </c>
      <c r="K19" s="16"/>
      <c r="L19" s="20">
        <f>+D19-H19</f>
        <v>-306.5</v>
      </c>
      <c r="M19" s="16"/>
      <c r="N19" s="22">
        <f>IF(H19=0,0,L19/H19)</f>
        <v>0</v>
      </c>
      <c r="O19" s="29"/>
      <c r="P19" s="20">
        <f>P12-P15</f>
        <v>915.83</v>
      </c>
      <c r="Q19" s="14"/>
      <c r="R19" s="22">
        <f>IF(P$12=0,0,P19/P$12)</f>
        <v>0</v>
      </c>
      <c r="S19" s="14"/>
      <c r="T19" s="20">
        <f>T12-T15</f>
        <v>0</v>
      </c>
      <c r="U19" s="14"/>
      <c r="V19" s="22">
        <f>IF(T$12=0,0,T19/T$12)</f>
        <v>0</v>
      </c>
      <c r="W19" s="16"/>
      <c r="X19" s="20">
        <f>+P19-T19</f>
        <v>915.83</v>
      </c>
      <c r="Y19" s="16"/>
      <c r="Z19" s="22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1">
        <f>SUM(OSRRefD22x_0)</f>
        <v>42.739999999999981</v>
      </c>
      <c r="E21" s="21"/>
      <c r="F21" s="30">
        <f t="shared" ref="F21:F30" si="12">IF(D$12=0,0,D21/D$12)</f>
        <v>0</v>
      </c>
      <c r="G21" s="21"/>
      <c r="H21" s="21">
        <f>SUM(OSRRefH22x_0)</f>
        <v>2017</v>
      </c>
      <c r="I21" s="21"/>
      <c r="J21" s="30">
        <f t="shared" ref="J21:J30" si="13">IF(H$12=0,0,H21/H$12)</f>
        <v>0</v>
      </c>
      <c r="K21" s="4"/>
      <c r="L21" s="21">
        <f t="shared" ref="L21:L30" si="14">+D21-H21</f>
        <v>-1974.26</v>
      </c>
      <c r="M21" s="4"/>
      <c r="N21" s="30">
        <f t="shared" ref="N21:N30" si="15">IF(H21=0,0,L21/H21)</f>
        <v>-0.9788101140307387</v>
      </c>
      <c r="O21" s="10"/>
      <c r="P21" s="21">
        <f>SUM(OSRRefP22x_0)</f>
        <v>26531.08</v>
      </c>
      <c r="Q21" s="21"/>
      <c r="R21" s="30">
        <f t="shared" ref="R21:R30" si="16">IF(P$12=0,0,P21/P$12)</f>
        <v>0</v>
      </c>
      <c r="S21" s="21"/>
      <c r="T21" s="21">
        <f>SUM(OSRRefT22x_0)</f>
        <v>24204</v>
      </c>
      <c r="U21" s="21"/>
      <c r="V21" s="30">
        <f t="shared" ref="V21:V30" si="17">IF(T$12=0,0,T21/T$12)</f>
        <v>0</v>
      </c>
      <c r="W21" s="4"/>
      <c r="X21" s="21">
        <f t="shared" ref="X21:X30" si="18">+P21-T21</f>
        <v>2327.0800000000017</v>
      </c>
      <c r="Y21" s="4"/>
      <c r="Z21" s="30">
        <f t="shared" ref="Z21:Z30" si="19">IF(T21=0,0,X21/T21)</f>
        <v>9.6144438935713172E-2</v>
      </c>
    </row>
    <row r="22" spans="1:26" s="27" customFormat="1" outlineLevel="1" collapsed="1" x14ac:dyDescent="0.25">
      <c r="A22" s="25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>
        <v>159.12</v>
      </c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159.12</v>
      </c>
      <c r="Y23" s="2"/>
      <c r="Z23" s="7">
        <f t="shared" si="19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>
        <v>683.68</v>
      </c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683.68</v>
      </c>
      <c r="Y25" s="2"/>
      <c r="Z25" s="7">
        <f t="shared" si="19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>
        <v>321.57</v>
      </c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321.57</v>
      </c>
      <c r="Y27" s="2"/>
      <c r="Z27" s="7">
        <f t="shared" si="19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239.72</v>
      </c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239.72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191.88</v>
      </c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191.88</v>
      </c>
      <c r="Y30" s="2"/>
      <c r="Z30" s="7">
        <f t="shared" si="19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3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2080</v>
      </c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2080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3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0</v>
      </c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0</v>
      </c>
      <c r="U43" s="2"/>
      <c r="V43" s="7">
        <f t="shared" si="33"/>
        <v>0</v>
      </c>
      <c r="W43" s="2"/>
      <c r="X43" s="6">
        <f t="shared" si="34"/>
        <v>0</v>
      </c>
      <c r="Y43" s="2"/>
      <c r="Z43" s="7">
        <f t="shared" si="35"/>
        <v>0</v>
      </c>
    </row>
    <row r="44" spans="1:26" s="27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8"/>
        <v>0</v>
      </c>
      <c r="G45" s="2"/>
      <c r="H45" s="6">
        <v>0</v>
      </c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/>
      <c r="Q45" s="2"/>
      <c r="R45" s="7">
        <f t="shared" si="32"/>
        <v>0</v>
      </c>
      <c r="S45" s="2"/>
      <c r="T45" s="6">
        <v>0</v>
      </c>
      <c r="U45" s="2"/>
      <c r="V45" s="7">
        <f t="shared" si="33"/>
        <v>0</v>
      </c>
      <c r="W45" s="2"/>
      <c r="X45" s="6">
        <f t="shared" si="34"/>
        <v>0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SUM(OSRRefD22_4x_0)</f>
        <v>126.09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-1890.91</v>
      </c>
      <c r="M46" s="1"/>
      <c r="N46" s="5">
        <f t="shared" si="31"/>
        <v>-0.93748636588993561</v>
      </c>
      <c r="O46" s="13"/>
      <c r="P46" s="1">
        <f>SUM(OSRRefP22_4x_0)</f>
        <v>22316.83</v>
      </c>
      <c r="Q46" s="1"/>
      <c r="R46" s="5">
        <f t="shared" si="32"/>
        <v>0</v>
      </c>
      <c r="S46" s="1"/>
      <c r="T46" s="1">
        <f>SUM(OSRRefT22_4x_0)</f>
        <v>24204</v>
      </c>
      <c r="U46" s="1"/>
      <c r="V46" s="5">
        <f t="shared" si="33"/>
        <v>0</v>
      </c>
      <c r="W46" s="1"/>
      <c r="X46" s="1">
        <f t="shared" si="34"/>
        <v>-1887.1699999999983</v>
      </c>
      <c r="Y46" s="1"/>
      <c r="Z46" s="5">
        <f t="shared" si="35"/>
        <v>-7.7969343910097438E-2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126.09</v>
      </c>
      <c r="E47" s="2"/>
      <c r="F47" s="7">
        <f t="shared" si="28"/>
        <v>0</v>
      </c>
      <c r="G47" s="2"/>
      <c r="H47" s="6">
        <v>2017</v>
      </c>
      <c r="I47" s="2"/>
      <c r="J47" s="7">
        <f t="shared" si="29"/>
        <v>0</v>
      </c>
      <c r="K47" s="2"/>
      <c r="L47" s="6">
        <f t="shared" si="30"/>
        <v>-1890.91</v>
      </c>
      <c r="M47" s="2"/>
      <c r="N47" s="7">
        <f t="shared" si="31"/>
        <v>-0.93748636588993561</v>
      </c>
      <c r="O47" s="11"/>
      <c r="P47" s="6">
        <v>22316.83</v>
      </c>
      <c r="Q47" s="2"/>
      <c r="R47" s="7">
        <f t="shared" si="32"/>
        <v>0</v>
      </c>
      <c r="S47" s="2"/>
      <c r="T47" s="6">
        <v>24204</v>
      </c>
      <c r="U47" s="2"/>
      <c r="V47" s="7">
        <f t="shared" si="33"/>
        <v>0</v>
      </c>
      <c r="W47" s="2"/>
      <c r="X47" s="6">
        <f t="shared" si="34"/>
        <v>-1887.1699999999983</v>
      </c>
      <c r="Y47" s="2"/>
      <c r="Z47" s="7">
        <f t="shared" si="35"/>
        <v>-7.7969343910097438E-2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/>
      <c r="Q49" s="2"/>
      <c r="R49" s="7">
        <f t="shared" si="32"/>
        <v>0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0</v>
      </c>
      <c r="Y49" s="2"/>
      <c r="Z49" s="7">
        <f t="shared" si="35"/>
        <v>0</v>
      </c>
    </row>
    <row r="50" spans="1:26" s="27" customFormat="1" outlineLevel="1" collapsed="1" x14ac:dyDescent="0.25">
      <c r="A50" s="25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/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/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0</v>
      </c>
      <c r="Y51" s="2"/>
      <c r="Z51" s="7">
        <f t="shared" si="35"/>
        <v>0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71.86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71.86</v>
      </c>
      <c r="M52" s="1"/>
      <c r="N52" s="5">
        <f t="shared" si="31"/>
        <v>0</v>
      </c>
      <c r="O52" s="13"/>
      <c r="P52" s="1">
        <f>SUM(OSRRefP22_7x_0)</f>
        <v>367.51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367.51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71.86</v>
      </c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71.86</v>
      </c>
      <c r="M53" s="2"/>
      <c r="N53" s="7">
        <f t="shared" si="31"/>
        <v>0</v>
      </c>
      <c r="O53" s="11"/>
      <c r="P53" s="6">
        <v>367.51</v>
      </c>
      <c r="Q53" s="2"/>
      <c r="R53" s="7">
        <f t="shared" si="32"/>
        <v>0</v>
      </c>
      <c r="S53" s="2"/>
      <c r="T53" s="6"/>
      <c r="U53" s="2"/>
      <c r="V53" s="7">
        <f t="shared" si="33"/>
        <v>0</v>
      </c>
      <c r="W53" s="2"/>
      <c r="X53" s="6">
        <f t="shared" si="34"/>
        <v>367.51</v>
      </c>
      <c r="Y53" s="2"/>
      <c r="Z53" s="7">
        <f t="shared" si="35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3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-567.28</v>
      </c>
      <c r="Q56" s="2"/>
      <c r="R56" s="7">
        <f t="shared" si="40"/>
        <v>0</v>
      </c>
      <c r="S56" s="2"/>
      <c r="T56" s="6"/>
      <c r="U56" s="2"/>
      <c r="V56" s="7">
        <f t="shared" si="41"/>
        <v>0</v>
      </c>
      <c r="W56" s="2"/>
      <c r="X56" s="6">
        <f t="shared" si="42"/>
        <v>-567.28</v>
      </c>
      <c r="Y56" s="2"/>
      <c r="Z56" s="7">
        <f t="shared" si="43"/>
        <v>0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-486.24</v>
      </c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-486.24</v>
      </c>
      <c r="Y57" s="2"/>
      <c r="Z57" s="7">
        <f t="shared" si="43"/>
        <v>0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6.79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6.79</v>
      </c>
      <c r="M58" s="1"/>
      <c r="N58" s="5">
        <f t="shared" ref="N58:N62" si="47">IF(H58=0,0,L58/H58)</f>
        <v>0</v>
      </c>
      <c r="O58" s="13"/>
      <c r="P58" s="1">
        <f>SUM(OSRRefP22_9x_0)</f>
        <v>138.09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138.09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6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44"/>
        <v>0</v>
      </c>
      <c r="G59" s="2"/>
      <c r="H59" s="6">
        <v>0</v>
      </c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/>
      <c r="Q59" s="2"/>
      <c r="R59" s="7">
        <f t="shared" si="48"/>
        <v>0</v>
      </c>
      <c r="S59" s="2"/>
      <c r="T59" s="6">
        <v>0</v>
      </c>
      <c r="U59" s="2"/>
      <c r="V59" s="7">
        <f t="shared" si="49"/>
        <v>0</v>
      </c>
      <c r="W59" s="2"/>
      <c r="X59" s="6">
        <f t="shared" si="50"/>
        <v>0</v>
      </c>
      <c r="Y59" s="2"/>
      <c r="Z59" s="7">
        <f t="shared" si="51"/>
        <v>0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>
        <v>6.79</v>
      </c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6.79</v>
      </c>
      <c r="M60" s="2"/>
      <c r="N60" s="7">
        <f t="shared" si="47"/>
        <v>0</v>
      </c>
      <c r="O60" s="11"/>
      <c r="P60" s="6">
        <v>138.09</v>
      </c>
      <c r="Q60" s="2"/>
      <c r="R60" s="7">
        <f t="shared" si="48"/>
        <v>0</v>
      </c>
      <c r="S60" s="2"/>
      <c r="T60" s="6"/>
      <c r="U60" s="2"/>
      <c r="V60" s="7">
        <f t="shared" si="49"/>
        <v>0</v>
      </c>
      <c r="W60" s="2"/>
      <c r="X60" s="6">
        <f t="shared" si="50"/>
        <v>138.09</v>
      </c>
      <c r="Y60" s="2"/>
      <c r="Z60" s="7">
        <f t="shared" si="51"/>
        <v>0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7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3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85.2</v>
      </c>
      <c r="Q64" s="2"/>
      <c r="R64" s="7">
        <f t="shared" si="56"/>
        <v>0</v>
      </c>
      <c r="S64" s="2"/>
      <c r="T64" s="6"/>
      <c r="U64" s="2"/>
      <c r="V64" s="7">
        <f t="shared" si="57"/>
        <v>0</v>
      </c>
      <c r="W64" s="2"/>
      <c r="X64" s="6">
        <f t="shared" si="58"/>
        <v>85.2</v>
      </c>
      <c r="Y64" s="2"/>
      <c r="Z64" s="7">
        <f t="shared" si="59"/>
        <v>0</v>
      </c>
    </row>
    <row r="65" spans="1:26" s="27" customFormat="1" outlineLevel="1" collapsed="1" x14ac:dyDescent="0.25">
      <c r="A65" s="25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SUM(OSRRefD22_11x_0)</f>
        <v>-162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-162</v>
      </c>
      <c r="M65" s="1"/>
      <c r="N65" s="5">
        <f t="shared" si="55"/>
        <v>0</v>
      </c>
      <c r="O65" s="13"/>
      <c r="P65" s="1">
        <f>SUM(OSRRefP22_11x_0)</f>
        <v>1001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1001</v>
      </c>
      <c r="Y65" s="1"/>
      <c r="Z65" s="5">
        <f t="shared" si="59"/>
        <v>0</v>
      </c>
    </row>
    <row r="66" spans="1:26" s="24" customFormat="1" hidden="1" outlineLevel="2" x14ac:dyDescent="0.25">
      <c r="A66" s="26"/>
      <c r="B66" s="11" t="str">
        <f>CONCATENATE("          ", "6274", " - ", "UTILITIES")</f>
        <v xml:space="preserve">          6274 - UTILITIES</v>
      </c>
      <c r="C66" s="11"/>
      <c r="D66" s="6">
        <v>-162</v>
      </c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-162</v>
      </c>
      <c r="M66" s="2"/>
      <c r="N66" s="7">
        <f t="shared" si="55"/>
        <v>0</v>
      </c>
      <c r="O66" s="11"/>
      <c r="P66" s="6">
        <v>1001</v>
      </c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1001</v>
      </c>
      <c r="Y66" s="2"/>
      <c r="Z66" s="7">
        <f t="shared" si="59"/>
        <v>0</v>
      </c>
    </row>
    <row r="67" spans="1:26" s="61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277</v>
      </c>
      <c r="C70" s="28"/>
      <c r="D70" s="20">
        <f>+D19-D21+D68</f>
        <v>-349.24</v>
      </c>
      <c r="E70" s="14"/>
      <c r="F70" s="22">
        <f>IF(D$12=0,0,D70/D$12)</f>
        <v>0</v>
      </c>
      <c r="G70" s="14"/>
      <c r="H70" s="20">
        <f>+H19-H21+H68</f>
        <v>-2017</v>
      </c>
      <c r="I70" s="14"/>
      <c r="J70" s="22">
        <f>IF(H$12=0,0,H70/H$12)</f>
        <v>0</v>
      </c>
      <c r="K70" s="16"/>
      <c r="L70" s="20">
        <f>+D70-H70</f>
        <v>1667.76</v>
      </c>
      <c r="M70" s="16"/>
      <c r="N70" s="22">
        <f>IF(H70=0,0,L70/H70)</f>
        <v>-0.82685176003966288</v>
      </c>
      <c r="O70" s="29"/>
      <c r="P70" s="20">
        <f>+P19-P21+P68</f>
        <v>-25615.25</v>
      </c>
      <c r="Q70" s="14"/>
      <c r="R70" s="22">
        <f>IF(P$12=0,0,P70/P$12)</f>
        <v>0</v>
      </c>
      <c r="S70" s="14"/>
      <c r="T70" s="20">
        <f>+T19-T21+T68</f>
        <v>-24204</v>
      </c>
      <c r="U70" s="14"/>
      <c r="V70" s="22">
        <f>IF(T$12=0,0,T70/T$12)</f>
        <v>0</v>
      </c>
      <c r="W70" s="16"/>
      <c r="X70" s="20">
        <f>+P70-T70</f>
        <v>-1411.25</v>
      </c>
      <c r="Y70" s="16"/>
      <c r="Z70" s="22">
        <f>IF(T70=0,0,X70/T70)</f>
        <v>5.8306478268054865E-2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126</v>
      </c>
      <c r="C74" s="28"/>
      <c r="D74" s="34">
        <f>+D70-D72</f>
        <v>-349.24</v>
      </c>
      <c r="E74" s="14"/>
      <c r="F74" s="35">
        <f>IF(D$12=0,0,D74/D$12)</f>
        <v>0</v>
      </c>
      <c r="G74" s="14"/>
      <c r="H74" s="34">
        <f>+H70-H72</f>
        <v>-2017</v>
      </c>
      <c r="I74" s="14"/>
      <c r="J74" s="35">
        <f>IF(H$12=0,0,H74/H$12)</f>
        <v>0</v>
      </c>
      <c r="K74" s="16"/>
      <c r="L74" s="34">
        <f>D74-H74</f>
        <v>1667.76</v>
      </c>
      <c r="M74" s="16"/>
      <c r="N74" s="35">
        <f>IF(H74=0,0,L74/H74)</f>
        <v>-0.82685176003966288</v>
      </c>
      <c r="O74" s="29"/>
      <c r="P74" s="34">
        <f>+P70-P72</f>
        <v>-25615.25</v>
      </c>
      <c r="Q74" s="14"/>
      <c r="R74" s="35">
        <f>IF(P$12=0,0,P74/P$12)</f>
        <v>0</v>
      </c>
      <c r="S74" s="14"/>
      <c r="T74" s="34">
        <f>+T70-T72</f>
        <v>-24204</v>
      </c>
      <c r="U74" s="14"/>
      <c r="V74" s="35">
        <f>IF(T$12=0,0,T74/T$12)</f>
        <v>0</v>
      </c>
      <c r="W74" s="16"/>
      <c r="X74" s="34">
        <f>P74-T74</f>
        <v>-1411.25</v>
      </c>
      <c r="Y74" s="16"/>
      <c r="Z74" s="35">
        <f>IF(T74=0,0,X74/T74)</f>
        <v>5.8306478268054865E-2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294</v>
      </c>
      <c r="C77" s="28"/>
      <c r="D77" s="33">
        <f>SUM(D74:D76)</f>
        <v>-349.24</v>
      </c>
      <c r="E77" s="14"/>
      <c r="F77" s="31">
        <f>IF(D$12=0,0,D77/D$12)</f>
        <v>0</v>
      </c>
      <c r="G77" s="14"/>
      <c r="H77" s="33">
        <f>SUM(H74:H76)</f>
        <v>-2017</v>
      </c>
      <c r="I77" s="14"/>
      <c r="J77" s="31">
        <f>IF(H$12=0,0,H77/H$12)</f>
        <v>0</v>
      </c>
      <c r="K77" s="16"/>
      <c r="L77" s="33">
        <f>+D77-H77</f>
        <v>1667.76</v>
      </c>
      <c r="M77" s="16"/>
      <c r="N77" s="31">
        <f>IF(H77=0,0,L77/H77)</f>
        <v>-0.82685176003966288</v>
      </c>
      <c r="O77" s="29"/>
      <c r="P77" s="33">
        <f>SUM(P74:P76)</f>
        <v>-25615.25</v>
      </c>
      <c r="Q77" s="14"/>
      <c r="R77" s="31">
        <f>IF(P$12=0,0,P77/P$12)</f>
        <v>0</v>
      </c>
      <c r="S77" s="14"/>
      <c r="T77" s="33">
        <f>SUM(T74:T76)</f>
        <v>-24204</v>
      </c>
      <c r="U77" s="14"/>
      <c r="V77" s="31">
        <f>IF(T$12=0,0,T77/T$12)</f>
        <v>0</v>
      </c>
      <c r="W77" s="16"/>
      <c r="X77" s="33">
        <f>+P77-T77</f>
        <v>-1411.25</v>
      </c>
      <c r="Y77" s="16"/>
      <c r="Z77" s="31">
        <f>IF(T77=0,0,X77/T77)</f>
        <v>5.8306478268054865E-2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6">
        <v>44454.686112384261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5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3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6636</v>
      </c>
      <c r="I12" s="4"/>
      <c r="J12" s="12"/>
      <c r="K12" s="4"/>
      <c r="L12" s="4">
        <f t="shared" ref="L12:L14" si="0">+D12-H12</f>
        <v>-6636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279086</v>
      </c>
      <c r="U12" s="4"/>
      <c r="V12" s="12"/>
      <c r="W12" s="4"/>
      <c r="X12" s="4">
        <f t="shared" ref="X12:X14" si="2">+P12-T12</f>
        <v>-279086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1176</v>
      </c>
      <c r="I13" s="2"/>
      <c r="J13" s="19"/>
      <c r="K13" s="2"/>
      <c r="L13" s="2">
        <f t="shared" si="0"/>
        <v>-1176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49912</v>
      </c>
      <c r="U13" s="2"/>
      <c r="V13" s="19"/>
      <c r="W13" s="2"/>
      <c r="X13" s="2">
        <f t="shared" si="2"/>
        <v>-49912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5460</v>
      </c>
      <c r="I14" s="2"/>
      <c r="J14" s="19"/>
      <c r="K14" s="2"/>
      <c r="L14" s="2">
        <f t="shared" si="0"/>
        <v>-5460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229174</v>
      </c>
      <c r="U14" s="2"/>
      <c r="V14" s="19"/>
      <c r="W14" s="2"/>
      <c r="X14" s="2">
        <f t="shared" si="2"/>
        <v>-229174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2479.4</v>
      </c>
      <c r="E16" s="4"/>
      <c r="F16" s="12">
        <f t="shared" ref="F16:F19" si="6">IF(D$12=0,0,D16/D$12)</f>
        <v>0</v>
      </c>
      <c r="G16" s="4"/>
      <c r="H16" s="4">
        <f>SUM(OSRRefH16x_0)</f>
        <v>3186</v>
      </c>
      <c r="I16" s="4"/>
      <c r="J16" s="12">
        <f t="shared" ref="J16:J19" si="7">IF(H$12=0,0,H16/H$12)</f>
        <v>0.48010849909584086</v>
      </c>
      <c r="K16" s="4"/>
      <c r="L16" s="4">
        <f t="shared" ref="L16:L19" si="8">+D16-H16</f>
        <v>-706.59999999999991</v>
      </c>
      <c r="M16" s="4"/>
      <c r="N16" s="12">
        <f t="shared" ref="N16:N19" si="9">IF(H16=0,0,L16/H16)</f>
        <v>-0.22178279974890142</v>
      </c>
      <c r="O16" s="10"/>
      <c r="P16" s="4">
        <f>SUM(OSRRefP16x_0)</f>
        <v>13473.44</v>
      </c>
      <c r="Q16" s="4"/>
      <c r="R16" s="12">
        <f t="shared" ref="R16:R19" si="10">IF(P$12=0,0,P16/P$12)</f>
        <v>0</v>
      </c>
      <c r="S16" s="4"/>
      <c r="T16" s="4">
        <f>SUM(OSRRefT16x_0)</f>
        <v>122016</v>
      </c>
      <c r="U16" s="4"/>
      <c r="V16" s="12">
        <f t="shared" ref="V16:V19" si="11">IF(T$12=0,0,T16/T$12)</f>
        <v>0.43719856961653397</v>
      </c>
      <c r="W16" s="4"/>
      <c r="X16" s="4">
        <f t="shared" ref="X16:X19" si="12">+P16-T16</f>
        <v>-108542.56</v>
      </c>
      <c r="Y16" s="4"/>
      <c r="Z16" s="12">
        <f t="shared" ref="Z16:Z19" si="13">IF(T16=0,0,X16/T16)</f>
        <v>-0.88957644899029631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3186</v>
      </c>
      <c r="I17" s="2"/>
      <c r="J17" s="19">
        <f t="shared" si="7"/>
        <v>0.48010849909584086</v>
      </c>
      <c r="K17" s="2"/>
      <c r="L17" s="2">
        <f t="shared" si="8"/>
        <v>-3186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122016</v>
      </c>
      <c r="U17" s="2"/>
      <c r="V17" s="19">
        <f t="shared" si="11"/>
        <v>0.43719856961653397</v>
      </c>
      <c r="W17" s="2"/>
      <c r="X17" s="2">
        <f t="shared" si="12"/>
        <v>-122016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176.4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176.4</v>
      </c>
      <c r="M18" s="2"/>
      <c r="N18" s="19">
        <f t="shared" si="9"/>
        <v>0</v>
      </c>
      <c r="O18" s="11"/>
      <c r="P18" s="2">
        <v>-458.56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-458.56</v>
      </c>
      <c r="Y18" s="2"/>
      <c r="Z18" s="19">
        <f t="shared" si="13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2303</v>
      </c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2303</v>
      </c>
      <c r="M19" s="2"/>
      <c r="N19" s="19">
        <f t="shared" si="9"/>
        <v>0</v>
      </c>
      <c r="O19" s="11"/>
      <c r="P19" s="2">
        <v>13932</v>
      </c>
      <c r="Q19" s="2"/>
      <c r="R19" s="19">
        <f t="shared" si="10"/>
        <v>0</v>
      </c>
      <c r="S19" s="2"/>
      <c r="T19" s="2"/>
      <c r="U19" s="2"/>
      <c r="V19" s="19">
        <f t="shared" si="11"/>
        <v>0</v>
      </c>
      <c r="W19" s="2"/>
      <c r="X19" s="2">
        <f t="shared" si="12"/>
        <v>13932</v>
      </c>
      <c r="Y19" s="2"/>
      <c r="Z19" s="19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D12-D16</f>
        <v>-2479.4</v>
      </c>
      <c r="E21" s="14"/>
      <c r="F21" s="22">
        <f>IF(D$12=0,0,D21/D$12)</f>
        <v>0</v>
      </c>
      <c r="G21" s="14"/>
      <c r="H21" s="20">
        <f>H12-H16</f>
        <v>3450</v>
      </c>
      <c r="I21" s="14"/>
      <c r="J21" s="22">
        <f>IF(H$12=0,0,H21/H$12)</f>
        <v>0.51989150090415914</v>
      </c>
      <c r="K21" s="16"/>
      <c r="L21" s="20">
        <f>+D21-H21</f>
        <v>-5929.4</v>
      </c>
      <c r="M21" s="16"/>
      <c r="N21" s="22">
        <f>IF(H21=0,0,L21/H21)</f>
        <v>-1.7186666666666666</v>
      </c>
      <c r="O21" s="29"/>
      <c r="P21" s="20">
        <f>P12-P16</f>
        <v>-13473.44</v>
      </c>
      <c r="Q21" s="14"/>
      <c r="R21" s="22">
        <f>IF(P$12=0,0,P21/P$12)</f>
        <v>0</v>
      </c>
      <c r="S21" s="14"/>
      <c r="T21" s="20">
        <f>T12-T16</f>
        <v>157070</v>
      </c>
      <c r="U21" s="14"/>
      <c r="V21" s="22">
        <f>IF(T$12=0,0,T21/T$12)</f>
        <v>0.56280143038346608</v>
      </c>
      <c r="W21" s="16"/>
      <c r="X21" s="20">
        <f>+P21-T21</f>
        <v>-170543.44</v>
      </c>
      <c r="Y21" s="16"/>
      <c r="Z21" s="22">
        <f>IF(T21=0,0,X21/T21)</f>
        <v>-1.0857798433819317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1">
        <f>SUM(OSRRefD22x_0)</f>
        <v>4959.08</v>
      </c>
      <c r="E23" s="21"/>
      <c r="F23" s="30">
        <f t="shared" ref="F23:F32" si="14">IF(D$12=0,0,D23/D$12)</f>
        <v>0</v>
      </c>
      <c r="G23" s="21"/>
      <c r="H23" s="21">
        <f>SUM(OSRRefH22x_0)</f>
        <v>23782.4564928</v>
      </c>
      <c r="I23" s="21"/>
      <c r="J23" s="30">
        <f t="shared" ref="J23:J32" si="15">IF(H$12=0,0,H23/H$12)</f>
        <v>3.5838542032549729</v>
      </c>
      <c r="K23" s="4"/>
      <c r="L23" s="21">
        <f t="shared" ref="L23:L32" si="16">+D23-H23</f>
        <v>-18823.376492800002</v>
      </c>
      <c r="M23" s="4"/>
      <c r="N23" s="30">
        <f t="shared" ref="N23:N32" si="17">IF(H23=0,0,L23/H23)</f>
        <v>-0.79148159057911738</v>
      </c>
      <c r="O23" s="10"/>
      <c r="P23" s="21">
        <f>SUM(OSRRefP22x_0)</f>
        <v>127040.85</v>
      </c>
      <c r="Q23" s="21"/>
      <c r="R23" s="30">
        <f t="shared" ref="R23:R32" si="18">IF(P$12=0,0,P23/P$12)</f>
        <v>0</v>
      </c>
      <c r="S23" s="21"/>
      <c r="T23" s="21">
        <f>SUM(OSRRefT22x_0)</f>
        <v>330765.93612480001</v>
      </c>
      <c r="U23" s="21"/>
      <c r="V23" s="30">
        <f t="shared" ref="V23:V32" si="19">IF(T$12=0,0,T23/T$12)</f>
        <v>1.1851756667292519</v>
      </c>
      <c r="W23" s="4"/>
      <c r="X23" s="21">
        <f t="shared" ref="X23:X32" si="20">+P23-T23</f>
        <v>-203725.0861248</v>
      </c>
      <c r="Y23" s="4"/>
      <c r="Z23" s="30">
        <f t="shared" ref="Z23:Z32" si="21">IF(T23=0,0,X23/T23)</f>
        <v>-0.61591918597062933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3607.9892927999999</v>
      </c>
      <c r="I24" s="1"/>
      <c r="J24" s="5">
        <f t="shared" si="15"/>
        <v>0.54369941121157328</v>
      </c>
      <c r="K24" s="1"/>
      <c r="L24" s="1">
        <f t="shared" si="16"/>
        <v>-3607.9892927999999</v>
      </c>
      <c r="M24" s="1"/>
      <c r="N24" s="5">
        <f t="shared" si="17"/>
        <v>-1</v>
      </c>
      <c r="O24" s="13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42716.152924800001</v>
      </c>
      <c r="U24" s="1"/>
      <c r="V24" s="5">
        <f t="shared" si="19"/>
        <v>0.15305731181356286</v>
      </c>
      <c r="W24" s="1"/>
      <c r="X24" s="1">
        <f t="shared" si="20"/>
        <v>-39826.432924799999</v>
      </c>
      <c r="Y24" s="1"/>
      <c r="Z24" s="5">
        <f t="shared" si="21"/>
        <v>-0.93235064952859326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4"/>
        <v>0</v>
      </c>
      <c r="G25" s="2"/>
      <c r="H25" s="6">
        <v>498.55927680000002</v>
      </c>
      <c r="I25" s="2"/>
      <c r="J25" s="7">
        <f t="shared" si="15"/>
        <v>7.5129487160940325E-2</v>
      </c>
      <c r="K25" s="2"/>
      <c r="L25" s="6">
        <f t="shared" si="16"/>
        <v>-498.55927680000002</v>
      </c>
      <c r="M25" s="2"/>
      <c r="N25" s="7">
        <f t="shared" si="17"/>
        <v>-1</v>
      </c>
      <c r="O25" s="11"/>
      <c r="P25" s="6">
        <v>159.12</v>
      </c>
      <c r="Q25" s="2"/>
      <c r="R25" s="7">
        <f t="shared" si="18"/>
        <v>0</v>
      </c>
      <c r="S25" s="2"/>
      <c r="T25" s="6">
        <v>4518.7107888</v>
      </c>
      <c r="U25" s="2"/>
      <c r="V25" s="7">
        <f t="shared" si="19"/>
        <v>1.6191105210580252E-2</v>
      </c>
      <c r="W25" s="2"/>
      <c r="X25" s="6">
        <f t="shared" si="20"/>
        <v>-4359.5907888000002</v>
      </c>
      <c r="Y25" s="2"/>
      <c r="Z25" s="7">
        <f t="shared" si="21"/>
        <v>-0.96478641642780238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4"/>
        <v>0</v>
      </c>
      <c r="G26" s="2"/>
      <c r="H26" s="6">
        <v>155.15136000000001</v>
      </c>
      <c r="I26" s="2"/>
      <c r="J26" s="7">
        <f t="shared" si="15"/>
        <v>2.3380253164556965E-2</v>
      </c>
      <c r="K26" s="2"/>
      <c r="L26" s="6">
        <f t="shared" si="16"/>
        <v>-155.15136000000001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2050.3875600000001</v>
      </c>
      <c r="U26" s="2"/>
      <c r="V26" s="7">
        <f t="shared" si="19"/>
        <v>7.3467947514386251E-3</v>
      </c>
      <c r="W26" s="2"/>
      <c r="X26" s="6">
        <f t="shared" si="20"/>
        <v>-2050.3875600000001</v>
      </c>
      <c r="Y26" s="2"/>
      <c r="Z26" s="7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4"/>
        <v>0</v>
      </c>
      <c r="G27" s="2"/>
      <c r="H27" s="6">
        <v>1980</v>
      </c>
      <c r="I27" s="2"/>
      <c r="J27" s="7">
        <f t="shared" si="15"/>
        <v>0.29837251356238698</v>
      </c>
      <c r="K27" s="2"/>
      <c r="L27" s="6">
        <f t="shared" si="16"/>
        <v>-1980</v>
      </c>
      <c r="M27" s="2"/>
      <c r="N27" s="7">
        <f t="shared" si="17"/>
        <v>-1</v>
      </c>
      <c r="O27" s="11"/>
      <c r="P27" s="6">
        <v>1915.63</v>
      </c>
      <c r="Q27" s="2"/>
      <c r="R27" s="7">
        <f t="shared" si="18"/>
        <v>0</v>
      </c>
      <c r="S27" s="2"/>
      <c r="T27" s="6">
        <v>23760</v>
      </c>
      <c r="U27" s="2"/>
      <c r="V27" s="7">
        <f t="shared" si="19"/>
        <v>8.5135047978042611E-2</v>
      </c>
      <c r="W27" s="2"/>
      <c r="X27" s="6">
        <f t="shared" si="20"/>
        <v>-21844.37</v>
      </c>
      <c r="Y27" s="2"/>
      <c r="Z27" s="7">
        <f t="shared" si="21"/>
        <v>-0.91937584175084175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4"/>
        <v>0</v>
      </c>
      <c r="G28" s="2"/>
      <c r="H28" s="6">
        <v>21.805056</v>
      </c>
      <c r="I28" s="2"/>
      <c r="J28" s="7">
        <f t="shared" si="15"/>
        <v>3.2858734177215192E-3</v>
      </c>
      <c r="K28" s="2"/>
      <c r="L28" s="6">
        <f t="shared" si="16"/>
        <v>-21.805056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288.162576</v>
      </c>
      <c r="U28" s="2"/>
      <c r="V28" s="7">
        <f t="shared" si="19"/>
        <v>1.0325225056075904E-3</v>
      </c>
      <c r="W28" s="2"/>
      <c r="X28" s="6">
        <f t="shared" si="20"/>
        <v>-288.162576</v>
      </c>
      <c r="Y28" s="2"/>
      <c r="Z28" s="7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4"/>
        <v>0</v>
      </c>
      <c r="G29" s="2"/>
      <c r="H29" s="6">
        <v>386.38080000000002</v>
      </c>
      <c r="I29" s="2"/>
      <c r="J29" s="7">
        <f t="shared" si="15"/>
        <v>5.8224954792043405E-2</v>
      </c>
      <c r="K29" s="2"/>
      <c r="L29" s="6">
        <f t="shared" si="16"/>
        <v>-386.38080000000002</v>
      </c>
      <c r="M29" s="2"/>
      <c r="N29" s="7">
        <f t="shared" si="17"/>
        <v>-1</v>
      </c>
      <c r="O29" s="11"/>
      <c r="P29" s="6">
        <v>458.89</v>
      </c>
      <c r="Q29" s="2"/>
      <c r="R29" s="7">
        <f t="shared" si="18"/>
        <v>0</v>
      </c>
      <c r="S29" s="2"/>
      <c r="T29" s="6">
        <v>4836.9152000000004</v>
      </c>
      <c r="U29" s="2"/>
      <c r="V29" s="7">
        <f t="shared" si="19"/>
        <v>1.7331271364382308E-2</v>
      </c>
      <c r="W29" s="2"/>
      <c r="X29" s="6">
        <f t="shared" si="20"/>
        <v>-4378.0252</v>
      </c>
      <c r="Y29" s="2"/>
      <c r="Z29" s="7">
        <f t="shared" si="21"/>
        <v>-0.90512754906267523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4"/>
        <v>0</v>
      </c>
      <c r="G31" s="2"/>
      <c r="H31" s="6">
        <v>224.64</v>
      </c>
      <c r="I31" s="2"/>
      <c r="J31" s="7">
        <f t="shared" si="15"/>
        <v>3.3851717902350809E-2</v>
      </c>
      <c r="K31" s="2"/>
      <c r="L31" s="6">
        <f t="shared" si="16"/>
        <v>-224.64</v>
      </c>
      <c r="M31" s="2"/>
      <c r="N31" s="7">
        <f t="shared" si="17"/>
        <v>-1</v>
      </c>
      <c r="O31" s="11"/>
      <c r="P31" s="6">
        <v>152.1</v>
      </c>
      <c r="Q31" s="2"/>
      <c r="R31" s="7">
        <f t="shared" si="18"/>
        <v>0</v>
      </c>
      <c r="S31" s="2"/>
      <c r="T31" s="6">
        <v>2812.16</v>
      </c>
      <c r="U31" s="2"/>
      <c r="V31" s="7">
        <f t="shared" si="19"/>
        <v>1.0076320560687387E-2</v>
      </c>
      <c r="W31" s="2"/>
      <c r="X31" s="6">
        <f t="shared" si="20"/>
        <v>-2660.06</v>
      </c>
      <c r="Y31" s="2"/>
      <c r="Z31" s="7">
        <f t="shared" si="21"/>
        <v>-0.94591346153846156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4"/>
        <v>0</v>
      </c>
      <c r="G32" s="2"/>
      <c r="H32" s="6">
        <v>341.45280000000002</v>
      </c>
      <c r="I32" s="2"/>
      <c r="J32" s="7">
        <f t="shared" si="15"/>
        <v>5.1454611211573242E-2</v>
      </c>
      <c r="K32" s="2"/>
      <c r="L32" s="6">
        <f t="shared" si="16"/>
        <v>-341.45280000000002</v>
      </c>
      <c r="M32" s="2"/>
      <c r="N32" s="7">
        <f t="shared" si="17"/>
        <v>-1</v>
      </c>
      <c r="O32" s="11"/>
      <c r="P32" s="6">
        <v>203.98</v>
      </c>
      <c r="Q32" s="2"/>
      <c r="R32" s="7">
        <f t="shared" si="18"/>
        <v>0</v>
      </c>
      <c r="S32" s="2"/>
      <c r="T32" s="6">
        <v>4449.8167999999996</v>
      </c>
      <c r="U32" s="2"/>
      <c r="V32" s="7">
        <f t="shared" si="19"/>
        <v>1.5944249442824073E-2</v>
      </c>
      <c r="W32" s="2"/>
      <c r="X32" s="6">
        <f t="shared" si="20"/>
        <v>-4245.8368</v>
      </c>
      <c r="Y32" s="2"/>
      <c r="Z32" s="7">
        <f t="shared" si="21"/>
        <v>-0.9541599105832852</v>
      </c>
    </row>
    <row r="33" spans="1:26" s="27" customFormat="1" outlineLevel="1" collapsed="1" x14ac:dyDescent="0.25">
      <c r="A33" s="25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7820.4671999999991</v>
      </c>
      <c r="I33" s="1"/>
      <c r="J33" s="5">
        <f t="shared" ref="J33:J43" si="23">IF(H$12=0,0,H33/H$12)</f>
        <v>1.1784911392405062</v>
      </c>
      <c r="K33" s="1"/>
      <c r="L33" s="1">
        <f t="shared" ref="L33:L43" si="24">+D33-H33</f>
        <v>-7820.4671999999991</v>
      </c>
      <c r="M33" s="1"/>
      <c r="N33" s="5">
        <f t="shared" ref="N33:N43" si="25">IF(H33=0,0,L33/H33)</f>
        <v>-1</v>
      </c>
      <c r="O33" s="13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103569.78320000001</v>
      </c>
      <c r="U33" s="1"/>
      <c r="V33" s="5">
        <f t="shared" ref="V33:V43" si="27">IF(T$12=0,0,T33/T$12)</f>
        <v>0.3711034706147926</v>
      </c>
      <c r="W33" s="1"/>
      <c r="X33" s="1">
        <f t="shared" ref="X33:X43" si="28">+P33-T33</f>
        <v>-102685.78320000001</v>
      </c>
      <c r="Y33" s="1"/>
      <c r="Z33" s="5">
        <f t="shared" ref="Z33:Z43" si="29">IF(T33=0,0,X33/T33)</f>
        <v>-0.99146469199136067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4043.52</v>
      </c>
      <c r="I35" s="2"/>
      <c r="J35" s="7">
        <f t="shared" si="23"/>
        <v>0.60933092224231467</v>
      </c>
      <c r="K35" s="2"/>
      <c r="L35" s="6">
        <f t="shared" si="24"/>
        <v>-4043.52</v>
      </c>
      <c r="M35" s="2"/>
      <c r="N35" s="7">
        <f t="shared" si="25"/>
        <v>-1</v>
      </c>
      <c r="O35" s="11"/>
      <c r="P35" s="6">
        <v>884</v>
      </c>
      <c r="Q35" s="2"/>
      <c r="R35" s="7">
        <f t="shared" si="26"/>
        <v>0</v>
      </c>
      <c r="S35" s="2"/>
      <c r="T35" s="6">
        <v>50618.879999999997</v>
      </c>
      <c r="U35" s="2"/>
      <c r="V35" s="7">
        <f t="shared" si="27"/>
        <v>0.18137377009237296</v>
      </c>
      <c r="W35" s="2"/>
      <c r="X35" s="6">
        <f t="shared" si="28"/>
        <v>-49734.879999999997</v>
      </c>
      <c r="Y35" s="2"/>
      <c r="Z35" s="7">
        <f t="shared" si="29"/>
        <v>-0.98253616042077585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1815.84</v>
      </c>
      <c r="I38" s="2"/>
      <c r="J38" s="7">
        <f t="shared" si="23"/>
        <v>0.27363471971066905</v>
      </c>
      <c r="K38" s="2"/>
      <c r="L38" s="6">
        <f t="shared" si="24"/>
        <v>-1815.84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17303.441999999999</v>
      </c>
      <c r="U38" s="2"/>
      <c r="V38" s="7">
        <f t="shared" si="27"/>
        <v>6.2000394143740638E-2</v>
      </c>
      <c r="W38" s="2"/>
      <c r="X38" s="6">
        <f t="shared" si="28"/>
        <v>-17303.441999999999</v>
      </c>
      <c r="Y38" s="2"/>
      <c r="Z38" s="7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1961.1071999999999</v>
      </c>
      <c r="I40" s="2"/>
      <c r="J40" s="7">
        <f t="shared" si="23"/>
        <v>0.29552549728752259</v>
      </c>
      <c r="K40" s="2"/>
      <c r="L40" s="6">
        <f t="shared" si="24"/>
        <v>-1961.1071999999999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2717.7071999999998</v>
      </c>
      <c r="U40" s="2"/>
      <c r="V40" s="7">
        <f t="shared" si="27"/>
        <v>9.7378843797252448E-3</v>
      </c>
      <c r="W40" s="2"/>
      <c r="X40" s="6">
        <f t="shared" si="28"/>
        <v>-2717.7071999999998</v>
      </c>
      <c r="Y40" s="2"/>
      <c r="Z40" s="7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32929.754000000001</v>
      </c>
      <c r="U41" s="2"/>
      <c r="V41" s="7">
        <f t="shared" si="27"/>
        <v>0.11799142199895372</v>
      </c>
      <c r="W41" s="2"/>
      <c r="X41" s="6">
        <f t="shared" si="28"/>
        <v>-32929.754000000001</v>
      </c>
      <c r="Y41" s="2"/>
      <c r="Z41" s="7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7" customFormat="1" outlineLevel="1" collapsed="1" x14ac:dyDescent="0.25">
      <c r="A44" s="25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0</v>
      </c>
      <c r="I44" s="1"/>
      <c r="J44" s="5">
        <f t="shared" ref="J44:J52" si="31">IF(H$12=0,0,H44/H$12)</f>
        <v>0</v>
      </c>
      <c r="K44" s="1"/>
      <c r="L44" s="1">
        <f t="shared" ref="L44:L52" si="32">+D44-H44</f>
        <v>0</v>
      </c>
      <c r="M44" s="1"/>
      <c r="N44" s="5">
        <f t="shared" ref="N44:N52" si="33">IF(H44=0,0,L44/H44)</f>
        <v>0</v>
      </c>
      <c r="O44" s="13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1449</v>
      </c>
      <c r="U44" s="1"/>
      <c r="V44" s="5">
        <f t="shared" ref="V44:V52" si="35">IF(T$12=0,0,T44/T$12)</f>
        <v>5.1919480016912349E-3</v>
      </c>
      <c r="W44" s="1"/>
      <c r="X44" s="1">
        <f t="shared" ref="X44:X52" si="36">+P44-T44</f>
        <v>-1449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1449</v>
      </c>
      <c r="U45" s="2"/>
      <c r="V45" s="7">
        <f t="shared" si="35"/>
        <v>5.1919480016912349E-3</v>
      </c>
      <c r="W45" s="2"/>
      <c r="X45" s="6">
        <f t="shared" si="36"/>
        <v>-1449</v>
      </c>
      <c r="Y45" s="2"/>
      <c r="Z45" s="7">
        <f t="shared" si="37"/>
        <v>-1</v>
      </c>
    </row>
    <row r="46" spans="1:26" s="27" customFormat="1" outlineLevel="1" collapsed="1" x14ac:dyDescent="0.25">
      <c r="A46" s="25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5</v>
      </c>
      <c r="I46" s="1"/>
      <c r="J46" s="5">
        <f t="shared" si="31"/>
        <v>7.5346594333936109E-4</v>
      </c>
      <c r="K46" s="1"/>
      <c r="L46" s="1">
        <f t="shared" si="32"/>
        <v>-5</v>
      </c>
      <c r="M46" s="1"/>
      <c r="N46" s="5">
        <f t="shared" si="33"/>
        <v>-1</v>
      </c>
      <c r="O46" s="13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89</v>
      </c>
      <c r="U46" s="1"/>
      <c r="V46" s="5">
        <f t="shared" si="35"/>
        <v>3.1889811742616972E-4</v>
      </c>
      <c r="W46" s="1"/>
      <c r="X46" s="1">
        <f t="shared" si="36"/>
        <v>-89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30"/>
        <v>0</v>
      </c>
      <c r="G47" s="2"/>
      <c r="H47" s="6">
        <v>5</v>
      </c>
      <c r="I47" s="2"/>
      <c r="J47" s="7">
        <f t="shared" si="31"/>
        <v>7.5346594333936109E-4</v>
      </c>
      <c r="K47" s="2"/>
      <c r="L47" s="6">
        <f t="shared" si="32"/>
        <v>-5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89</v>
      </c>
      <c r="U47" s="2"/>
      <c r="V47" s="7">
        <f t="shared" si="35"/>
        <v>3.1889811742616972E-4</v>
      </c>
      <c r="W47" s="2"/>
      <c r="X47" s="6">
        <f t="shared" si="36"/>
        <v>-89</v>
      </c>
      <c r="Y47" s="2"/>
      <c r="Z47" s="7">
        <f t="shared" si="37"/>
        <v>-1</v>
      </c>
    </row>
    <row r="48" spans="1:26" s="27" customFormat="1" outlineLevel="1" collapsed="1" x14ac:dyDescent="0.25">
      <c r="A48" s="25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1100</v>
      </c>
      <c r="I48" s="1"/>
      <c r="J48" s="5">
        <f t="shared" si="31"/>
        <v>0.16576250753465943</v>
      </c>
      <c r="K48" s="1"/>
      <c r="L48" s="1">
        <f t="shared" si="32"/>
        <v>-1100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27037</v>
      </c>
      <c r="U48" s="1"/>
      <c r="V48" s="5">
        <f t="shared" si="35"/>
        <v>9.6876948324172471E-2</v>
      </c>
      <c r="W48" s="1"/>
      <c r="X48" s="1">
        <f t="shared" si="36"/>
        <v>-27037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30"/>
        <v>0</v>
      </c>
      <c r="G49" s="2"/>
      <c r="H49" s="6">
        <v>1100</v>
      </c>
      <c r="I49" s="2"/>
      <c r="J49" s="7">
        <f t="shared" si="31"/>
        <v>0.16576250753465943</v>
      </c>
      <c r="K49" s="2"/>
      <c r="L49" s="6">
        <f t="shared" si="32"/>
        <v>-1100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27037</v>
      </c>
      <c r="U49" s="2"/>
      <c r="V49" s="7">
        <f t="shared" si="35"/>
        <v>9.6876948324172471E-2</v>
      </c>
      <c r="W49" s="2"/>
      <c r="X49" s="6">
        <f t="shared" si="36"/>
        <v>-27037</v>
      </c>
      <c r="Y49" s="2"/>
      <c r="Z49" s="7">
        <f t="shared" si="37"/>
        <v>-1</v>
      </c>
    </row>
    <row r="50" spans="1:26" s="27" customFormat="1" outlineLevel="1" collapsed="1" x14ac:dyDescent="0.25">
      <c r="A50" s="25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5471.12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0.82444243520192884</v>
      </c>
      <c r="K50" s="1"/>
      <c r="L50" s="1">
        <f t="shared" si="32"/>
        <v>0.11999999999989086</v>
      </c>
      <c r="M50" s="1"/>
      <c r="N50" s="5">
        <f t="shared" si="33"/>
        <v>2.1933832937285847E-5</v>
      </c>
      <c r="O50" s="13"/>
      <c r="P50" s="1">
        <f>SUM(OSRRefP22_5x_0)</f>
        <v>66099.929999999993</v>
      </c>
      <c r="Q50" s="1"/>
      <c r="R50" s="5">
        <f t="shared" si="34"/>
        <v>0</v>
      </c>
      <c r="S50" s="1"/>
      <c r="T50" s="1">
        <f>SUM(OSRRefT22_5x_0)</f>
        <v>66100</v>
      </c>
      <c r="U50" s="1"/>
      <c r="V50" s="5">
        <f t="shared" si="35"/>
        <v>0.23684455687494177</v>
      </c>
      <c r="W50" s="1"/>
      <c r="X50" s="1">
        <f t="shared" si="36"/>
        <v>-7.0000000006984919E-2</v>
      </c>
      <c r="Y50" s="1"/>
      <c r="Z50" s="5">
        <f t="shared" si="37"/>
        <v>-1.0590015129649761E-6</v>
      </c>
    </row>
    <row r="51" spans="1:26" s="24" customFormat="1" hidden="1" outlineLevel="2" x14ac:dyDescent="0.25">
      <c r="A51" s="26"/>
      <c r="B51" s="11" t="str">
        <f>CONCATENATE("          ", "6321", " - ", "BUILDING DEPRECIATION")</f>
        <v xml:space="preserve">          6321 - BUILDING DEPRECIATION</v>
      </c>
      <c r="C51" s="11"/>
      <c r="D51" s="6">
        <v>5080.4799999999996</v>
      </c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5080.4799999999996</v>
      </c>
      <c r="M51" s="2"/>
      <c r="N51" s="7">
        <f t="shared" si="33"/>
        <v>0</v>
      </c>
      <c r="O51" s="11"/>
      <c r="P51" s="6">
        <v>60966.09</v>
      </c>
      <c r="Q51" s="2"/>
      <c r="R51" s="7">
        <f t="shared" si="34"/>
        <v>0</v>
      </c>
      <c r="S51" s="2"/>
      <c r="T51" s="6"/>
      <c r="U51" s="2"/>
      <c r="V51" s="7">
        <f t="shared" si="35"/>
        <v>0</v>
      </c>
      <c r="W51" s="2"/>
      <c r="X51" s="6">
        <f t="shared" si="36"/>
        <v>60966.09</v>
      </c>
      <c r="Y51" s="2"/>
      <c r="Z51" s="7">
        <f t="shared" si="37"/>
        <v>0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390.64</v>
      </c>
      <c r="E52" s="2"/>
      <c r="F52" s="7">
        <f t="shared" si="30"/>
        <v>0</v>
      </c>
      <c r="G52" s="2"/>
      <c r="H52" s="6">
        <v>5471</v>
      </c>
      <c r="I52" s="2"/>
      <c r="J52" s="7">
        <f t="shared" si="31"/>
        <v>0.82444243520192884</v>
      </c>
      <c r="K52" s="2"/>
      <c r="L52" s="6">
        <f t="shared" si="32"/>
        <v>-5080.3599999999997</v>
      </c>
      <c r="M52" s="2"/>
      <c r="N52" s="7">
        <f t="shared" si="33"/>
        <v>-0.92859806251142385</v>
      </c>
      <c r="O52" s="11"/>
      <c r="P52" s="6">
        <v>5133.84</v>
      </c>
      <c r="Q52" s="2"/>
      <c r="R52" s="7">
        <f t="shared" si="34"/>
        <v>0</v>
      </c>
      <c r="S52" s="2"/>
      <c r="T52" s="6">
        <v>66100</v>
      </c>
      <c r="U52" s="2"/>
      <c r="V52" s="7">
        <f t="shared" si="35"/>
        <v>0.23684455687494177</v>
      </c>
      <c r="W52" s="2"/>
      <c r="X52" s="6">
        <f t="shared" si="36"/>
        <v>-60966.16</v>
      </c>
      <c r="Y52" s="2"/>
      <c r="Z52" s="7">
        <f t="shared" si="37"/>
        <v>-0.92233222390317704</v>
      </c>
    </row>
    <row r="53" spans="1:26" s="27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0</v>
      </c>
      <c r="I53" s="1"/>
      <c r="J53" s="5">
        <f t="shared" ref="J53:J67" si="39">IF(H$12=0,0,H53/H$12)</f>
        <v>0</v>
      </c>
      <c r="K53" s="1"/>
      <c r="L53" s="1">
        <f t="shared" ref="L53:L67" si="40">+D53-H53</f>
        <v>0</v>
      </c>
      <c r="M53" s="1"/>
      <c r="N53" s="5">
        <f t="shared" ref="N53:N67" si="41">IF(H53=0,0,L53/H53)</f>
        <v>0</v>
      </c>
      <c r="O53" s="13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150</v>
      </c>
      <c r="U53" s="1"/>
      <c r="V53" s="5">
        <f t="shared" ref="V53:V67" si="43">IF(T$12=0,0,T53/T$12)</f>
        <v>5.374687372351175E-4</v>
      </c>
      <c r="W53" s="1"/>
      <c r="X53" s="1">
        <f t="shared" ref="X53:X67" si="44">+P53-T53</f>
        <v>-150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/>
      <c r="Q54" s="2"/>
      <c r="R54" s="7">
        <f t="shared" si="42"/>
        <v>0</v>
      </c>
      <c r="S54" s="2"/>
      <c r="T54" s="6">
        <v>150</v>
      </c>
      <c r="U54" s="2"/>
      <c r="V54" s="7">
        <f t="shared" si="43"/>
        <v>5.374687372351175E-4</v>
      </c>
      <c r="W54" s="2"/>
      <c r="X54" s="6">
        <f t="shared" si="44"/>
        <v>-150</v>
      </c>
      <c r="Y54" s="2"/>
      <c r="Z54" s="7">
        <f t="shared" si="45"/>
        <v>-1</v>
      </c>
    </row>
    <row r="55" spans="1:26" s="27" customFormat="1" outlineLevel="1" collapsed="1" x14ac:dyDescent="0.25">
      <c r="A55" s="25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2.2001205545509342E-2</v>
      </c>
      <c r="K55" s="1"/>
      <c r="L55" s="1">
        <f t="shared" si="40"/>
        <v>-146</v>
      </c>
      <c r="M55" s="1"/>
      <c r="N55" s="5">
        <f t="shared" si="41"/>
        <v>-1</v>
      </c>
      <c r="O55" s="13"/>
      <c r="P55" s="1">
        <f>SUM(OSRRefP22_7x_0)</f>
        <v>605.35</v>
      </c>
      <c r="Q55" s="1"/>
      <c r="R55" s="5">
        <f t="shared" si="42"/>
        <v>0</v>
      </c>
      <c r="S55" s="1"/>
      <c r="T55" s="1">
        <f>SUM(OSRRefT22_7x_0)</f>
        <v>1314</v>
      </c>
      <c r="U55" s="1"/>
      <c r="V55" s="5">
        <f t="shared" si="43"/>
        <v>4.7082261381796294E-3</v>
      </c>
      <c r="W55" s="1"/>
      <c r="X55" s="1">
        <f t="shared" si="44"/>
        <v>-708.65</v>
      </c>
      <c r="Y55" s="1"/>
      <c r="Z55" s="5">
        <f t="shared" si="45"/>
        <v>-0.53930745814307457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/>
      <c r="E56" s="2"/>
      <c r="F56" s="7">
        <f t="shared" si="38"/>
        <v>0</v>
      </c>
      <c r="G56" s="2"/>
      <c r="H56" s="6">
        <v>146</v>
      </c>
      <c r="I56" s="2"/>
      <c r="J56" s="7">
        <f t="shared" si="39"/>
        <v>2.2001205545509342E-2</v>
      </c>
      <c r="K56" s="2"/>
      <c r="L56" s="6">
        <f t="shared" si="40"/>
        <v>-146</v>
      </c>
      <c r="M56" s="2"/>
      <c r="N56" s="7">
        <f t="shared" si="41"/>
        <v>-1</v>
      </c>
      <c r="O56" s="11"/>
      <c r="P56" s="6">
        <v>605.35</v>
      </c>
      <c r="Q56" s="2"/>
      <c r="R56" s="7">
        <f t="shared" si="42"/>
        <v>0</v>
      </c>
      <c r="S56" s="2"/>
      <c r="T56" s="6">
        <v>1314</v>
      </c>
      <c r="U56" s="2"/>
      <c r="V56" s="7">
        <f t="shared" si="43"/>
        <v>4.7082261381796294E-3</v>
      </c>
      <c r="W56" s="2"/>
      <c r="X56" s="6">
        <f t="shared" si="44"/>
        <v>-708.65</v>
      </c>
      <c r="Y56" s="2"/>
      <c r="Z56" s="7">
        <f t="shared" si="45"/>
        <v>-0.53930745814307457</v>
      </c>
    </row>
    <row r="57" spans="1:26" s="27" customFormat="1" outlineLevel="1" collapsed="1" x14ac:dyDescent="0.25">
      <c r="A57" s="25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3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2.8664999319206268E-3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>
        <v>914.55</v>
      </c>
      <c r="Q58" s="2"/>
      <c r="R58" s="7">
        <f t="shared" si="42"/>
        <v>0</v>
      </c>
      <c r="S58" s="2"/>
      <c r="T58" s="6">
        <v>800</v>
      </c>
      <c r="U58" s="2"/>
      <c r="V58" s="7">
        <f t="shared" si="43"/>
        <v>2.8664999319206268E-3</v>
      </c>
      <c r="W58" s="2"/>
      <c r="X58" s="6">
        <f t="shared" si="44"/>
        <v>114.54999999999995</v>
      </c>
      <c r="Y58" s="2"/>
      <c r="Z58" s="7">
        <f t="shared" si="45"/>
        <v>0.14318749999999994</v>
      </c>
    </row>
    <row r="59" spans="1:26" s="27" customFormat="1" outlineLevel="1" collapsed="1" x14ac:dyDescent="0.25">
      <c r="A59" s="25"/>
      <c r="B59" s="13" t="str">
        <f>CONCATENATE("     ","Insurance                                         ")</f>
        <v xml:space="preserve">     Insurance                                         </v>
      </c>
      <c r="C59" s="13"/>
      <c r="D59" s="1">
        <f>SUM(OSRRefD22_9x_0)</f>
        <v>522.85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4.0687160940325498E-2</v>
      </c>
      <c r="K59" s="1"/>
      <c r="L59" s="1">
        <f t="shared" si="40"/>
        <v>252.85000000000002</v>
      </c>
      <c r="M59" s="1"/>
      <c r="N59" s="5">
        <f t="shared" si="41"/>
        <v>0.93648148148148158</v>
      </c>
      <c r="O59" s="13"/>
      <c r="P59" s="1">
        <f>SUM(OSRRefP22_9x_0)</f>
        <v>3201.79</v>
      </c>
      <c r="Q59" s="1"/>
      <c r="R59" s="5">
        <f t="shared" si="42"/>
        <v>0</v>
      </c>
      <c r="S59" s="1"/>
      <c r="T59" s="1">
        <f>SUM(OSRRefT22_9x_0)</f>
        <v>3240</v>
      </c>
      <c r="U59" s="1"/>
      <c r="V59" s="5">
        <f t="shared" si="43"/>
        <v>1.1609324724278537E-2</v>
      </c>
      <c r="W59" s="1"/>
      <c r="X59" s="1">
        <f t="shared" si="44"/>
        <v>-38.210000000000036</v>
      </c>
      <c r="Y59" s="1"/>
      <c r="Z59" s="5">
        <f t="shared" si="45"/>
        <v>-1.1793209876543221E-2</v>
      </c>
    </row>
    <row r="60" spans="1:26" s="24" customFormat="1" hidden="1" outlineLevel="2" x14ac:dyDescent="0.25">
      <c r="A60" s="26"/>
      <c r="B60" s="11" t="str">
        <f>CONCATENATE("          ", "6314", " - ", "LIABILITY INSURANCE")</f>
        <v xml:space="preserve">          6314 - LIABILITY INSURANCE</v>
      </c>
      <c r="C60" s="11"/>
      <c r="D60" s="6">
        <v>522.85</v>
      </c>
      <c r="E60" s="2"/>
      <c r="F60" s="7">
        <f t="shared" si="38"/>
        <v>0</v>
      </c>
      <c r="G60" s="2"/>
      <c r="H60" s="6">
        <v>270</v>
      </c>
      <c r="I60" s="2"/>
      <c r="J60" s="7">
        <f t="shared" si="39"/>
        <v>4.0687160940325498E-2</v>
      </c>
      <c r="K60" s="2"/>
      <c r="L60" s="6">
        <f t="shared" si="40"/>
        <v>252.85000000000002</v>
      </c>
      <c r="M60" s="2"/>
      <c r="N60" s="7">
        <f t="shared" si="41"/>
        <v>0.93648148148148158</v>
      </c>
      <c r="O60" s="11"/>
      <c r="P60" s="6">
        <v>3201.79</v>
      </c>
      <c r="Q60" s="2"/>
      <c r="R60" s="7">
        <f t="shared" si="42"/>
        <v>0</v>
      </c>
      <c r="S60" s="2"/>
      <c r="T60" s="6">
        <v>3240</v>
      </c>
      <c r="U60" s="2"/>
      <c r="V60" s="7">
        <f t="shared" si="43"/>
        <v>1.1609324724278537E-2</v>
      </c>
      <c r="W60" s="2"/>
      <c r="X60" s="6">
        <f t="shared" si="44"/>
        <v>-38.210000000000036</v>
      </c>
      <c r="Y60" s="2"/>
      <c r="Z60" s="7">
        <f t="shared" si="45"/>
        <v>-1.1793209876543221E-2</v>
      </c>
    </row>
    <row r="61" spans="1:26" s="27" customFormat="1" outlineLevel="1" collapsed="1" x14ac:dyDescent="0.25">
      <c r="A61" s="25"/>
      <c r="B61" s="13" t="str">
        <f>CONCATENATE("     ","Interest                                          ")</f>
        <v xml:space="preserve">     Interest                                          </v>
      </c>
      <c r="C61" s="13"/>
      <c r="D61" s="1">
        <f>SUM(OSRRefD22_10x_0)</f>
        <v>-439.07</v>
      </c>
      <c r="E61" s="1"/>
      <c r="F61" s="5">
        <f t="shared" si="38"/>
        <v>0</v>
      </c>
      <c r="G61" s="1"/>
      <c r="H61" s="1">
        <f>SUM(OSRRefH22_10x_0)</f>
        <v>3905</v>
      </c>
      <c r="I61" s="1"/>
      <c r="J61" s="5">
        <f t="shared" si="39"/>
        <v>0.58845690174804099</v>
      </c>
      <c r="K61" s="1"/>
      <c r="L61" s="1">
        <f t="shared" si="40"/>
        <v>-4344.07</v>
      </c>
      <c r="M61" s="1"/>
      <c r="N61" s="5">
        <f t="shared" si="41"/>
        <v>-1.1124379001280409</v>
      </c>
      <c r="O61" s="13"/>
      <c r="P61" s="1">
        <f>SUM(OSRRefP22_10x_0)</f>
        <v>42951.78</v>
      </c>
      <c r="Q61" s="1"/>
      <c r="R61" s="5">
        <f t="shared" si="42"/>
        <v>0</v>
      </c>
      <c r="S61" s="1"/>
      <c r="T61" s="1">
        <f>SUM(OSRRefT22_10x_0)</f>
        <v>48250</v>
      </c>
      <c r="U61" s="1"/>
      <c r="V61" s="5">
        <f t="shared" si="43"/>
        <v>0.1728857771439628</v>
      </c>
      <c r="W61" s="1"/>
      <c r="X61" s="1">
        <f t="shared" si="44"/>
        <v>-5298.2200000000012</v>
      </c>
      <c r="Y61" s="1"/>
      <c r="Z61" s="5">
        <f t="shared" si="45"/>
        <v>-0.10980766839378241</v>
      </c>
    </row>
    <row r="62" spans="1:26" s="24" customFormat="1" hidden="1" outlineLevel="2" x14ac:dyDescent="0.25">
      <c r="A62" s="26"/>
      <c r="B62" s="11" t="str">
        <f>CONCATENATE("          ", "6401", " - ", "INTEREST EXPENSE")</f>
        <v xml:space="preserve">          6401 - INTEREST EXPENSE</v>
      </c>
      <c r="C62" s="11"/>
      <c r="D62" s="6">
        <v>-439.07</v>
      </c>
      <c r="E62" s="2"/>
      <c r="F62" s="7">
        <f t="shared" si="38"/>
        <v>0</v>
      </c>
      <c r="G62" s="2"/>
      <c r="H62" s="6">
        <v>3905</v>
      </c>
      <c r="I62" s="2"/>
      <c r="J62" s="7">
        <f t="shared" si="39"/>
        <v>0.58845690174804099</v>
      </c>
      <c r="K62" s="2"/>
      <c r="L62" s="6">
        <f t="shared" si="40"/>
        <v>-4344.07</v>
      </c>
      <c r="M62" s="2"/>
      <c r="N62" s="7">
        <f t="shared" si="41"/>
        <v>-1.1124379001280409</v>
      </c>
      <c r="O62" s="11"/>
      <c r="P62" s="6">
        <v>42951.78</v>
      </c>
      <c r="Q62" s="2"/>
      <c r="R62" s="7">
        <f t="shared" si="42"/>
        <v>0</v>
      </c>
      <c r="S62" s="2"/>
      <c r="T62" s="6">
        <v>48250</v>
      </c>
      <c r="U62" s="2"/>
      <c r="V62" s="7">
        <f t="shared" si="43"/>
        <v>0.1728857771439628</v>
      </c>
      <c r="W62" s="2"/>
      <c r="X62" s="6">
        <f t="shared" si="44"/>
        <v>-5298.2200000000012</v>
      </c>
      <c r="Y62" s="2"/>
      <c r="Z62" s="7">
        <f t="shared" si="45"/>
        <v>-0.10980766839378241</v>
      </c>
    </row>
    <row r="63" spans="1:26" s="27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SUM(OSRRefD22_11x_0)</f>
        <v>107.78</v>
      </c>
      <c r="E63" s="1"/>
      <c r="F63" s="5">
        <f t="shared" si="38"/>
        <v>0</v>
      </c>
      <c r="G63" s="1"/>
      <c r="H63" s="1">
        <f>SUM(OSRRefH22_11x_0)</f>
        <v>0</v>
      </c>
      <c r="I63" s="1"/>
      <c r="J63" s="5">
        <f t="shared" si="39"/>
        <v>0</v>
      </c>
      <c r="K63" s="1"/>
      <c r="L63" s="1">
        <f t="shared" si="40"/>
        <v>107.78</v>
      </c>
      <c r="M63" s="1"/>
      <c r="N63" s="5">
        <f t="shared" si="41"/>
        <v>0</v>
      </c>
      <c r="O63" s="13"/>
      <c r="P63" s="1">
        <f>SUM(OSRRefP22_11x_0)</f>
        <v>950.06999999999994</v>
      </c>
      <c r="Q63" s="1"/>
      <c r="R63" s="5">
        <f t="shared" si="42"/>
        <v>0</v>
      </c>
      <c r="S63" s="1"/>
      <c r="T63" s="1">
        <f>SUM(OSRRefT22_11x_0)</f>
        <v>1247</v>
      </c>
      <c r="U63" s="1"/>
      <c r="V63" s="5">
        <f t="shared" si="43"/>
        <v>4.4681567688812764E-3</v>
      </c>
      <c r="W63" s="1"/>
      <c r="X63" s="1">
        <f t="shared" si="44"/>
        <v>-296.93000000000006</v>
      </c>
      <c r="Y63" s="1"/>
      <c r="Z63" s="5">
        <f t="shared" si="45"/>
        <v>-0.23811547714514841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1"/>
      <c r="P64" s="6"/>
      <c r="Q64" s="2"/>
      <c r="R64" s="7">
        <f t="shared" si="42"/>
        <v>0</v>
      </c>
      <c r="S64" s="2"/>
      <c r="T64" s="6">
        <v>43</v>
      </c>
      <c r="U64" s="2"/>
      <c r="V64" s="7">
        <f t="shared" si="43"/>
        <v>1.5407437134073369E-4</v>
      </c>
      <c r="W64" s="2"/>
      <c r="X64" s="6">
        <f t="shared" si="44"/>
        <v>-43</v>
      </c>
      <c r="Y64" s="2"/>
      <c r="Z64" s="7">
        <f t="shared" si="45"/>
        <v>-1</v>
      </c>
    </row>
    <row r="65" spans="1:26" s="24" customFormat="1" hidden="1" outlineLevel="2" x14ac:dyDescent="0.25">
      <c r="A65" s="26"/>
      <c r="B65" s="11" t="str">
        <f>CONCATENATE("          ", "6372", " - ", "COMPUTER HARDWARE MAINTENANCE")</f>
        <v xml:space="preserve">          6372 - COMPUTER HARDWARE MAINTENANCE</v>
      </c>
      <c r="C65" s="11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1"/>
      <c r="P65" s="6"/>
      <c r="Q65" s="2"/>
      <c r="R65" s="7">
        <f t="shared" si="42"/>
        <v>0</v>
      </c>
      <c r="S65" s="2"/>
      <c r="T65" s="6">
        <v>437</v>
      </c>
      <c r="U65" s="2"/>
      <c r="V65" s="7">
        <f t="shared" si="43"/>
        <v>1.5658255878116423E-3</v>
      </c>
      <c r="W65" s="2"/>
      <c r="X65" s="6">
        <f t="shared" si="44"/>
        <v>-437</v>
      </c>
      <c r="Y65" s="2"/>
      <c r="Z65" s="7">
        <f t="shared" si="45"/>
        <v>-1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6">
        <v>107.78</v>
      </c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107.78</v>
      </c>
      <c r="M66" s="2"/>
      <c r="N66" s="7">
        <f t="shared" si="41"/>
        <v>0</v>
      </c>
      <c r="O66" s="11"/>
      <c r="P66" s="6">
        <v>511.94</v>
      </c>
      <c r="Q66" s="2"/>
      <c r="R66" s="7">
        <f t="shared" si="42"/>
        <v>0</v>
      </c>
      <c r="S66" s="2"/>
      <c r="T66" s="6">
        <v>231</v>
      </c>
      <c r="U66" s="2"/>
      <c r="V66" s="7">
        <f t="shared" si="43"/>
        <v>8.2770185534208093E-4</v>
      </c>
      <c r="W66" s="2"/>
      <c r="X66" s="6">
        <f t="shared" si="44"/>
        <v>280.94</v>
      </c>
      <c r="Y66" s="2"/>
      <c r="Z66" s="7">
        <f t="shared" si="45"/>
        <v>1.2161904761904763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1"/>
      <c r="P67" s="6">
        <v>438.13</v>
      </c>
      <c r="Q67" s="2"/>
      <c r="R67" s="7">
        <f t="shared" si="42"/>
        <v>0</v>
      </c>
      <c r="S67" s="2"/>
      <c r="T67" s="6">
        <v>536</v>
      </c>
      <c r="U67" s="2"/>
      <c r="V67" s="7">
        <f t="shared" si="43"/>
        <v>1.9205549543868199E-3</v>
      </c>
      <c r="W67" s="2"/>
      <c r="X67" s="6">
        <f t="shared" si="44"/>
        <v>-97.87</v>
      </c>
      <c r="Y67" s="2"/>
      <c r="Z67" s="7">
        <f t="shared" si="45"/>
        <v>-0.18259328358208957</v>
      </c>
    </row>
    <row r="68" spans="1:26" s="27" customFormat="1" outlineLevel="1" collapsed="1" x14ac:dyDescent="0.25">
      <c r="A68" s="25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-22.599999999999994</v>
      </c>
      <c r="E68" s="1"/>
      <c r="F68" s="5">
        <f t="shared" ref="F68:F71" si="46">IF(D$12=0,0,D68/D$12)</f>
        <v>0</v>
      </c>
      <c r="G68" s="1"/>
      <c r="H68" s="1">
        <f>SUM(OSRRefH22_12x_0)</f>
        <v>341</v>
      </c>
      <c r="I68" s="1"/>
      <c r="J68" s="5">
        <f t="shared" ref="J68:J71" si="47">IF(H$12=0,0,H68/H$12)</f>
        <v>5.1386377335744422E-2</v>
      </c>
      <c r="K68" s="1"/>
      <c r="L68" s="1">
        <f t="shared" ref="L68:L71" si="48">+D68-H68</f>
        <v>-363.6</v>
      </c>
      <c r="M68" s="1"/>
      <c r="N68" s="5">
        <f t="shared" ref="N68:N71" si="49">IF(H68=0,0,L68/H68)</f>
        <v>-1.066275659824047</v>
      </c>
      <c r="O68" s="13"/>
      <c r="P68" s="1">
        <f>SUM(OSRRefP22_12x_0)</f>
        <v>2385.5500000000002</v>
      </c>
      <c r="Q68" s="1"/>
      <c r="R68" s="5">
        <f t="shared" ref="R68:R71" si="50">IF(P$12=0,0,P68/P$12)</f>
        <v>0</v>
      </c>
      <c r="S68" s="1"/>
      <c r="T68" s="1">
        <f>SUM(OSRRefT22_12x_0)</f>
        <v>6220</v>
      </c>
      <c r="U68" s="1"/>
      <c r="V68" s="5">
        <f t="shared" ref="V68:V71" si="51">IF(T$12=0,0,T68/T$12)</f>
        <v>2.2287036970682871E-2</v>
      </c>
      <c r="W68" s="1"/>
      <c r="X68" s="1">
        <f t="shared" ref="X68:X71" si="52">+P68-T68</f>
        <v>-3834.45</v>
      </c>
      <c r="Y68" s="1"/>
      <c r="Z68" s="5">
        <f t="shared" ref="Z68:Z71" si="53">IF(T68=0,0,X68/T68)</f>
        <v>-0.61647106109324756</v>
      </c>
    </row>
    <row r="69" spans="1:26" s="24" customFormat="1" hidden="1" outlineLevel="2" x14ac:dyDescent="0.25">
      <c r="A69" s="26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168.4</v>
      </c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168.4</v>
      </c>
      <c r="M69" s="2"/>
      <c r="N69" s="7">
        <f t="shared" si="49"/>
        <v>0</v>
      </c>
      <c r="O69" s="11"/>
      <c r="P69" s="6">
        <v>1123.55</v>
      </c>
      <c r="Q69" s="2"/>
      <c r="R69" s="7">
        <f t="shared" si="50"/>
        <v>0</v>
      </c>
      <c r="S69" s="2"/>
      <c r="T69" s="6">
        <v>1616</v>
      </c>
      <c r="U69" s="2"/>
      <c r="V69" s="7">
        <f t="shared" si="51"/>
        <v>5.7903298624796661E-3</v>
      </c>
      <c r="W69" s="2"/>
      <c r="X69" s="6">
        <f t="shared" si="52"/>
        <v>-492.45000000000005</v>
      </c>
      <c r="Y69" s="2"/>
      <c r="Z69" s="7">
        <f t="shared" si="53"/>
        <v>-0.30473391089108914</v>
      </c>
    </row>
    <row r="70" spans="1:26" s="24" customFormat="1" hidden="1" outlineLevel="2" x14ac:dyDescent="0.25">
      <c r="A70" s="26"/>
      <c r="B70" s="11" t="str">
        <f>CONCATENATE("          ", "6284", " - ", "TRASH REMOVAL EXPENSE")</f>
        <v xml:space="preserve">          6284 - TRASH REMOVAL EXPENSE</v>
      </c>
      <c r="C70" s="11"/>
      <c r="D70" s="6">
        <v>-191</v>
      </c>
      <c r="E70" s="2"/>
      <c r="F70" s="7">
        <f t="shared" si="46"/>
        <v>0</v>
      </c>
      <c r="G70" s="2"/>
      <c r="H70" s="6">
        <v>237</v>
      </c>
      <c r="I70" s="2"/>
      <c r="J70" s="7">
        <f t="shared" si="47"/>
        <v>3.5714285714285712E-2</v>
      </c>
      <c r="K70" s="2"/>
      <c r="L70" s="6">
        <f t="shared" si="48"/>
        <v>-428</v>
      </c>
      <c r="M70" s="2"/>
      <c r="N70" s="7">
        <f t="shared" si="49"/>
        <v>-1.8059071729957805</v>
      </c>
      <c r="O70" s="11"/>
      <c r="P70" s="6">
        <v>1262</v>
      </c>
      <c r="Q70" s="2"/>
      <c r="R70" s="7">
        <f t="shared" si="50"/>
        <v>0</v>
      </c>
      <c r="S70" s="2"/>
      <c r="T70" s="6">
        <v>3363</v>
      </c>
      <c r="U70" s="2"/>
      <c r="V70" s="7">
        <f t="shared" si="51"/>
        <v>1.2050049088811333E-2</v>
      </c>
      <c r="W70" s="2"/>
      <c r="X70" s="6">
        <f t="shared" si="52"/>
        <v>-2101</v>
      </c>
      <c r="Y70" s="2"/>
      <c r="Z70" s="7">
        <f t="shared" si="53"/>
        <v>-0.62473981564079695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6"/>
        <v>0</v>
      </c>
      <c r="G71" s="2"/>
      <c r="H71" s="6">
        <v>104</v>
      </c>
      <c r="I71" s="2"/>
      <c r="J71" s="7">
        <f t="shared" si="47"/>
        <v>1.567209162145871E-2</v>
      </c>
      <c r="K71" s="2"/>
      <c r="L71" s="6">
        <f t="shared" si="48"/>
        <v>-104</v>
      </c>
      <c r="M71" s="2"/>
      <c r="N71" s="7">
        <f t="shared" si="49"/>
        <v>-1</v>
      </c>
      <c r="O71" s="11"/>
      <c r="P71" s="6"/>
      <c r="Q71" s="2"/>
      <c r="R71" s="7">
        <f t="shared" si="50"/>
        <v>0</v>
      </c>
      <c r="S71" s="2"/>
      <c r="T71" s="6">
        <v>1241</v>
      </c>
      <c r="U71" s="2"/>
      <c r="V71" s="7">
        <f t="shared" si="51"/>
        <v>4.4466580193918718E-3</v>
      </c>
      <c r="W71" s="2"/>
      <c r="X71" s="6">
        <f t="shared" si="52"/>
        <v>-1241</v>
      </c>
      <c r="Y71" s="2"/>
      <c r="Z71" s="7">
        <f t="shared" si="53"/>
        <v>-1</v>
      </c>
    </row>
    <row r="72" spans="1:26" s="27" customFormat="1" outlineLevel="1" collapsed="1" x14ac:dyDescent="0.25">
      <c r="A72" s="25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2.6522001205545511E-2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3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2112</v>
      </c>
      <c r="U72" s="1"/>
      <c r="V72" s="5">
        <f t="shared" ref="V72:V79" si="59">IF(T$12=0,0,T72/T$12)</f>
        <v>7.5675598202704546E-3</v>
      </c>
      <c r="W72" s="1"/>
      <c r="X72" s="1">
        <f t="shared" ref="X72:X79" si="60">+P72-T72</f>
        <v>-2112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6"/>
      <c r="B73" s="11" t="str">
        <f>CONCATENATE("          ", "6275", " - ", "SUBSCRIPTIONS")</f>
        <v xml:space="preserve">          6275 - SUBSCRIPTIONS</v>
      </c>
      <c r="C73" s="11"/>
      <c r="D73" s="6"/>
      <c r="E73" s="2"/>
      <c r="F73" s="7">
        <f t="shared" si="54"/>
        <v>0</v>
      </c>
      <c r="G73" s="2"/>
      <c r="H73" s="6">
        <v>176</v>
      </c>
      <c r="I73" s="2"/>
      <c r="J73" s="7">
        <f t="shared" si="55"/>
        <v>2.6522001205545511E-2</v>
      </c>
      <c r="K73" s="2"/>
      <c r="L73" s="6">
        <f t="shared" si="56"/>
        <v>-176</v>
      </c>
      <c r="M73" s="2"/>
      <c r="N73" s="7">
        <f t="shared" si="57"/>
        <v>-1</v>
      </c>
      <c r="O73" s="11"/>
      <c r="P73" s="6"/>
      <c r="Q73" s="2"/>
      <c r="R73" s="7">
        <f t="shared" si="58"/>
        <v>0</v>
      </c>
      <c r="S73" s="2"/>
      <c r="T73" s="6">
        <v>2112</v>
      </c>
      <c r="U73" s="2"/>
      <c r="V73" s="7">
        <f t="shared" si="59"/>
        <v>7.5675598202704546E-3</v>
      </c>
      <c r="W73" s="2"/>
      <c r="X73" s="6">
        <f t="shared" si="60"/>
        <v>-2112</v>
      </c>
      <c r="Y73" s="2"/>
      <c r="Z73" s="7">
        <f t="shared" si="61"/>
        <v>-1</v>
      </c>
    </row>
    <row r="74" spans="1:26" s="27" customFormat="1" outlineLevel="1" collapsed="1" x14ac:dyDescent="0.25">
      <c r="A74" s="25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100</v>
      </c>
      <c r="I74" s="1"/>
      <c r="J74" s="5">
        <f t="shared" si="55"/>
        <v>1.5069318866787222E-2</v>
      </c>
      <c r="K74" s="1"/>
      <c r="L74" s="1">
        <f t="shared" si="56"/>
        <v>-100</v>
      </c>
      <c r="M74" s="1"/>
      <c r="N74" s="5">
        <f t="shared" si="57"/>
        <v>-1</v>
      </c>
      <c r="O74" s="13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14003</v>
      </c>
      <c r="U74" s="1"/>
      <c r="V74" s="5">
        <f t="shared" si="59"/>
        <v>5.0174498183355669E-2</v>
      </c>
      <c r="W74" s="1"/>
      <c r="X74" s="1">
        <f t="shared" si="60"/>
        <v>-13368.76</v>
      </c>
      <c r="Y74" s="1"/>
      <c r="Z74" s="5">
        <f t="shared" si="61"/>
        <v>-0.95470684853245735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54"/>
        <v>0</v>
      </c>
      <c r="G75" s="2"/>
      <c r="H75" s="6"/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>
        <v>316.67</v>
      </c>
      <c r="Q75" s="2"/>
      <c r="R75" s="7">
        <f t="shared" si="58"/>
        <v>0</v>
      </c>
      <c r="S75" s="2"/>
      <c r="T75" s="6">
        <v>28</v>
      </c>
      <c r="U75" s="2"/>
      <c r="V75" s="7">
        <f t="shared" si="59"/>
        <v>1.0032749761722193E-4</v>
      </c>
      <c r="W75" s="2"/>
      <c r="X75" s="6">
        <f t="shared" si="60"/>
        <v>288.67</v>
      </c>
      <c r="Y75" s="2"/>
      <c r="Z75" s="7">
        <f t="shared" si="61"/>
        <v>10.309642857142858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54"/>
        <v>0</v>
      </c>
      <c r="G76" s="2"/>
      <c r="H76" s="6">
        <v>100</v>
      </c>
      <c r="I76" s="2"/>
      <c r="J76" s="7">
        <f t="shared" si="55"/>
        <v>1.5069318866787222E-2</v>
      </c>
      <c r="K76" s="2"/>
      <c r="L76" s="6">
        <f t="shared" si="56"/>
        <v>-100</v>
      </c>
      <c r="M76" s="2"/>
      <c r="N76" s="7">
        <f t="shared" si="57"/>
        <v>-1</v>
      </c>
      <c r="O76" s="11"/>
      <c r="P76" s="6"/>
      <c r="Q76" s="2"/>
      <c r="R76" s="7">
        <f t="shared" si="58"/>
        <v>0</v>
      </c>
      <c r="S76" s="2"/>
      <c r="T76" s="6">
        <v>2900</v>
      </c>
      <c r="U76" s="2"/>
      <c r="V76" s="7">
        <f t="shared" si="59"/>
        <v>1.0391062253212272E-2</v>
      </c>
      <c r="W76" s="2"/>
      <c r="X76" s="6">
        <f t="shared" si="60"/>
        <v>-2900</v>
      </c>
      <c r="Y76" s="2"/>
      <c r="Z76" s="7">
        <f t="shared" si="61"/>
        <v>-1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6"/>
      <c r="E77" s="2"/>
      <c r="F77" s="7">
        <f t="shared" si="54"/>
        <v>0</v>
      </c>
      <c r="G77" s="2"/>
      <c r="H77" s="6"/>
      <c r="I77" s="2"/>
      <c r="J77" s="7">
        <f t="shared" si="55"/>
        <v>0</v>
      </c>
      <c r="K77" s="2"/>
      <c r="L77" s="6">
        <f t="shared" si="56"/>
        <v>0</v>
      </c>
      <c r="M77" s="2"/>
      <c r="N77" s="7">
        <f t="shared" si="57"/>
        <v>0</v>
      </c>
      <c r="O77" s="11"/>
      <c r="P77" s="6">
        <v>317.57</v>
      </c>
      <c r="Q77" s="2"/>
      <c r="R77" s="7">
        <f t="shared" si="58"/>
        <v>0</v>
      </c>
      <c r="S77" s="2"/>
      <c r="T77" s="6">
        <v>1774</v>
      </c>
      <c r="U77" s="2"/>
      <c r="V77" s="7">
        <f t="shared" si="59"/>
        <v>6.3564635990339896E-3</v>
      </c>
      <c r="W77" s="2"/>
      <c r="X77" s="6">
        <f t="shared" si="60"/>
        <v>-1456.43</v>
      </c>
      <c r="Y77" s="2"/>
      <c r="Z77" s="7">
        <f t="shared" si="61"/>
        <v>-0.82098647125140933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1"/>
      <c r="P78" s="6"/>
      <c r="Q78" s="2"/>
      <c r="R78" s="7">
        <f t="shared" si="58"/>
        <v>0</v>
      </c>
      <c r="S78" s="2"/>
      <c r="T78" s="6">
        <v>1507</v>
      </c>
      <c r="U78" s="2"/>
      <c r="V78" s="7">
        <f t="shared" si="59"/>
        <v>5.3997692467554802E-3</v>
      </c>
      <c r="W78" s="2"/>
      <c r="X78" s="6">
        <f t="shared" si="60"/>
        <v>-1507</v>
      </c>
      <c r="Y78" s="2"/>
      <c r="Z78" s="7">
        <f t="shared" si="61"/>
        <v>-1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54"/>
        <v>0</v>
      </c>
      <c r="G79" s="2"/>
      <c r="H79" s="6"/>
      <c r="I79" s="2"/>
      <c r="J79" s="7">
        <f t="shared" si="55"/>
        <v>0</v>
      </c>
      <c r="K79" s="2"/>
      <c r="L79" s="6">
        <f t="shared" si="56"/>
        <v>0</v>
      </c>
      <c r="M79" s="2"/>
      <c r="N79" s="7">
        <f t="shared" si="57"/>
        <v>0</v>
      </c>
      <c r="O79" s="11"/>
      <c r="P79" s="6"/>
      <c r="Q79" s="2"/>
      <c r="R79" s="7">
        <f t="shared" si="58"/>
        <v>0</v>
      </c>
      <c r="S79" s="2"/>
      <c r="T79" s="6">
        <v>7794</v>
      </c>
      <c r="U79" s="2"/>
      <c r="V79" s="7">
        <f t="shared" si="59"/>
        <v>2.7926875586736705E-2</v>
      </c>
      <c r="W79" s="2"/>
      <c r="X79" s="6">
        <f t="shared" si="60"/>
        <v>-7794</v>
      </c>
      <c r="Y79" s="2"/>
      <c r="Z79" s="7">
        <f t="shared" si="61"/>
        <v>-1</v>
      </c>
    </row>
    <row r="80" spans="1:26" s="27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22</v>
      </c>
      <c r="E80" s="1"/>
      <c r="F80" s="5">
        <f t="shared" ref="F80:F82" si="62">IF(D$12=0,0,D80/D$12)</f>
        <v>0</v>
      </c>
      <c r="G80" s="1"/>
      <c r="H80" s="1">
        <f>SUM(OSRRefH22_15x_0)</f>
        <v>40</v>
      </c>
      <c r="I80" s="1"/>
      <c r="J80" s="5">
        <f t="shared" ref="J80:J82" si="63">IF(H$12=0,0,H80/H$12)</f>
        <v>6.0277275467148887E-3</v>
      </c>
      <c r="K80" s="1"/>
      <c r="L80" s="1">
        <f t="shared" ref="L80:L82" si="64">+D80-H80</f>
        <v>-18</v>
      </c>
      <c r="M80" s="1"/>
      <c r="N80" s="5">
        <f t="shared" ref="N80:N82" si="65">IF(H80=0,0,L80/H80)</f>
        <v>-0.45</v>
      </c>
      <c r="O80" s="13"/>
      <c r="P80" s="1">
        <f>SUM(OSRRefP22_15x_0)</f>
        <v>1019.87</v>
      </c>
      <c r="Q80" s="1"/>
      <c r="R80" s="5">
        <f t="shared" ref="R80:R82" si="66">IF(P$12=0,0,P80/P$12)</f>
        <v>0</v>
      </c>
      <c r="S80" s="1"/>
      <c r="T80" s="1">
        <f>SUM(OSRRefT22_15x_0)</f>
        <v>1075</v>
      </c>
      <c r="U80" s="1"/>
      <c r="V80" s="5">
        <f t="shared" ref="V80:V82" si="67">IF(T$12=0,0,T80/T$12)</f>
        <v>3.8518592835183421E-3</v>
      </c>
      <c r="W80" s="1"/>
      <c r="X80" s="1">
        <f t="shared" ref="X80:X82" si="68">+P80-T80</f>
        <v>-55.129999999999995</v>
      </c>
      <c r="Y80" s="1"/>
      <c r="Z80" s="5">
        <f t="shared" ref="Z80:Z82" si="69">IF(T80=0,0,X80/T80)</f>
        <v>-5.1283720930232556E-2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62"/>
        <v>0</v>
      </c>
      <c r="G81" s="2"/>
      <c r="H81" s="6">
        <v>40</v>
      </c>
      <c r="I81" s="2"/>
      <c r="J81" s="7">
        <f t="shared" si="63"/>
        <v>6.0277275467148887E-3</v>
      </c>
      <c r="K81" s="2"/>
      <c r="L81" s="6">
        <f t="shared" si="64"/>
        <v>-40</v>
      </c>
      <c r="M81" s="2"/>
      <c r="N81" s="7">
        <f t="shared" si="65"/>
        <v>-1</v>
      </c>
      <c r="O81" s="11"/>
      <c r="P81" s="6"/>
      <c r="Q81" s="2"/>
      <c r="R81" s="7">
        <f t="shared" si="66"/>
        <v>0</v>
      </c>
      <c r="S81" s="2"/>
      <c r="T81" s="6">
        <v>475</v>
      </c>
      <c r="U81" s="2"/>
      <c r="V81" s="7">
        <f t="shared" si="67"/>
        <v>1.7019843345778721E-3</v>
      </c>
      <c r="W81" s="2"/>
      <c r="X81" s="6">
        <f t="shared" si="68"/>
        <v>-475</v>
      </c>
      <c r="Y81" s="2"/>
      <c r="Z81" s="7">
        <f t="shared" si="69"/>
        <v>-1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6">
        <v>22</v>
      </c>
      <c r="E82" s="2"/>
      <c r="F82" s="7">
        <f t="shared" si="62"/>
        <v>0</v>
      </c>
      <c r="G82" s="2"/>
      <c r="H82" s="6"/>
      <c r="I82" s="2"/>
      <c r="J82" s="7">
        <f t="shared" si="63"/>
        <v>0</v>
      </c>
      <c r="K82" s="2"/>
      <c r="L82" s="6">
        <f t="shared" si="64"/>
        <v>22</v>
      </c>
      <c r="M82" s="2"/>
      <c r="N82" s="7">
        <f t="shared" si="65"/>
        <v>0</v>
      </c>
      <c r="O82" s="11"/>
      <c r="P82" s="6">
        <v>1019.87</v>
      </c>
      <c r="Q82" s="2"/>
      <c r="R82" s="7">
        <f t="shared" si="66"/>
        <v>0</v>
      </c>
      <c r="S82" s="2"/>
      <c r="T82" s="6">
        <v>600</v>
      </c>
      <c r="U82" s="2"/>
      <c r="V82" s="7">
        <f t="shared" si="67"/>
        <v>2.14987494894047E-3</v>
      </c>
      <c r="W82" s="2"/>
      <c r="X82" s="6">
        <f t="shared" si="68"/>
        <v>419.87</v>
      </c>
      <c r="Y82" s="2"/>
      <c r="Z82" s="7">
        <f t="shared" si="69"/>
        <v>0.69978333333333331</v>
      </c>
    </row>
    <row r="83" spans="1:26" s="27" customFormat="1" outlineLevel="1" collapsed="1" x14ac:dyDescent="0.25">
      <c r="A83" s="25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3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5.3746873723511746E-3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6"/>
      <c r="E84" s="2"/>
      <c r="F84" s="7">
        <f t="shared" si="70"/>
        <v>0</v>
      </c>
      <c r="G84" s="2"/>
      <c r="H84" s="6"/>
      <c r="I84" s="2"/>
      <c r="J84" s="7">
        <f t="shared" si="71"/>
        <v>0</v>
      </c>
      <c r="K84" s="2"/>
      <c r="L84" s="6">
        <f t="shared" si="72"/>
        <v>0</v>
      </c>
      <c r="M84" s="2"/>
      <c r="N84" s="7">
        <f t="shared" si="73"/>
        <v>0</v>
      </c>
      <c r="O84" s="11"/>
      <c r="P84" s="6"/>
      <c r="Q84" s="2"/>
      <c r="R84" s="7">
        <f t="shared" si="74"/>
        <v>0</v>
      </c>
      <c r="S84" s="2"/>
      <c r="T84" s="6">
        <v>1500</v>
      </c>
      <c r="U84" s="2"/>
      <c r="V84" s="7">
        <f t="shared" si="75"/>
        <v>5.3746873723511746E-3</v>
      </c>
      <c r="W84" s="2"/>
      <c r="X84" s="6">
        <f t="shared" si="76"/>
        <v>-1500</v>
      </c>
      <c r="Y84" s="2"/>
      <c r="Z84" s="7">
        <f t="shared" si="77"/>
        <v>-1</v>
      </c>
    </row>
    <row r="85" spans="1:26" s="27" customFormat="1" outlineLevel="1" collapsed="1" x14ac:dyDescent="0.25">
      <c r="A85" s="25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-703</v>
      </c>
      <c r="E85" s="1"/>
      <c r="F85" s="5">
        <f t="shared" si="70"/>
        <v>0</v>
      </c>
      <c r="G85" s="1"/>
      <c r="H85" s="1">
        <f>SUM(OSRRefH22_17x_0)</f>
        <v>800</v>
      </c>
      <c r="I85" s="1"/>
      <c r="J85" s="5">
        <f t="shared" si="71"/>
        <v>0.12055455093429777</v>
      </c>
      <c r="K85" s="1"/>
      <c r="L85" s="1">
        <f t="shared" si="72"/>
        <v>-1503</v>
      </c>
      <c r="M85" s="1"/>
      <c r="N85" s="5">
        <f t="shared" si="73"/>
        <v>-1.8787499999999999</v>
      </c>
      <c r="O85" s="13"/>
      <c r="P85" s="1">
        <f>SUM(OSRRefP22_17x_0)</f>
        <v>4504</v>
      </c>
      <c r="Q85" s="1"/>
      <c r="R85" s="5">
        <f t="shared" si="74"/>
        <v>0</v>
      </c>
      <c r="S85" s="1"/>
      <c r="T85" s="1">
        <f>SUM(OSRRefT22_17x_0)</f>
        <v>9894</v>
      </c>
      <c r="U85" s="1"/>
      <c r="V85" s="5">
        <f t="shared" si="75"/>
        <v>3.5451437908028349E-2</v>
      </c>
      <c r="W85" s="1"/>
      <c r="X85" s="1">
        <f t="shared" si="76"/>
        <v>-5390</v>
      </c>
      <c r="Y85" s="1"/>
      <c r="Z85" s="5">
        <f t="shared" si="77"/>
        <v>-0.5447746108752779</v>
      </c>
    </row>
    <row r="86" spans="1:26" s="24" customFormat="1" hidden="1" outlineLevel="2" x14ac:dyDescent="0.25">
      <c r="A86" s="26"/>
      <c r="B86" s="11" t="str">
        <f>CONCATENATE("          ", "6274", " - ", "UTILITIES")</f>
        <v xml:space="preserve">          6274 - UTILITIES</v>
      </c>
      <c r="C86" s="11"/>
      <c r="D86" s="6">
        <v>-703</v>
      </c>
      <c r="E86" s="2"/>
      <c r="F86" s="7">
        <f t="shared" si="70"/>
        <v>0</v>
      </c>
      <c r="G86" s="2"/>
      <c r="H86" s="6">
        <v>800</v>
      </c>
      <c r="I86" s="2"/>
      <c r="J86" s="7">
        <f t="shared" si="71"/>
        <v>0.12055455093429777</v>
      </c>
      <c r="K86" s="2"/>
      <c r="L86" s="6">
        <f t="shared" si="72"/>
        <v>-1503</v>
      </c>
      <c r="M86" s="2"/>
      <c r="N86" s="7">
        <f t="shared" si="73"/>
        <v>-1.8787499999999999</v>
      </c>
      <c r="O86" s="11"/>
      <c r="P86" s="6">
        <v>4504</v>
      </c>
      <c r="Q86" s="2"/>
      <c r="R86" s="7">
        <f t="shared" si="74"/>
        <v>0</v>
      </c>
      <c r="S86" s="2"/>
      <c r="T86" s="6">
        <v>9894</v>
      </c>
      <c r="U86" s="2"/>
      <c r="V86" s="7">
        <f t="shared" si="75"/>
        <v>3.5451437908028349E-2</v>
      </c>
      <c r="W86" s="2"/>
      <c r="X86" s="6">
        <f t="shared" si="76"/>
        <v>-5390</v>
      </c>
      <c r="Y86" s="2"/>
      <c r="Z86" s="7">
        <f t="shared" si="77"/>
        <v>-0.5447746108752779</v>
      </c>
    </row>
    <row r="87" spans="1:26" s="61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277</v>
      </c>
      <c r="C90" s="28"/>
      <c r="D90" s="20">
        <f>+D21-D23+D88</f>
        <v>-7438.48</v>
      </c>
      <c r="E90" s="14"/>
      <c r="F90" s="22">
        <f>IF(D$12=0,0,D90/D$12)</f>
        <v>0</v>
      </c>
      <c r="G90" s="14"/>
      <c r="H90" s="20">
        <f>+H21-H23+H88</f>
        <v>-20332.4564928</v>
      </c>
      <c r="I90" s="14"/>
      <c r="J90" s="22">
        <f>IF(H$12=0,0,H90/H$12)</f>
        <v>-3.0639627023508136</v>
      </c>
      <c r="K90" s="16"/>
      <c r="L90" s="20">
        <f>+D90-H90</f>
        <v>12893.9764928</v>
      </c>
      <c r="M90" s="16"/>
      <c r="N90" s="22">
        <f>IF(H90=0,0,L90/H90)</f>
        <v>-0.63415733840945054</v>
      </c>
      <c r="O90" s="29"/>
      <c r="P90" s="20">
        <f>+P21-P23+P88</f>
        <v>-140514.29</v>
      </c>
      <c r="Q90" s="14"/>
      <c r="R90" s="22">
        <f>IF(P$12=0,0,P90/P$12)</f>
        <v>0</v>
      </c>
      <c r="S90" s="14"/>
      <c r="T90" s="20">
        <f>+T21-T23+T88</f>
        <v>-173695.93612480001</v>
      </c>
      <c r="U90" s="14"/>
      <c r="V90" s="22">
        <f>IF(T$12=0,0,T90/T$12)</f>
        <v>-0.62237423634578593</v>
      </c>
      <c r="W90" s="16"/>
      <c r="X90" s="20">
        <f>+P90-T90</f>
        <v>33181.646124799998</v>
      </c>
      <c r="Y90" s="16"/>
      <c r="Z90" s="22">
        <f>IF(T90=0,0,X90/T90)</f>
        <v>-0.19103294449536853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/>
      <c r="E92" s="4"/>
      <c r="F92" s="12">
        <f>IF(D$12=0,0,D92/D$12)</f>
        <v>0</v>
      </c>
      <c r="G92" s="4"/>
      <c r="H92" s="4">
        <v>-3139</v>
      </c>
      <c r="I92" s="4"/>
      <c r="J92" s="12">
        <f>IF(H$12=0,0,H92/H$12)</f>
        <v>-0.47302591922845089</v>
      </c>
      <c r="K92" s="4"/>
      <c r="L92" s="4">
        <f>+D92-H92</f>
        <v>3139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47158</v>
      </c>
      <c r="U92" s="4"/>
      <c r="V92" s="12">
        <f>IF(T$12=0,0,T92/T$12)</f>
        <v>0.16897300473689114</v>
      </c>
      <c r="W92" s="4"/>
      <c r="X92" s="4">
        <f>+P92-T92</f>
        <v>-47158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126</v>
      </c>
      <c r="C94" s="28"/>
      <c r="D94" s="34">
        <f>+D90-D92</f>
        <v>-7438.48</v>
      </c>
      <c r="E94" s="14"/>
      <c r="F94" s="35">
        <f>IF(D$12=0,0,D94/D$12)</f>
        <v>0</v>
      </c>
      <c r="G94" s="14"/>
      <c r="H94" s="34">
        <f>+H90-H92</f>
        <v>-17193.4564928</v>
      </c>
      <c r="I94" s="14"/>
      <c r="J94" s="35">
        <f>IF(H$12=0,0,H94/H$12)</f>
        <v>-2.5909367831223631</v>
      </c>
      <c r="K94" s="16"/>
      <c r="L94" s="34">
        <f>D94-H94</f>
        <v>9754.9764928000004</v>
      </c>
      <c r="M94" s="16"/>
      <c r="N94" s="35">
        <f>IF(H94=0,0,L94/H94)</f>
        <v>-0.56736564267255007</v>
      </c>
      <c r="O94" s="29"/>
      <c r="P94" s="34">
        <f>+P90-P92</f>
        <v>-140514.29</v>
      </c>
      <c r="Q94" s="14"/>
      <c r="R94" s="35">
        <f>IF(P$12=0,0,P94/P$12)</f>
        <v>0</v>
      </c>
      <c r="S94" s="14"/>
      <c r="T94" s="34">
        <f>+T90-T92</f>
        <v>-220853.93612480001</v>
      </c>
      <c r="U94" s="14"/>
      <c r="V94" s="35">
        <f>IF(T$12=0,0,T94/T$12)</f>
        <v>-0.79134724108267707</v>
      </c>
      <c r="W94" s="16"/>
      <c r="X94" s="34">
        <f>P94-T94</f>
        <v>80339.646124799998</v>
      </c>
      <c r="Y94" s="16"/>
      <c r="Z94" s="35">
        <f>IF(T94=0,0,X94/T94)</f>
        <v>-0.36376823313396472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294</v>
      </c>
      <c r="C97" s="28"/>
      <c r="D97" s="33">
        <f>SUM(D94:D96)</f>
        <v>-7438.48</v>
      </c>
      <c r="E97" s="14"/>
      <c r="F97" s="31">
        <f>IF(D$12=0,0,D97/D$12)</f>
        <v>0</v>
      </c>
      <c r="G97" s="14"/>
      <c r="H97" s="33">
        <f>SUM(H94:H96)</f>
        <v>-17193.4564928</v>
      </c>
      <c r="I97" s="14"/>
      <c r="J97" s="31">
        <f>IF(H$12=0,0,H97/H$12)</f>
        <v>-2.5909367831223631</v>
      </c>
      <c r="K97" s="16"/>
      <c r="L97" s="33">
        <f>+D97-H97</f>
        <v>9754.9764928000004</v>
      </c>
      <c r="M97" s="16"/>
      <c r="N97" s="31">
        <f>IF(H97=0,0,L97/H97)</f>
        <v>-0.56736564267255007</v>
      </c>
      <c r="O97" s="29"/>
      <c r="P97" s="33">
        <f>SUM(P94:P96)</f>
        <v>-140514.29</v>
      </c>
      <c r="Q97" s="14"/>
      <c r="R97" s="31">
        <f>IF(P$12=0,0,P97/P$12)</f>
        <v>0</v>
      </c>
      <c r="S97" s="14"/>
      <c r="T97" s="33">
        <f>SUM(T94:T96)</f>
        <v>-220853.93612480001</v>
      </c>
      <c r="U97" s="14"/>
      <c r="V97" s="31">
        <f>IF(T$12=0,0,T97/T$12)</f>
        <v>-0.79134724108267707</v>
      </c>
      <c r="W97" s="16"/>
      <c r="X97" s="33">
        <f>+P97-T97</f>
        <v>80339.646124799998</v>
      </c>
      <c r="Y97" s="16"/>
      <c r="Z97" s="31">
        <f>IF(T97=0,0,X97/T97)</f>
        <v>-0.36376823313396472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6">
        <v>44454.686112384261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5" t="s">
        <v>56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3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34.049999999999997</v>
      </c>
      <c r="E12" s="4"/>
      <c r="F12" s="12"/>
      <c r="G12" s="4"/>
      <c r="H12" s="4">
        <f>SUM(OSRRefH13x_0)</f>
        <v>151</v>
      </c>
      <c r="I12" s="4"/>
      <c r="J12" s="12"/>
      <c r="K12" s="4"/>
      <c r="L12" s="4">
        <f t="shared" ref="L12:L14" si="0">+D12-H12</f>
        <v>-116.95</v>
      </c>
      <c r="M12" s="4"/>
      <c r="N12" s="12">
        <f t="shared" ref="N12:N14" si="1">IF(H12=0,0,L12/H12)</f>
        <v>-0.7745033112582782</v>
      </c>
      <c r="O12" s="10"/>
      <c r="P12" s="4">
        <f>SUM(OSRRefP13x_0)</f>
        <v>434.5</v>
      </c>
      <c r="Q12" s="4"/>
      <c r="R12" s="12"/>
      <c r="S12" s="4"/>
      <c r="T12" s="4">
        <f>SUM(OSRRefT13x_0)</f>
        <v>5139</v>
      </c>
      <c r="U12" s="4"/>
      <c r="V12" s="12"/>
      <c r="W12" s="4"/>
      <c r="X12" s="4">
        <f t="shared" ref="X12:X14" si="2">+P12-T12</f>
        <v>-4704.5</v>
      </c>
      <c r="Y12" s="4"/>
      <c r="Z12" s="12">
        <f t="shared" ref="Z12:Z14" si="3">IF(T12=0,0,X12/T12)</f>
        <v>-0.91545047674644875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151</v>
      </c>
      <c r="I13" s="2"/>
      <c r="J13" s="19"/>
      <c r="K13" s="2"/>
      <c r="L13" s="2">
        <f t="shared" si="0"/>
        <v>-151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5139</v>
      </c>
      <c r="U13" s="2"/>
      <c r="V13" s="19"/>
      <c r="W13" s="2"/>
      <c r="X13" s="2">
        <f t="shared" si="2"/>
        <v>-5139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--34.05</f>
        <v>34.049999999999997</v>
      </c>
      <c r="E14" s="2"/>
      <c r="F14" s="19"/>
      <c r="G14" s="2"/>
      <c r="H14" s="2"/>
      <c r="I14" s="2"/>
      <c r="J14" s="19"/>
      <c r="K14" s="2"/>
      <c r="L14" s="2">
        <f t="shared" si="0"/>
        <v>34.049999999999997</v>
      </c>
      <c r="M14" s="2"/>
      <c r="N14" s="19">
        <f t="shared" si="1"/>
        <v>0</v>
      </c>
      <c r="O14" s="11"/>
      <c r="P14" s="2">
        <f>--434.5</f>
        <v>434.5</v>
      </c>
      <c r="Q14" s="2"/>
      <c r="R14" s="19"/>
      <c r="S14" s="2"/>
      <c r="T14" s="2"/>
      <c r="U14" s="2"/>
      <c r="V14" s="19"/>
      <c r="W14" s="2"/>
      <c r="X14" s="2">
        <f t="shared" si="2"/>
        <v>434.5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1060.92</v>
      </c>
      <c r="E16" s="4"/>
      <c r="F16" s="12">
        <f t="shared" ref="F16:F19" si="4">IF(D$12=0,0,D16/D$12)</f>
        <v>31.157709251101327</v>
      </c>
      <c r="G16" s="4"/>
      <c r="H16" s="4">
        <f>SUM(OSRRefH16x_0)</f>
        <v>75</v>
      </c>
      <c r="I16" s="4"/>
      <c r="J16" s="12">
        <f t="shared" ref="J16:J19" si="5">IF(H$12=0,0,H16/H$12)</f>
        <v>0.49668874172185429</v>
      </c>
      <c r="K16" s="4"/>
      <c r="L16" s="4">
        <f t="shared" ref="L16:L19" si="6">+D16-H16</f>
        <v>985.92000000000007</v>
      </c>
      <c r="M16" s="4"/>
      <c r="N16" s="12">
        <f t="shared" ref="N16:N19" si="7">IF(H16=0,0,L16/H16)</f>
        <v>13.145600000000002</v>
      </c>
      <c r="O16" s="10"/>
      <c r="P16" s="4">
        <f>SUM(OSRRefP16x_0)</f>
        <v>713.91000000000008</v>
      </c>
      <c r="Q16" s="4"/>
      <c r="R16" s="12">
        <f t="shared" ref="R16:R19" si="8">IF(P$12=0,0,P16/P$12)</f>
        <v>1.6430609896432684</v>
      </c>
      <c r="S16" s="4"/>
      <c r="T16" s="4">
        <f>SUM(OSRRefT16x_0)</f>
        <v>2571</v>
      </c>
      <c r="U16" s="4"/>
      <c r="V16" s="12">
        <f t="shared" ref="V16:V19" si="9">IF(T$12=0,0,T16/T$12)</f>
        <v>0.50029188558085236</v>
      </c>
      <c r="W16" s="4"/>
      <c r="X16" s="4">
        <f t="shared" ref="X16:X19" si="10">+P16-T16</f>
        <v>-1857.09</v>
      </c>
      <c r="Y16" s="4"/>
      <c r="Z16" s="12">
        <f t="shared" ref="Z16:Z19" si="11">IF(T16=0,0,X16/T16)</f>
        <v>-0.72232205367561253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75</v>
      </c>
      <c r="I17" s="2"/>
      <c r="J17" s="19">
        <f t="shared" si="5"/>
        <v>0.49668874172185429</v>
      </c>
      <c r="K17" s="2"/>
      <c r="L17" s="2">
        <f t="shared" si="6"/>
        <v>-75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2571</v>
      </c>
      <c r="U17" s="2"/>
      <c r="V17" s="19">
        <f t="shared" si="9"/>
        <v>0.50029188558085236</v>
      </c>
      <c r="W17" s="2"/>
      <c r="X17" s="2">
        <f t="shared" si="10"/>
        <v>-2571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1060.92</v>
      </c>
      <c r="E18" s="2"/>
      <c r="F18" s="19">
        <f t="shared" si="4"/>
        <v>31.157709251101327</v>
      </c>
      <c r="G18" s="2"/>
      <c r="H18" s="2"/>
      <c r="I18" s="2"/>
      <c r="J18" s="19">
        <f t="shared" si="5"/>
        <v>0</v>
      </c>
      <c r="K18" s="2"/>
      <c r="L18" s="2">
        <f t="shared" si="6"/>
        <v>1060.92</v>
      </c>
      <c r="M18" s="2"/>
      <c r="N18" s="19">
        <f t="shared" si="7"/>
        <v>0</v>
      </c>
      <c r="O18" s="11"/>
      <c r="P18" s="2">
        <v>1031.92</v>
      </c>
      <c r="Q18" s="2"/>
      <c r="R18" s="19">
        <f t="shared" si="8"/>
        <v>2.3749597238204836</v>
      </c>
      <c r="S18" s="2"/>
      <c r="T18" s="2"/>
      <c r="U18" s="2"/>
      <c r="V18" s="19">
        <f t="shared" si="9"/>
        <v>0</v>
      </c>
      <c r="W18" s="2"/>
      <c r="X18" s="2">
        <f t="shared" si="10"/>
        <v>1031.92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-318.01</v>
      </c>
      <c r="Q19" s="2"/>
      <c r="R19" s="19">
        <f t="shared" si="8"/>
        <v>-0.73189873417721518</v>
      </c>
      <c r="S19" s="2"/>
      <c r="T19" s="2"/>
      <c r="U19" s="2"/>
      <c r="V19" s="19">
        <f t="shared" si="9"/>
        <v>0</v>
      </c>
      <c r="W19" s="2"/>
      <c r="X19" s="2">
        <f t="shared" si="10"/>
        <v>-318.01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D12-D16</f>
        <v>-1026.8700000000001</v>
      </c>
      <c r="E21" s="14"/>
      <c r="F21" s="22">
        <f>IF(D$12=0,0,D21/D$12)</f>
        <v>-30.157709251101327</v>
      </c>
      <c r="G21" s="14"/>
      <c r="H21" s="20">
        <f>H12-H16</f>
        <v>76</v>
      </c>
      <c r="I21" s="14"/>
      <c r="J21" s="22">
        <f>IF(H$12=0,0,H21/H$12)</f>
        <v>0.50331125827814571</v>
      </c>
      <c r="K21" s="16"/>
      <c r="L21" s="20">
        <f>+D21-H21</f>
        <v>-1102.8700000000001</v>
      </c>
      <c r="M21" s="16"/>
      <c r="N21" s="22">
        <f>IF(H21=0,0,L21/H21)</f>
        <v>-14.511447368421054</v>
      </c>
      <c r="O21" s="29"/>
      <c r="P21" s="20">
        <f>P12-P16</f>
        <v>-279.41000000000008</v>
      </c>
      <c r="Q21" s="14"/>
      <c r="R21" s="22">
        <f>IF(P$12=0,0,P21/P$12)</f>
        <v>-0.6430609896432683</v>
      </c>
      <c r="S21" s="14"/>
      <c r="T21" s="20">
        <f>T12-T16</f>
        <v>2568</v>
      </c>
      <c r="U21" s="14"/>
      <c r="V21" s="22">
        <f>IF(T$12=0,0,T21/T$12)</f>
        <v>0.4997081144191477</v>
      </c>
      <c r="W21" s="16"/>
      <c r="X21" s="20">
        <f>+P21-T21</f>
        <v>-2847.41</v>
      </c>
      <c r="Y21" s="16"/>
      <c r="Z21" s="22">
        <f>IF(T21=0,0,X21/T21)</f>
        <v>-1.1088045171339562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1">
        <f>SUM(OSRRefD22x_0)</f>
        <v>0</v>
      </c>
      <c r="E23" s="21"/>
      <c r="F23" s="30">
        <f t="shared" ref="F23:F27" si="12">IF(D$12=0,0,D23/D$12)</f>
        <v>0</v>
      </c>
      <c r="G23" s="21"/>
      <c r="H23" s="21">
        <f>SUM(OSRRefH22x_0)</f>
        <v>13</v>
      </c>
      <c r="I23" s="21"/>
      <c r="J23" s="30">
        <f t="shared" ref="J23:J27" si="13">IF(H$12=0,0,H23/H$12)</f>
        <v>8.6092715231788075E-2</v>
      </c>
      <c r="K23" s="4"/>
      <c r="L23" s="21">
        <f t="shared" ref="L23:L27" si="14">+D23-H23</f>
        <v>-13</v>
      </c>
      <c r="M23" s="4"/>
      <c r="N23" s="30">
        <f t="shared" ref="N23:N27" si="15">IF(H23=0,0,L23/H23)</f>
        <v>-1</v>
      </c>
      <c r="O23" s="10"/>
      <c r="P23" s="21">
        <f>SUM(OSRRefP22x_0)</f>
        <v>674.63</v>
      </c>
      <c r="Q23" s="21"/>
      <c r="R23" s="30">
        <f t="shared" ref="R23:R27" si="16">IF(P$12=0,0,P23/P$12)</f>
        <v>1.5526582278481011</v>
      </c>
      <c r="S23" s="21"/>
      <c r="T23" s="21">
        <f>SUM(OSRRefT22x_0)</f>
        <v>447</v>
      </c>
      <c r="U23" s="21"/>
      <c r="V23" s="30">
        <f t="shared" ref="V23:V27" si="17">IF(T$12=0,0,T23/T$12)</f>
        <v>8.6981903093987151E-2</v>
      </c>
      <c r="W23" s="4"/>
      <c r="X23" s="21">
        <f t="shared" ref="X23:X27" si="18">+P23-T23</f>
        <v>227.63</v>
      </c>
      <c r="Y23" s="4"/>
      <c r="Z23" s="30">
        <f t="shared" ref="Z23:Z27" si="19">IF(T23=0,0,X23/T23)</f>
        <v>0.50923937360178972</v>
      </c>
    </row>
    <row r="24" spans="1:26" s="27" customFormat="1" outlineLevel="1" collapsed="1" x14ac:dyDescent="0.25">
      <c r="A24" s="25"/>
      <c r="B24" s="13" t="str">
        <f>CONCATENATE("     ","Bank/card Fees                                    ")</f>
        <v xml:space="preserve">     Bank/card Fees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13</v>
      </c>
      <c r="I24" s="1"/>
      <c r="J24" s="5">
        <f t="shared" si="13"/>
        <v>8.6092715231788075E-2</v>
      </c>
      <c r="K24" s="1"/>
      <c r="L24" s="1">
        <f t="shared" si="14"/>
        <v>-13</v>
      </c>
      <c r="M24" s="1"/>
      <c r="N24" s="5">
        <f t="shared" si="15"/>
        <v>-1</v>
      </c>
      <c r="O24" s="13"/>
      <c r="P24" s="1">
        <f>SUM(OSRRefP22_0x_0)</f>
        <v>554.63</v>
      </c>
      <c r="Q24" s="1"/>
      <c r="R24" s="5">
        <f t="shared" si="16"/>
        <v>1.2764787111622555</v>
      </c>
      <c r="S24" s="1"/>
      <c r="T24" s="1">
        <f>SUM(OSRRefT22_0x_0)</f>
        <v>447</v>
      </c>
      <c r="U24" s="1"/>
      <c r="V24" s="5">
        <f t="shared" si="17"/>
        <v>8.6981903093987151E-2</v>
      </c>
      <c r="W24" s="1"/>
      <c r="X24" s="1">
        <f t="shared" si="18"/>
        <v>107.63</v>
      </c>
      <c r="Y24" s="1"/>
      <c r="Z24" s="5">
        <f t="shared" si="19"/>
        <v>0.24078299776286352</v>
      </c>
    </row>
    <row r="25" spans="1:26" s="24" customFormat="1" hidden="1" outlineLevel="2" x14ac:dyDescent="0.25">
      <c r="A25" s="26"/>
      <c r="B25" s="11" t="str">
        <f>CONCATENATE("          ", "6381", " - ", "BANK/CREDIT CARD FEES")</f>
        <v xml:space="preserve">          6381 - BANK/CREDIT CARD FEES</v>
      </c>
      <c r="C25" s="11"/>
      <c r="D25" s="6"/>
      <c r="E25" s="2"/>
      <c r="F25" s="7">
        <f t="shared" si="12"/>
        <v>0</v>
      </c>
      <c r="G25" s="2"/>
      <c r="H25" s="6">
        <v>13</v>
      </c>
      <c r="I25" s="2"/>
      <c r="J25" s="7">
        <f t="shared" si="13"/>
        <v>8.6092715231788075E-2</v>
      </c>
      <c r="K25" s="2"/>
      <c r="L25" s="6">
        <f t="shared" si="14"/>
        <v>-13</v>
      </c>
      <c r="M25" s="2"/>
      <c r="N25" s="7">
        <f t="shared" si="15"/>
        <v>-1</v>
      </c>
      <c r="O25" s="11"/>
      <c r="P25" s="6">
        <v>554.63</v>
      </c>
      <c r="Q25" s="2"/>
      <c r="R25" s="7">
        <f t="shared" si="16"/>
        <v>1.2764787111622555</v>
      </c>
      <c r="S25" s="2"/>
      <c r="T25" s="6">
        <v>447</v>
      </c>
      <c r="U25" s="2"/>
      <c r="V25" s="7">
        <f t="shared" si="17"/>
        <v>8.6981903093987151E-2</v>
      </c>
      <c r="W25" s="2"/>
      <c r="X25" s="6">
        <f t="shared" si="18"/>
        <v>107.63</v>
      </c>
      <c r="Y25" s="2"/>
      <c r="Z25" s="7">
        <f t="shared" si="19"/>
        <v>0.24078299776286352</v>
      </c>
    </row>
    <row r="26" spans="1:26" s="27" customFormat="1" outlineLevel="1" collapsed="1" x14ac:dyDescent="0.25">
      <c r="A26" s="25"/>
      <c r="B26" s="13" t="str">
        <f>CONCATENATE("     ","General                                           ")</f>
        <v xml:space="preserve">     General                                           </v>
      </c>
      <c r="C26" s="13"/>
      <c r="D26" s="1">
        <f>SUM(OSRRefD22_1x_0)</f>
        <v>0</v>
      </c>
      <c r="E26" s="1"/>
      <c r="F26" s="5">
        <f t="shared" si="12"/>
        <v>0</v>
      </c>
      <c r="G26" s="1"/>
      <c r="H26" s="1">
        <f>SUM(OSRRefH22_1x_0)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SUM(OSRRefP22_1x_0)</f>
        <v>120</v>
      </c>
      <c r="Q26" s="1"/>
      <c r="R26" s="5">
        <f t="shared" si="16"/>
        <v>0.27617951668584578</v>
      </c>
      <c r="S26" s="1"/>
      <c r="T26" s="1">
        <f>SUM(OSRRefT22_1x_0)</f>
        <v>0</v>
      </c>
      <c r="U26" s="1"/>
      <c r="V26" s="5">
        <f t="shared" si="17"/>
        <v>0</v>
      </c>
      <c r="W26" s="1"/>
      <c r="X26" s="1">
        <f t="shared" si="18"/>
        <v>120</v>
      </c>
      <c r="Y26" s="1"/>
      <c r="Z26" s="5">
        <f t="shared" si="19"/>
        <v>0</v>
      </c>
    </row>
    <row r="27" spans="1:26" s="24" customFormat="1" hidden="1" outlineLevel="2" x14ac:dyDescent="0.25">
      <c r="A27" s="26"/>
      <c r="B27" s="11" t="str">
        <f>CONCATENATE("          ", "6279", " - ", "GENERAL EXPENSE")</f>
        <v xml:space="preserve">          6279 - GENERAL EXPENSE</v>
      </c>
      <c r="C27" s="11"/>
      <c r="D27" s="6"/>
      <c r="E27" s="2"/>
      <c r="F27" s="7">
        <f t="shared" si="12"/>
        <v>0</v>
      </c>
      <c r="G27" s="2"/>
      <c r="H27" s="6"/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>
        <v>120</v>
      </c>
      <c r="Q27" s="2"/>
      <c r="R27" s="7">
        <f t="shared" si="16"/>
        <v>0.27617951668584578</v>
      </c>
      <c r="S27" s="2"/>
      <c r="T27" s="6"/>
      <c r="U27" s="2"/>
      <c r="V27" s="7">
        <f t="shared" si="17"/>
        <v>0</v>
      </c>
      <c r="W27" s="2"/>
      <c r="X27" s="6">
        <f t="shared" si="18"/>
        <v>120</v>
      </c>
      <c r="Y27" s="2"/>
      <c r="Z27" s="7">
        <f t="shared" si="19"/>
        <v>0</v>
      </c>
    </row>
    <row r="28" spans="1:26" s="61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277</v>
      </c>
      <c r="C31" s="28"/>
      <c r="D31" s="20">
        <f>+D21-D23+D29</f>
        <v>-1026.8700000000001</v>
      </c>
      <c r="E31" s="14"/>
      <c r="F31" s="22">
        <f>IF(D$12=0,0,D31/D$12)</f>
        <v>-30.157709251101327</v>
      </c>
      <c r="G31" s="14"/>
      <c r="H31" s="20">
        <f>+H21-H23+H29</f>
        <v>63</v>
      </c>
      <c r="I31" s="14"/>
      <c r="J31" s="22">
        <f>IF(H$12=0,0,H31/H$12)</f>
        <v>0.41721854304635764</v>
      </c>
      <c r="K31" s="16"/>
      <c r="L31" s="20">
        <f>+D31-H31</f>
        <v>-1089.8700000000001</v>
      </c>
      <c r="M31" s="16"/>
      <c r="N31" s="22">
        <f>IF(H31=0,0,L31/H31)</f>
        <v>-17.299523809523812</v>
      </c>
      <c r="O31" s="29"/>
      <c r="P31" s="20">
        <f>+P21-P23+P29</f>
        <v>-954.04000000000008</v>
      </c>
      <c r="Q31" s="14"/>
      <c r="R31" s="22">
        <f>IF(P$12=0,0,P31/P$12)</f>
        <v>-2.1957192174913698</v>
      </c>
      <c r="S31" s="14"/>
      <c r="T31" s="20">
        <f>+T21-T23+T29</f>
        <v>2121</v>
      </c>
      <c r="U31" s="14"/>
      <c r="V31" s="22">
        <f>IF(T$12=0,0,T31/T$12)</f>
        <v>0.41272621132516052</v>
      </c>
      <c r="W31" s="16"/>
      <c r="X31" s="20">
        <f>+P31-T31</f>
        <v>-3075.04</v>
      </c>
      <c r="Y31" s="16"/>
      <c r="Z31" s="22">
        <f>IF(T31=0,0,X31/T31)</f>
        <v>-1.4498066949552098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>
        <v>34.700000000000003</v>
      </c>
      <c r="E33" s="4"/>
      <c r="F33" s="12">
        <f>IF(D$12=0,0,D33/D$12)</f>
        <v>1.0190895741556536</v>
      </c>
      <c r="G33" s="4"/>
      <c r="H33" s="4">
        <v>-52</v>
      </c>
      <c r="I33" s="4"/>
      <c r="J33" s="12">
        <f>IF(H$12=0,0,H33/H$12)</f>
        <v>-0.3443708609271523</v>
      </c>
      <c r="K33" s="4"/>
      <c r="L33" s="4">
        <f>+D33-H33</f>
        <v>86.7</v>
      </c>
      <c r="M33" s="4"/>
      <c r="N33" s="12">
        <f>IF(H33=0,0,L33/H33)</f>
        <v>-1.6673076923076924</v>
      </c>
      <c r="O33" s="10"/>
      <c r="P33" s="4">
        <v>120.27</v>
      </c>
      <c r="Q33" s="4"/>
      <c r="R33" s="12">
        <f>IF(P$12=0,0,P33/P$12)</f>
        <v>0.27680092059838896</v>
      </c>
      <c r="S33" s="4"/>
      <c r="T33" s="4">
        <v>868</v>
      </c>
      <c r="U33" s="4"/>
      <c r="V33" s="12">
        <f>IF(T$12=0,0,T33/T$12)</f>
        <v>0.16890445611986768</v>
      </c>
      <c r="W33" s="4"/>
      <c r="X33" s="4">
        <f>+P33-T33</f>
        <v>-747.73</v>
      </c>
      <c r="Y33" s="4"/>
      <c r="Z33" s="12">
        <f>IF(T33=0,0,X33/T33)</f>
        <v>-0.86144009216589867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126</v>
      </c>
      <c r="C35" s="28"/>
      <c r="D35" s="34">
        <f>+D31-D33</f>
        <v>-1061.5700000000002</v>
      </c>
      <c r="E35" s="14"/>
      <c r="F35" s="35">
        <f>IF(D$12=0,0,D35/D$12)</f>
        <v>-31.176798825256981</v>
      </c>
      <c r="G35" s="14"/>
      <c r="H35" s="34">
        <f>+H31-H33</f>
        <v>115</v>
      </c>
      <c r="I35" s="14"/>
      <c r="J35" s="35">
        <f>IF(H$12=0,0,H35/H$12)</f>
        <v>0.76158940397350994</v>
      </c>
      <c r="K35" s="16"/>
      <c r="L35" s="34">
        <f>D35-H35</f>
        <v>-1176.5700000000002</v>
      </c>
      <c r="M35" s="16"/>
      <c r="N35" s="35">
        <f>IF(H35=0,0,L35/H35)</f>
        <v>-10.231043478260871</v>
      </c>
      <c r="O35" s="29"/>
      <c r="P35" s="34">
        <f>+P31-P33</f>
        <v>-1074.3100000000002</v>
      </c>
      <c r="Q35" s="14"/>
      <c r="R35" s="35">
        <f>IF(P$12=0,0,P35/P$12)</f>
        <v>-2.4725201380897586</v>
      </c>
      <c r="S35" s="14"/>
      <c r="T35" s="34">
        <f>+T31-T33</f>
        <v>1253</v>
      </c>
      <c r="U35" s="14"/>
      <c r="V35" s="35">
        <f>IF(T$12=0,0,T35/T$12)</f>
        <v>0.24382175520529287</v>
      </c>
      <c r="W35" s="16"/>
      <c r="X35" s="34">
        <f>P35-T35</f>
        <v>-2327.3100000000004</v>
      </c>
      <c r="Y35" s="16"/>
      <c r="Z35" s="35">
        <f>IF(T35=0,0,X35/T35)</f>
        <v>-1.8573902633679173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8" t="s">
        <v>294</v>
      </c>
      <c r="C38" s="28"/>
      <c r="D38" s="33">
        <f>SUM(D35:D37)</f>
        <v>-1061.5700000000002</v>
      </c>
      <c r="E38" s="14"/>
      <c r="F38" s="31">
        <f>IF(D$12=0,0,D38/D$12)</f>
        <v>-31.176798825256981</v>
      </c>
      <c r="G38" s="14"/>
      <c r="H38" s="33">
        <f>SUM(H35:H37)</f>
        <v>115</v>
      </c>
      <c r="I38" s="14"/>
      <c r="J38" s="31">
        <f>IF(H$12=0,0,H38/H$12)</f>
        <v>0.76158940397350994</v>
      </c>
      <c r="K38" s="16"/>
      <c r="L38" s="33">
        <f>+D38-H38</f>
        <v>-1176.5700000000002</v>
      </c>
      <c r="M38" s="16"/>
      <c r="N38" s="31">
        <f>IF(H38=0,0,L38/H38)</f>
        <v>-10.231043478260871</v>
      </c>
      <c r="O38" s="29"/>
      <c r="P38" s="33">
        <f>SUM(P35:P37)</f>
        <v>-1074.3100000000002</v>
      </c>
      <c r="Q38" s="14"/>
      <c r="R38" s="31">
        <f>IF(P$12=0,0,P38/P$12)</f>
        <v>-2.4725201380897586</v>
      </c>
      <c r="S38" s="14"/>
      <c r="T38" s="33">
        <f>SUM(T35:T37)</f>
        <v>1253</v>
      </c>
      <c r="U38" s="14"/>
      <c r="V38" s="31">
        <f>IF(T$12=0,0,T38/T$12)</f>
        <v>0.24382175520529287</v>
      </c>
      <c r="W38" s="16"/>
      <c r="X38" s="33">
        <f>+P38-T38</f>
        <v>-2327.3100000000004</v>
      </c>
      <c r="Y38" s="16"/>
      <c r="Z38" s="31">
        <f>IF(T38=0,0,X38/T38)</f>
        <v>-1.8573902633679173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>
        <v>44454.686112384261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5" t="s">
        <v>56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3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96806.010000000009</v>
      </c>
      <c r="E12" s="4"/>
      <c r="F12" s="12"/>
      <c r="G12" s="4"/>
      <c r="H12" s="4">
        <f>SUM(OSRRefH13x_0)</f>
        <v>10890</v>
      </c>
      <c r="I12" s="4"/>
      <c r="J12" s="12"/>
      <c r="K12" s="4"/>
      <c r="L12" s="4">
        <f t="shared" ref="L12:L21" si="0">+D12-H12</f>
        <v>85916.010000000009</v>
      </c>
      <c r="M12" s="4"/>
      <c r="N12" s="12">
        <f t="shared" ref="N12:N21" si="1">IF(H12=0,0,L12/H12)</f>
        <v>7.8894407713498635</v>
      </c>
      <c r="O12" s="10"/>
      <c r="P12" s="4">
        <f>SUM(OSRRefP13x_0)</f>
        <v>1607065.67</v>
      </c>
      <c r="Q12" s="4"/>
      <c r="R12" s="12"/>
      <c r="S12" s="4"/>
      <c r="T12" s="4">
        <f>SUM(OSRRefT13x_0)</f>
        <v>4169957</v>
      </c>
      <c r="U12" s="4"/>
      <c r="V12" s="12"/>
      <c r="W12" s="4"/>
      <c r="X12" s="4">
        <f t="shared" ref="X12:X21" si="2">+P12-T12</f>
        <v>-2562891.33</v>
      </c>
      <c r="Y12" s="4"/>
      <c r="Z12" s="12">
        <f t="shared" ref="Z12:Z21" si="3">IF(T12=0,0,X12/T12)</f>
        <v>-0.61460857510041467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3387</v>
      </c>
      <c r="I13" s="2"/>
      <c r="J13" s="19"/>
      <c r="K13" s="2"/>
      <c r="L13" s="2">
        <f t="shared" si="0"/>
        <v>-3387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72679</v>
      </c>
      <c r="U13" s="2"/>
      <c r="V13" s="19"/>
      <c r="W13" s="2"/>
      <c r="X13" s="2">
        <f t="shared" si="2"/>
        <v>-72679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--9799.52</f>
        <v>9799.52</v>
      </c>
      <c r="E14" s="2"/>
      <c r="F14" s="19"/>
      <c r="G14" s="2"/>
      <c r="H14" s="2"/>
      <c r="I14" s="2"/>
      <c r="J14" s="19"/>
      <c r="K14" s="2"/>
      <c r="L14" s="2">
        <f t="shared" si="0"/>
        <v>9799.52</v>
      </c>
      <c r="M14" s="2"/>
      <c r="N14" s="19">
        <f t="shared" si="1"/>
        <v>0</v>
      </c>
      <c r="O14" s="11"/>
      <c r="P14" s="2">
        <f>--49082.44</f>
        <v>49082.44</v>
      </c>
      <c r="Q14" s="2"/>
      <c r="R14" s="19"/>
      <c r="S14" s="2"/>
      <c r="T14" s="2"/>
      <c r="U14" s="2"/>
      <c r="V14" s="19"/>
      <c r="W14" s="2"/>
      <c r="X14" s="2">
        <f t="shared" si="2"/>
        <v>49082.44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--61213.59</f>
        <v>61213.59</v>
      </c>
      <c r="E15" s="2"/>
      <c r="F15" s="19"/>
      <c r="G15" s="2"/>
      <c r="H15" s="2"/>
      <c r="I15" s="2"/>
      <c r="J15" s="19"/>
      <c r="K15" s="2"/>
      <c r="L15" s="2">
        <f t="shared" si="0"/>
        <v>61213.59</v>
      </c>
      <c r="M15" s="2"/>
      <c r="N15" s="19">
        <f t="shared" si="1"/>
        <v>0</v>
      </c>
      <c r="O15" s="11"/>
      <c r="P15" s="2">
        <f>--489866.6</f>
        <v>489866.6</v>
      </c>
      <c r="Q15" s="2"/>
      <c r="R15" s="19"/>
      <c r="S15" s="2"/>
      <c r="T15" s="2"/>
      <c r="U15" s="2"/>
      <c r="V15" s="19"/>
      <c r="W15" s="2"/>
      <c r="X15" s="2">
        <f t="shared" si="2"/>
        <v>489866.6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--10.83</f>
        <v>10.83</v>
      </c>
      <c r="E16" s="2"/>
      <c r="F16" s="19"/>
      <c r="G16" s="2"/>
      <c r="H16" s="2"/>
      <c r="I16" s="2"/>
      <c r="J16" s="19"/>
      <c r="K16" s="2"/>
      <c r="L16" s="2">
        <f t="shared" si="0"/>
        <v>10.83</v>
      </c>
      <c r="M16" s="2"/>
      <c r="N16" s="19">
        <f t="shared" si="1"/>
        <v>0</v>
      </c>
      <c r="O16" s="11"/>
      <c r="P16" s="2">
        <f>--1117.39</f>
        <v>1117.3900000000001</v>
      </c>
      <c r="Q16" s="2"/>
      <c r="R16" s="19"/>
      <c r="S16" s="2"/>
      <c r="T16" s="2"/>
      <c r="U16" s="2"/>
      <c r="V16" s="19"/>
      <c r="W16" s="2"/>
      <c r="X16" s="2">
        <f t="shared" si="2"/>
        <v>1117.3900000000001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--974.91</f>
        <v>974.91</v>
      </c>
      <c r="Q17" s="2"/>
      <c r="R17" s="19"/>
      <c r="S17" s="2"/>
      <c r="T17" s="2"/>
      <c r="U17" s="2"/>
      <c r="V17" s="19"/>
      <c r="W17" s="2"/>
      <c r="X17" s="2">
        <f t="shared" si="2"/>
        <v>974.91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19"/>
      <c r="G18" s="2"/>
      <c r="H18" s="2">
        <v>7503</v>
      </c>
      <c r="I18" s="2"/>
      <c r="J18" s="19"/>
      <c r="K18" s="2"/>
      <c r="L18" s="2">
        <f t="shared" si="0"/>
        <v>-7503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4097278</v>
      </c>
      <c r="U18" s="2"/>
      <c r="V18" s="19"/>
      <c r="W18" s="2"/>
      <c r="X18" s="2">
        <f t="shared" si="2"/>
        <v>-4097278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--34861.45</f>
        <v>34861.449999999997</v>
      </c>
      <c r="E19" s="2"/>
      <c r="F19" s="19"/>
      <c r="G19" s="2"/>
      <c r="H19" s="2"/>
      <c r="I19" s="2"/>
      <c r="J19" s="19"/>
      <c r="K19" s="2"/>
      <c r="L19" s="2">
        <f t="shared" si="0"/>
        <v>34861.449999999997</v>
      </c>
      <c r="M19" s="2"/>
      <c r="N19" s="19">
        <f t="shared" si="1"/>
        <v>0</v>
      </c>
      <c r="O19" s="11"/>
      <c r="P19" s="2">
        <f>--1013188.44</f>
        <v>1013188.44</v>
      </c>
      <c r="Q19" s="2"/>
      <c r="R19" s="19"/>
      <c r="S19" s="2"/>
      <c r="T19" s="2"/>
      <c r="U19" s="2"/>
      <c r="V19" s="19"/>
      <c r="W19" s="2"/>
      <c r="X19" s="2">
        <f t="shared" si="2"/>
        <v>1013188.44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-11580.95</f>
        <v>-11580.95</v>
      </c>
      <c r="E20" s="2"/>
      <c r="F20" s="19"/>
      <c r="G20" s="2"/>
      <c r="H20" s="2"/>
      <c r="I20" s="2"/>
      <c r="J20" s="19"/>
      <c r="K20" s="2"/>
      <c r="L20" s="2">
        <f t="shared" si="0"/>
        <v>-11580.95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/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--2501.57</f>
        <v>2501.5700000000002</v>
      </c>
      <c r="E21" s="2"/>
      <c r="F21" s="19"/>
      <c r="G21" s="2"/>
      <c r="H21" s="2"/>
      <c r="I21" s="2"/>
      <c r="J21" s="19"/>
      <c r="K21" s="2"/>
      <c r="L21" s="2">
        <f t="shared" si="0"/>
        <v>2501.5700000000002</v>
      </c>
      <c r="M21" s="2"/>
      <c r="N21" s="19">
        <f t="shared" si="1"/>
        <v>0</v>
      </c>
      <c r="O21" s="11"/>
      <c r="P21" s="2">
        <f>--52835.89</f>
        <v>52835.89</v>
      </c>
      <c r="Q21" s="2"/>
      <c r="R21" s="19"/>
      <c r="S21" s="2"/>
      <c r="T21" s="2"/>
      <c r="U21" s="2"/>
      <c r="V21" s="19"/>
      <c r="W21" s="2"/>
      <c r="X21" s="2">
        <f t="shared" si="2"/>
        <v>52835.89</v>
      </c>
      <c r="Y21" s="2"/>
      <c r="Z21" s="19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257</v>
      </c>
      <c r="C23" s="10"/>
      <c r="D23" s="4">
        <f>SUM(OSRRefD16x_0)</f>
        <v>25239.5</v>
      </c>
      <c r="E23" s="4"/>
      <c r="F23" s="12">
        <f t="shared" ref="F23:F26" si="5">IF(D$12=0,0,D23/D$12)</f>
        <v>0.26072244894712632</v>
      </c>
      <c r="G23" s="4"/>
      <c r="H23" s="4">
        <f>SUM(OSRRefH16x_0)</f>
        <v>2831</v>
      </c>
      <c r="I23" s="4"/>
      <c r="J23" s="12">
        <f t="shared" ref="J23:J26" si="6">IF(H$12=0,0,H23/H$12)</f>
        <v>0.25996326905417816</v>
      </c>
      <c r="K23" s="4"/>
      <c r="L23" s="4">
        <f t="shared" ref="L23:L26" si="7">+D23-H23</f>
        <v>22408.5</v>
      </c>
      <c r="M23" s="4"/>
      <c r="N23" s="12">
        <f t="shared" ref="N23:N26" si="8">IF(H23=0,0,L23/H23)</f>
        <v>7.9154009184033907</v>
      </c>
      <c r="O23" s="10"/>
      <c r="P23" s="4">
        <f>SUM(OSRRefP16x_0)</f>
        <v>484074.91</v>
      </c>
      <c r="Q23" s="4"/>
      <c r="R23" s="12">
        <f t="shared" ref="R23:R26" si="9">IF(P$12=0,0,P23/P$12)</f>
        <v>0.30121663292079409</v>
      </c>
      <c r="S23" s="4"/>
      <c r="T23" s="4">
        <f>SUM(OSRRefT16x_0)</f>
        <v>1137719</v>
      </c>
      <c r="U23" s="4"/>
      <c r="V23" s="12">
        <f t="shared" ref="V23:V26" si="10">IF(T$12=0,0,T23/T$12)</f>
        <v>0.27283710599413857</v>
      </c>
      <c r="W23" s="4"/>
      <c r="X23" s="4">
        <f t="shared" ref="X23:X26" si="11">+P23-T23</f>
        <v>-653644.09000000008</v>
      </c>
      <c r="Y23" s="4"/>
      <c r="Z23" s="12">
        <f t="shared" ref="Z23:Z26" si="12">IF(T23=0,0,X23/T23)</f>
        <v>-0.57452155584990672</v>
      </c>
    </row>
    <row r="24" spans="1:26" s="24" customFormat="1" hidden="1" outlineLevel="1" x14ac:dyDescent="0.25">
      <c r="A24" s="44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19">
        <f t="shared" si="5"/>
        <v>0</v>
      </c>
      <c r="G24" s="2"/>
      <c r="H24" s="2">
        <v>2831</v>
      </c>
      <c r="I24" s="2"/>
      <c r="J24" s="19">
        <f t="shared" si="6"/>
        <v>0.25996326905417816</v>
      </c>
      <c r="K24" s="2"/>
      <c r="L24" s="2">
        <f t="shared" si="7"/>
        <v>-2831</v>
      </c>
      <c r="M24" s="2"/>
      <c r="N24" s="19">
        <f t="shared" si="8"/>
        <v>-1</v>
      </c>
      <c r="O24" s="11"/>
      <c r="P24" s="2"/>
      <c r="Q24" s="2"/>
      <c r="R24" s="19">
        <f t="shared" si="9"/>
        <v>0</v>
      </c>
      <c r="S24" s="2"/>
      <c r="T24" s="2">
        <v>1137719</v>
      </c>
      <c r="U24" s="2"/>
      <c r="V24" s="19">
        <f t="shared" si="10"/>
        <v>0.27283710599413857</v>
      </c>
      <c r="W24" s="2"/>
      <c r="X24" s="2">
        <f t="shared" si="11"/>
        <v>-1137719</v>
      </c>
      <c r="Y24" s="2"/>
      <c r="Z24" s="19">
        <f t="shared" si="12"/>
        <v>-1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20419.5</v>
      </c>
      <c r="E25" s="2"/>
      <c r="F25" s="19">
        <f t="shared" si="5"/>
        <v>0.21093215183644071</v>
      </c>
      <c r="G25" s="2"/>
      <c r="H25" s="2"/>
      <c r="I25" s="2"/>
      <c r="J25" s="19">
        <f t="shared" si="6"/>
        <v>0</v>
      </c>
      <c r="K25" s="2"/>
      <c r="L25" s="2">
        <f t="shared" si="7"/>
        <v>20419.5</v>
      </c>
      <c r="M25" s="2"/>
      <c r="N25" s="19">
        <f t="shared" si="8"/>
        <v>0</v>
      </c>
      <c r="O25" s="11"/>
      <c r="P25" s="2">
        <v>476295.6</v>
      </c>
      <c r="Q25" s="2"/>
      <c r="R25" s="19">
        <f t="shared" si="9"/>
        <v>0.29637594087863256</v>
      </c>
      <c r="S25" s="2"/>
      <c r="T25" s="2"/>
      <c r="U25" s="2"/>
      <c r="V25" s="19">
        <f t="shared" si="10"/>
        <v>0</v>
      </c>
      <c r="W25" s="2"/>
      <c r="X25" s="2">
        <f t="shared" si="11"/>
        <v>476295.6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4820</v>
      </c>
      <c r="E26" s="2"/>
      <c r="F26" s="19">
        <f t="shared" si="5"/>
        <v>4.9790297110685583E-2</v>
      </c>
      <c r="G26" s="2"/>
      <c r="H26" s="2"/>
      <c r="I26" s="2"/>
      <c r="J26" s="19">
        <f t="shared" si="6"/>
        <v>0</v>
      </c>
      <c r="K26" s="2"/>
      <c r="L26" s="2">
        <f t="shared" si="7"/>
        <v>4820</v>
      </c>
      <c r="M26" s="2"/>
      <c r="N26" s="19">
        <f t="shared" si="8"/>
        <v>0</v>
      </c>
      <c r="O26" s="11"/>
      <c r="P26" s="2">
        <v>7779.31</v>
      </c>
      <c r="Q26" s="2"/>
      <c r="R26" s="19">
        <f t="shared" si="9"/>
        <v>4.8406920421615379E-3</v>
      </c>
      <c r="S26" s="2"/>
      <c r="T26" s="2"/>
      <c r="U26" s="2"/>
      <c r="V26" s="19">
        <f t="shared" si="10"/>
        <v>0</v>
      </c>
      <c r="W26" s="2"/>
      <c r="X26" s="2">
        <f t="shared" si="11"/>
        <v>7779.31</v>
      </c>
      <c r="Y26" s="2"/>
      <c r="Z26" s="19">
        <f t="shared" si="12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0">
        <f>D12-D23</f>
        <v>71566.510000000009</v>
      </c>
      <c r="E28" s="14"/>
      <c r="F28" s="22">
        <f>IF(D$12=0,0,D28/D$12)</f>
        <v>0.73927755105287374</v>
      </c>
      <c r="G28" s="14"/>
      <c r="H28" s="20">
        <f>H12-H23</f>
        <v>8059</v>
      </c>
      <c r="I28" s="14"/>
      <c r="J28" s="22">
        <f>IF(H$12=0,0,H28/H$12)</f>
        <v>0.7400367309458219</v>
      </c>
      <c r="K28" s="16"/>
      <c r="L28" s="20">
        <f>+D28-H28</f>
        <v>63507.510000000009</v>
      </c>
      <c r="M28" s="16"/>
      <c r="N28" s="22">
        <f>IF(H28=0,0,L28/H28)</f>
        <v>7.8803213798238003</v>
      </c>
      <c r="O28" s="29"/>
      <c r="P28" s="20">
        <f>P12-P23</f>
        <v>1122990.76</v>
      </c>
      <c r="Q28" s="14"/>
      <c r="R28" s="22">
        <f>IF(P$12=0,0,P28/P$12)</f>
        <v>0.69878336707920596</v>
      </c>
      <c r="S28" s="14"/>
      <c r="T28" s="20">
        <f>T12-T23</f>
        <v>3032238</v>
      </c>
      <c r="U28" s="14"/>
      <c r="V28" s="22">
        <f>IF(T$12=0,0,T28/T$12)</f>
        <v>0.72716289400586143</v>
      </c>
      <c r="W28" s="16"/>
      <c r="X28" s="20">
        <f>+P28-T28</f>
        <v>-1909247.24</v>
      </c>
      <c r="Y28" s="16"/>
      <c r="Z28" s="22">
        <f>IF(T28=0,0,X28/T28)</f>
        <v>-0.62964953278733393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1">
        <f>SUM(OSRRefD22x_0)</f>
        <v>358807.16</v>
      </c>
      <c r="E30" s="21"/>
      <c r="F30" s="30">
        <f t="shared" ref="F30:F41" si="13">IF(D$12=0,0,D30/D$12)</f>
        <v>3.7064554153197715</v>
      </c>
      <c r="G30" s="21"/>
      <c r="H30" s="21">
        <f>SUM(OSRRefH22x_0)</f>
        <v>345012.2883457056</v>
      </c>
      <c r="I30" s="21"/>
      <c r="J30" s="30">
        <f t="shared" ref="J30:J41" si="14">IF(H$12=0,0,H30/H$12)</f>
        <v>31.681569177750745</v>
      </c>
      <c r="K30" s="4"/>
      <c r="L30" s="21">
        <f t="shared" ref="L30:L41" si="15">+D30-H30</f>
        <v>13794.871654294373</v>
      </c>
      <c r="M30" s="4"/>
      <c r="N30" s="30">
        <f t="shared" ref="N30:N41" si="16">IF(H30=0,0,L30/H30)</f>
        <v>3.9983711074290142E-2</v>
      </c>
      <c r="O30" s="10"/>
      <c r="P30" s="21">
        <f>SUM(OSRRefP22x_0)</f>
        <v>4060338.0699999994</v>
      </c>
      <c r="Q30" s="21"/>
      <c r="R30" s="30">
        <f t="shared" ref="R30:R41" si="17">IF(P$12=0,0,P30/P$12)</f>
        <v>2.5265539210976984</v>
      </c>
      <c r="S30" s="21"/>
      <c r="T30" s="21">
        <f>SUM(OSRRefT22x_0)</f>
        <v>5586805.3882990247</v>
      </c>
      <c r="U30" s="21"/>
      <c r="V30" s="30">
        <f t="shared" ref="V30:V41" si="18">IF(T$12=0,0,T30/T$12)</f>
        <v>1.3397752994333094</v>
      </c>
      <c r="W30" s="4"/>
      <c r="X30" s="21">
        <f t="shared" ref="X30:X41" si="19">+P30-T30</f>
        <v>-1526467.3182990253</v>
      </c>
      <c r="Y30" s="4"/>
      <c r="Z30" s="30">
        <f t="shared" ref="Z30:Z41" si="20">IF(T30=0,0,X30/T30)</f>
        <v>-0.2732272223936868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95671.909999999989</v>
      </c>
      <c r="E31" s="1"/>
      <c r="F31" s="5">
        <f t="shared" si="13"/>
        <v>0.98828481826696479</v>
      </c>
      <c r="G31" s="1"/>
      <c r="H31" s="1">
        <f>SUM(OSRRefH22_0x_0)</f>
        <v>107150.10386160313</v>
      </c>
      <c r="I31" s="1"/>
      <c r="J31" s="5">
        <f t="shared" si="14"/>
        <v>9.8393116493666781</v>
      </c>
      <c r="K31" s="1"/>
      <c r="L31" s="1">
        <f t="shared" si="15"/>
        <v>-11478.19386160314</v>
      </c>
      <c r="M31" s="1"/>
      <c r="N31" s="5">
        <f t="shared" si="16"/>
        <v>-0.10712256402876257</v>
      </c>
      <c r="O31" s="13"/>
      <c r="P31" s="1">
        <f>SUM(OSRRefP22_0x_0)</f>
        <v>1172676.9000000001</v>
      </c>
      <c r="Q31" s="1"/>
      <c r="R31" s="5">
        <f t="shared" si="17"/>
        <v>0.7297006724062497</v>
      </c>
      <c r="S31" s="1"/>
      <c r="T31" s="1">
        <f>SUM(OSRRefT22_0x_0)</f>
        <v>1407260.3188990252</v>
      </c>
      <c r="U31" s="1"/>
      <c r="V31" s="5">
        <f t="shared" si="18"/>
        <v>0.33747597850506017</v>
      </c>
      <c r="W31" s="1"/>
      <c r="X31" s="1">
        <f t="shared" si="19"/>
        <v>-234583.41889902507</v>
      </c>
      <c r="Y31" s="1"/>
      <c r="Z31" s="5">
        <f t="shared" si="20"/>
        <v>-0.166695113724625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9336.73</v>
      </c>
      <c r="E32" s="2"/>
      <c r="F32" s="7">
        <f t="shared" si="13"/>
        <v>9.6447834178890329E-2</v>
      </c>
      <c r="G32" s="2"/>
      <c r="H32" s="6">
        <v>10994.752080526199</v>
      </c>
      <c r="I32" s="2"/>
      <c r="J32" s="7">
        <f t="shared" si="14"/>
        <v>1.0096191074863361</v>
      </c>
      <c r="K32" s="2"/>
      <c r="L32" s="6">
        <f t="shared" si="15"/>
        <v>-1658.0220805261997</v>
      </c>
      <c r="M32" s="2"/>
      <c r="N32" s="7">
        <f t="shared" si="16"/>
        <v>-0.15080122483733605</v>
      </c>
      <c r="O32" s="11"/>
      <c r="P32" s="6">
        <v>126606.75</v>
      </c>
      <c r="Q32" s="2"/>
      <c r="R32" s="7">
        <f t="shared" si="17"/>
        <v>7.8781317007412643E-2</v>
      </c>
      <c r="S32" s="2"/>
      <c r="T32" s="6">
        <v>148230.75710364</v>
      </c>
      <c r="U32" s="2"/>
      <c r="V32" s="7">
        <f t="shared" si="18"/>
        <v>3.5547310704556426E-2</v>
      </c>
      <c r="W32" s="2"/>
      <c r="X32" s="6">
        <f t="shared" si="19"/>
        <v>-21624.007103640004</v>
      </c>
      <c r="Y32" s="2"/>
      <c r="Z32" s="7">
        <f t="shared" si="20"/>
        <v>-0.14588070334499423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4508.42</v>
      </c>
      <c r="E33" s="2"/>
      <c r="F33" s="7">
        <f t="shared" si="13"/>
        <v>4.6571695290406036E-2</v>
      </c>
      <c r="G33" s="2"/>
      <c r="H33" s="6">
        <v>5805.2347939384599</v>
      </c>
      <c r="I33" s="2"/>
      <c r="J33" s="7">
        <f t="shared" si="14"/>
        <v>0.53307941174825157</v>
      </c>
      <c r="K33" s="2"/>
      <c r="L33" s="6">
        <f t="shared" si="15"/>
        <v>-1296.8147939384598</v>
      </c>
      <c r="M33" s="2"/>
      <c r="N33" s="7">
        <f t="shared" si="16"/>
        <v>-0.22338713936127613</v>
      </c>
      <c r="O33" s="11"/>
      <c r="P33" s="6">
        <v>67751.44</v>
      </c>
      <c r="Q33" s="2"/>
      <c r="R33" s="7">
        <f t="shared" si="17"/>
        <v>4.2158476324119357E-2</v>
      </c>
      <c r="S33" s="2"/>
      <c r="T33" s="6">
        <v>96944.918531999996</v>
      </c>
      <c r="U33" s="2"/>
      <c r="V33" s="7">
        <f t="shared" si="18"/>
        <v>2.3248421634083995E-2</v>
      </c>
      <c r="W33" s="2"/>
      <c r="X33" s="6">
        <f t="shared" si="19"/>
        <v>-29193.478531999994</v>
      </c>
      <c r="Y33" s="2"/>
      <c r="Z33" s="7">
        <f t="shared" si="20"/>
        <v>-0.30113469559896205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53382.080000000002</v>
      </c>
      <c r="E34" s="2"/>
      <c r="F34" s="7">
        <f t="shared" si="13"/>
        <v>0.55143353186439559</v>
      </c>
      <c r="G34" s="2"/>
      <c r="H34" s="6">
        <v>66855.384615384595</v>
      </c>
      <c r="I34" s="2"/>
      <c r="J34" s="7">
        <f t="shared" si="14"/>
        <v>6.1391537755174097</v>
      </c>
      <c r="K34" s="2"/>
      <c r="L34" s="6">
        <f t="shared" si="15"/>
        <v>-13473.304615384593</v>
      </c>
      <c r="M34" s="2"/>
      <c r="N34" s="7">
        <f t="shared" si="16"/>
        <v>-0.20152908689248869</v>
      </c>
      <c r="O34" s="11"/>
      <c r="P34" s="6">
        <v>650606.31999999995</v>
      </c>
      <c r="Q34" s="2"/>
      <c r="R34" s="7">
        <f t="shared" si="17"/>
        <v>0.40484115375322527</v>
      </c>
      <c r="S34" s="2"/>
      <c r="T34" s="6">
        <v>844514.88461538497</v>
      </c>
      <c r="U34" s="2"/>
      <c r="V34" s="7">
        <f t="shared" si="18"/>
        <v>0.2025236434369431</v>
      </c>
      <c r="W34" s="2"/>
      <c r="X34" s="6">
        <f t="shared" si="19"/>
        <v>-193908.56461538502</v>
      </c>
      <c r="Y34" s="2"/>
      <c r="Z34" s="7">
        <f t="shared" si="20"/>
        <v>-0.22960941026361692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314.92</v>
      </c>
      <c r="E35" s="2"/>
      <c r="F35" s="7">
        <f t="shared" si="13"/>
        <v>3.2531038103935902E-3</v>
      </c>
      <c r="G35" s="2"/>
      <c r="H35" s="6">
        <v>378.39856559999998</v>
      </c>
      <c r="I35" s="2"/>
      <c r="J35" s="7">
        <f t="shared" si="14"/>
        <v>3.4747343030303031E-2</v>
      </c>
      <c r="K35" s="2"/>
      <c r="L35" s="6">
        <f t="shared" si="15"/>
        <v>-63.478565599999968</v>
      </c>
      <c r="M35" s="2"/>
      <c r="N35" s="7">
        <f t="shared" si="16"/>
        <v>-0.16775583041480741</v>
      </c>
      <c r="O35" s="11"/>
      <c r="P35" s="6">
        <v>4785.79</v>
      </c>
      <c r="Q35" s="2"/>
      <c r="R35" s="7">
        <f t="shared" si="17"/>
        <v>2.9779679134082928E-3</v>
      </c>
      <c r="S35" s="2"/>
      <c r="T35" s="6">
        <v>6220.8096079999996</v>
      </c>
      <c r="U35" s="2"/>
      <c r="V35" s="7">
        <f t="shared" si="18"/>
        <v>1.491816248464912E-3</v>
      </c>
      <c r="W35" s="2"/>
      <c r="X35" s="6">
        <f t="shared" si="19"/>
        <v>-1435.0196079999996</v>
      </c>
      <c r="Y35" s="2"/>
      <c r="Z35" s="7">
        <f t="shared" si="20"/>
        <v>-0.23068052205850434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9566.91</v>
      </c>
      <c r="E36" s="2"/>
      <c r="F36" s="7">
        <f t="shared" si="13"/>
        <v>9.8825579114354564E-2</v>
      </c>
      <c r="G36" s="2"/>
      <c r="H36" s="6">
        <v>5989.2751107692402</v>
      </c>
      <c r="I36" s="2"/>
      <c r="J36" s="7">
        <f t="shared" si="14"/>
        <v>0.54997934901462264</v>
      </c>
      <c r="K36" s="2"/>
      <c r="L36" s="6">
        <f t="shared" si="15"/>
        <v>3577.6348892307597</v>
      </c>
      <c r="M36" s="2"/>
      <c r="N36" s="7">
        <f t="shared" si="16"/>
        <v>0.59734021614700239</v>
      </c>
      <c r="O36" s="11"/>
      <c r="P36" s="6">
        <v>88114.559999999998</v>
      </c>
      <c r="Q36" s="2"/>
      <c r="R36" s="7">
        <f t="shared" si="17"/>
        <v>5.4829470658781479E-2</v>
      </c>
      <c r="S36" s="2"/>
      <c r="T36" s="6">
        <v>77860.576440000106</v>
      </c>
      <c r="U36" s="2"/>
      <c r="V36" s="7">
        <f t="shared" si="18"/>
        <v>1.8671793603627113E-2</v>
      </c>
      <c r="W36" s="2"/>
      <c r="X36" s="6">
        <f t="shared" si="19"/>
        <v>10253.983559999891</v>
      </c>
      <c r="Y36" s="2"/>
      <c r="Z36" s="7">
        <f t="shared" si="20"/>
        <v>0.13169673317152591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6"/>
      <c r="E37" s="2"/>
      <c r="F37" s="7">
        <f t="shared" si="13"/>
        <v>0</v>
      </c>
      <c r="G37" s="2"/>
      <c r="H37" s="6">
        <v>0</v>
      </c>
      <c r="I37" s="2"/>
      <c r="J37" s="7">
        <f t="shared" si="14"/>
        <v>0</v>
      </c>
      <c r="K37" s="2"/>
      <c r="L37" s="6">
        <f t="shared" si="15"/>
        <v>0</v>
      </c>
      <c r="M37" s="2"/>
      <c r="N37" s="7">
        <f t="shared" si="16"/>
        <v>0</v>
      </c>
      <c r="O37" s="11"/>
      <c r="P37" s="6"/>
      <c r="Q37" s="2"/>
      <c r="R37" s="7">
        <f t="shared" si="17"/>
        <v>0</v>
      </c>
      <c r="S37" s="2"/>
      <c r="T37" s="6">
        <v>0</v>
      </c>
      <c r="U37" s="2"/>
      <c r="V37" s="7">
        <f t="shared" si="18"/>
        <v>0</v>
      </c>
      <c r="W37" s="2"/>
      <c r="X37" s="6">
        <f t="shared" si="19"/>
        <v>0</v>
      </c>
      <c r="Y37" s="2"/>
      <c r="Z37" s="7">
        <f t="shared" si="20"/>
        <v>0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6">
        <v>1294.78</v>
      </c>
      <c r="E38" s="2"/>
      <c r="F38" s="7">
        <f t="shared" si="13"/>
        <v>1.3374996035886613E-2</v>
      </c>
      <c r="G38" s="2"/>
      <c r="H38" s="6"/>
      <c r="I38" s="2"/>
      <c r="J38" s="7">
        <f t="shared" si="14"/>
        <v>0</v>
      </c>
      <c r="K38" s="2"/>
      <c r="L38" s="6">
        <f t="shared" si="15"/>
        <v>1294.78</v>
      </c>
      <c r="M38" s="2"/>
      <c r="N38" s="7">
        <f t="shared" si="16"/>
        <v>0</v>
      </c>
      <c r="O38" s="11"/>
      <c r="P38" s="6">
        <v>18126.740000000002</v>
      </c>
      <c r="Q38" s="2"/>
      <c r="R38" s="7">
        <f t="shared" si="17"/>
        <v>1.1279402166558634E-2</v>
      </c>
      <c r="S38" s="2"/>
      <c r="T38" s="6"/>
      <c r="U38" s="2"/>
      <c r="V38" s="7">
        <f t="shared" si="18"/>
        <v>0</v>
      </c>
      <c r="W38" s="2"/>
      <c r="X38" s="6">
        <f t="shared" si="19"/>
        <v>18126.740000000002</v>
      </c>
      <c r="Y38" s="2"/>
      <c r="Z38" s="7">
        <f t="shared" si="20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8559.56</v>
      </c>
      <c r="E39" s="2"/>
      <c r="F39" s="7">
        <f t="shared" si="13"/>
        <v>8.8419716916336072E-2</v>
      </c>
      <c r="G39" s="2"/>
      <c r="H39" s="6">
        <v>8280.2399538461596</v>
      </c>
      <c r="I39" s="2"/>
      <c r="J39" s="7">
        <f t="shared" si="14"/>
        <v>0.7603526128417043</v>
      </c>
      <c r="K39" s="2"/>
      <c r="L39" s="6">
        <f t="shared" si="15"/>
        <v>279.32004615383994</v>
      </c>
      <c r="M39" s="2"/>
      <c r="N39" s="7">
        <f t="shared" si="16"/>
        <v>3.3733327501468867E-2</v>
      </c>
      <c r="O39" s="11"/>
      <c r="P39" s="6">
        <v>111186.51</v>
      </c>
      <c r="Q39" s="2"/>
      <c r="R39" s="7">
        <f t="shared" si="17"/>
        <v>6.9186040169721255E-2</v>
      </c>
      <c r="S39" s="2"/>
      <c r="T39" s="6">
        <v>107530.84940000001</v>
      </c>
      <c r="U39" s="2"/>
      <c r="V39" s="7">
        <f t="shared" si="18"/>
        <v>2.5787040345979589E-2</v>
      </c>
      <c r="W39" s="2"/>
      <c r="X39" s="6">
        <f t="shared" si="19"/>
        <v>3655.6605999999883</v>
      </c>
      <c r="Y39" s="2"/>
      <c r="Z39" s="7">
        <f t="shared" si="20"/>
        <v>3.3996389132958792E-2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5387.89</v>
      </c>
      <c r="E40" s="2"/>
      <c r="F40" s="7">
        <f t="shared" si="13"/>
        <v>5.5656565124417377E-2</v>
      </c>
      <c r="G40" s="2"/>
      <c r="H40" s="6">
        <v>4821.81874153846</v>
      </c>
      <c r="I40" s="2"/>
      <c r="J40" s="7">
        <f t="shared" si="14"/>
        <v>0.44277490739563452</v>
      </c>
      <c r="K40" s="2"/>
      <c r="L40" s="6">
        <f t="shared" si="15"/>
        <v>566.07125846154031</v>
      </c>
      <c r="M40" s="2"/>
      <c r="N40" s="7">
        <f t="shared" si="16"/>
        <v>0.117397871799911</v>
      </c>
      <c r="O40" s="11"/>
      <c r="P40" s="6">
        <v>71644.94</v>
      </c>
      <c r="Q40" s="2"/>
      <c r="R40" s="7">
        <f t="shared" si="17"/>
        <v>4.4581214904553343E-2</v>
      </c>
      <c r="S40" s="2"/>
      <c r="T40" s="6">
        <v>77657.523199999996</v>
      </c>
      <c r="U40" s="2"/>
      <c r="V40" s="7">
        <f t="shared" si="18"/>
        <v>1.8623099278961389E-2</v>
      </c>
      <c r="W40" s="2"/>
      <c r="X40" s="6">
        <f t="shared" si="19"/>
        <v>-6012.5831999999937</v>
      </c>
      <c r="Y40" s="2"/>
      <c r="Z40" s="7">
        <f t="shared" si="20"/>
        <v>-7.7424349274121507E-2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3320.62</v>
      </c>
      <c r="E41" s="2"/>
      <c r="F41" s="7">
        <f t="shared" si="13"/>
        <v>3.4301795931884801E-2</v>
      </c>
      <c r="G41" s="2"/>
      <c r="H41" s="6">
        <v>4025</v>
      </c>
      <c r="I41" s="2"/>
      <c r="J41" s="7">
        <f t="shared" si="14"/>
        <v>0.36960514233241504</v>
      </c>
      <c r="K41" s="2"/>
      <c r="L41" s="6">
        <f t="shared" si="15"/>
        <v>-704.38000000000011</v>
      </c>
      <c r="M41" s="2"/>
      <c r="N41" s="7">
        <f t="shared" si="16"/>
        <v>-0.17500124223602487</v>
      </c>
      <c r="O41" s="11"/>
      <c r="P41" s="6">
        <v>33853.85</v>
      </c>
      <c r="Q41" s="2"/>
      <c r="R41" s="7">
        <f t="shared" si="17"/>
        <v>2.1065629508469307E-2</v>
      </c>
      <c r="S41" s="2"/>
      <c r="T41" s="6">
        <v>48300</v>
      </c>
      <c r="U41" s="2"/>
      <c r="V41" s="7">
        <f t="shared" si="18"/>
        <v>1.158285325244361E-2</v>
      </c>
      <c r="W41" s="2"/>
      <c r="X41" s="6">
        <f t="shared" si="19"/>
        <v>-14446.150000000001</v>
      </c>
      <c r="Y41" s="2"/>
      <c r="Z41" s="7">
        <f t="shared" si="20"/>
        <v>-0.29909213250517602</v>
      </c>
    </row>
    <row r="42" spans="1:26" s="27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104704.26999999999</v>
      </c>
      <c r="E42" s="1"/>
      <c r="F42" s="5">
        <f t="shared" ref="F42:F52" si="21">IF(D$12=0,0,D42/D$12)</f>
        <v>1.0815885294724985</v>
      </c>
      <c r="G42" s="1"/>
      <c r="H42" s="1">
        <f>SUM(OSRRefH22_1x_0)</f>
        <v>132531.85115076919</v>
      </c>
      <c r="I42" s="1"/>
      <c r="J42" s="5">
        <f t="shared" ref="J42:J52" si="22">IF(H$12=0,0,H42/H$12)</f>
        <v>12.170050610722607</v>
      </c>
      <c r="K42" s="1"/>
      <c r="L42" s="1">
        <f t="shared" ref="L42:L52" si="23">+D42-H42</f>
        <v>-27827.581150769198</v>
      </c>
      <c r="M42" s="1"/>
      <c r="N42" s="5">
        <f t="shared" ref="N42:N52" si="24">IF(H42=0,0,L42/H42)</f>
        <v>-0.20996900676436142</v>
      </c>
      <c r="O42" s="13"/>
      <c r="P42" s="1">
        <f>SUM(OSRRefP22_1x_0)</f>
        <v>1582325.4399999997</v>
      </c>
      <c r="Q42" s="1"/>
      <c r="R42" s="5">
        <f t="shared" ref="R42:R52" si="25">IF(P$12=0,0,P42/P$12)</f>
        <v>0.98460533974321018</v>
      </c>
      <c r="S42" s="1"/>
      <c r="T42" s="1">
        <f>SUM(OSRRefT22_1x_0)</f>
        <v>2213837.0693999999</v>
      </c>
      <c r="U42" s="1"/>
      <c r="V42" s="5">
        <f t="shared" ref="V42:V52" si="26">IF(T$12=0,0,T42/T$12)</f>
        <v>0.53090165423768154</v>
      </c>
      <c r="W42" s="1"/>
      <c r="X42" s="1">
        <f t="shared" ref="X42:X52" si="27">+P42-T42</f>
        <v>-631511.62940000021</v>
      </c>
      <c r="Y42" s="1"/>
      <c r="Z42" s="5">
        <f t="shared" ref="Z42:Z52" si="28">IF(T42=0,0,X42/T42)</f>
        <v>-0.28525659730286934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>
        <v>17340.95</v>
      </c>
      <c r="E43" s="2"/>
      <c r="F43" s="7">
        <f t="shared" si="21"/>
        <v>0.17913092379285128</v>
      </c>
      <c r="G43" s="2"/>
      <c r="H43" s="6">
        <v>9962.3076923076896</v>
      </c>
      <c r="I43" s="2"/>
      <c r="J43" s="7">
        <f t="shared" si="22"/>
        <v>0.91481246026700547</v>
      </c>
      <c r="K43" s="2"/>
      <c r="L43" s="6">
        <f t="shared" si="23"/>
        <v>7378.6423076923111</v>
      </c>
      <c r="M43" s="2"/>
      <c r="N43" s="7">
        <f t="shared" si="24"/>
        <v>0.74065593390471829</v>
      </c>
      <c r="O43" s="11"/>
      <c r="P43" s="6">
        <v>236822.94</v>
      </c>
      <c r="Q43" s="2"/>
      <c r="R43" s="7">
        <f t="shared" si="25"/>
        <v>0.14736357351221374</v>
      </c>
      <c r="S43" s="2"/>
      <c r="T43" s="6">
        <v>129510</v>
      </c>
      <c r="U43" s="2"/>
      <c r="V43" s="7">
        <f t="shared" si="26"/>
        <v>3.1057874217887617E-2</v>
      </c>
      <c r="W43" s="2"/>
      <c r="X43" s="6">
        <f t="shared" si="27"/>
        <v>107312.94</v>
      </c>
      <c r="Y43" s="2"/>
      <c r="Z43" s="7">
        <f t="shared" si="28"/>
        <v>0.82860736622654618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38618.65</v>
      </c>
      <c r="E44" s="2"/>
      <c r="F44" s="7">
        <f t="shared" si="21"/>
        <v>0.39892822769991243</v>
      </c>
      <c r="G44" s="2"/>
      <c r="H44" s="6">
        <v>52827.443538461499</v>
      </c>
      <c r="I44" s="2"/>
      <c r="J44" s="7">
        <f t="shared" si="22"/>
        <v>4.851004916295822</v>
      </c>
      <c r="K44" s="2"/>
      <c r="L44" s="6">
        <f t="shared" si="23"/>
        <v>-14208.793538461498</v>
      </c>
      <c r="M44" s="2"/>
      <c r="N44" s="7">
        <f t="shared" si="24"/>
        <v>-0.26896613931576407</v>
      </c>
      <c r="O44" s="11"/>
      <c r="P44" s="6">
        <v>519962.09</v>
      </c>
      <c r="Q44" s="2"/>
      <c r="R44" s="7">
        <f t="shared" si="25"/>
        <v>0.32354750630694518</v>
      </c>
      <c r="S44" s="2"/>
      <c r="T44" s="6">
        <v>686756.76599999995</v>
      </c>
      <c r="U44" s="2"/>
      <c r="V44" s="7">
        <f t="shared" si="26"/>
        <v>0.1646915702008438</v>
      </c>
      <c r="W44" s="2"/>
      <c r="X44" s="6">
        <f t="shared" si="27"/>
        <v>-166794.67599999992</v>
      </c>
      <c r="Y44" s="2"/>
      <c r="Z44" s="7">
        <f t="shared" si="28"/>
        <v>-0.24287299995818307</v>
      </c>
    </row>
    <row r="45" spans="1:26" s="24" customFormat="1" hidden="1" outlineLevel="2" x14ac:dyDescent="0.25">
      <c r="A45" s="26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>
        <v>43013.96</v>
      </c>
      <c r="E46" s="2"/>
      <c r="F46" s="7">
        <f t="shared" si="21"/>
        <v>0.44433150379816289</v>
      </c>
      <c r="G46" s="2"/>
      <c r="H46" s="6">
        <v>66904.849919999993</v>
      </c>
      <c r="I46" s="2"/>
      <c r="J46" s="7">
        <f t="shared" si="22"/>
        <v>6.1436960440771342</v>
      </c>
      <c r="K46" s="2"/>
      <c r="L46" s="6">
        <f t="shared" si="23"/>
        <v>-23890.889919999994</v>
      </c>
      <c r="M46" s="2"/>
      <c r="N46" s="7">
        <f t="shared" si="24"/>
        <v>-0.35708756463196617</v>
      </c>
      <c r="O46" s="11"/>
      <c r="P46" s="6">
        <v>579169.66</v>
      </c>
      <c r="Q46" s="2"/>
      <c r="R46" s="7">
        <f t="shared" si="25"/>
        <v>0.36038954151761582</v>
      </c>
      <c r="S46" s="2"/>
      <c r="T46" s="6">
        <v>934014.18896000006</v>
      </c>
      <c r="U46" s="2"/>
      <c r="V46" s="7">
        <f t="shared" si="26"/>
        <v>0.22398652766923019</v>
      </c>
      <c r="W46" s="2"/>
      <c r="X46" s="6">
        <f t="shared" si="27"/>
        <v>-354844.52896000003</v>
      </c>
      <c r="Y46" s="2"/>
      <c r="Z46" s="7">
        <f t="shared" si="28"/>
        <v>-0.3799134243935951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5617.03</v>
      </c>
      <c r="E47" s="2"/>
      <c r="F47" s="7">
        <f t="shared" si="21"/>
        <v>5.8023566925235318E-2</v>
      </c>
      <c r="G47" s="2"/>
      <c r="H47" s="6">
        <v>1815.84</v>
      </c>
      <c r="I47" s="2"/>
      <c r="J47" s="7">
        <f t="shared" si="22"/>
        <v>0.16674380165289254</v>
      </c>
      <c r="K47" s="2"/>
      <c r="L47" s="6">
        <f t="shared" si="23"/>
        <v>3801.1899999999996</v>
      </c>
      <c r="M47" s="2"/>
      <c r="N47" s="7">
        <f t="shared" si="24"/>
        <v>2.0933507357476429</v>
      </c>
      <c r="O47" s="11"/>
      <c r="P47" s="6">
        <v>116015.42</v>
      </c>
      <c r="Q47" s="2"/>
      <c r="R47" s="7">
        <f t="shared" si="25"/>
        <v>7.2190839594003645E-2</v>
      </c>
      <c r="S47" s="2"/>
      <c r="T47" s="6">
        <v>123976.04144</v>
      </c>
      <c r="U47" s="2"/>
      <c r="V47" s="7">
        <f t="shared" si="26"/>
        <v>2.9730772149449022E-2</v>
      </c>
      <c r="W47" s="2"/>
      <c r="X47" s="6">
        <f t="shared" si="27"/>
        <v>-7960.6214400000026</v>
      </c>
      <c r="Y47" s="2"/>
      <c r="Z47" s="7">
        <f t="shared" si="28"/>
        <v>-6.4210966470103506E-2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>
        <v>2427.2199999999998</v>
      </c>
      <c r="Q48" s="2"/>
      <c r="R48" s="7">
        <f t="shared" si="25"/>
        <v>1.5103427602930501E-3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2427.2199999999998</v>
      </c>
      <c r="Y48" s="2"/>
      <c r="Z48" s="7">
        <f t="shared" si="28"/>
        <v>0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113.68</v>
      </c>
      <c r="E49" s="2"/>
      <c r="F49" s="7">
        <f t="shared" si="21"/>
        <v>1.1743072563366675E-3</v>
      </c>
      <c r="G49" s="2"/>
      <c r="H49" s="6">
        <v>1021.41</v>
      </c>
      <c r="I49" s="2"/>
      <c r="J49" s="7">
        <f t="shared" si="22"/>
        <v>9.3793388429752059E-2</v>
      </c>
      <c r="K49" s="2"/>
      <c r="L49" s="6">
        <f t="shared" si="23"/>
        <v>-907.73</v>
      </c>
      <c r="M49" s="2"/>
      <c r="N49" s="7">
        <f t="shared" si="24"/>
        <v>-0.88870287152074101</v>
      </c>
      <c r="O49" s="11"/>
      <c r="P49" s="6">
        <v>117297.23</v>
      </c>
      <c r="Q49" s="2"/>
      <c r="R49" s="7">
        <f t="shared" si="25"/>
        <v>7.2988448567879616E-2</v>
      </c>
      <c r="S49" s="2"/>
      <c r="T49" s="6">
        <v>18335.871200000001</v>
      </c>
      <c r="U49" s="2"/>
      <c r="V49" s="7">
        <f t="shared" si="26"/>
        <v>4.3971367570456964E-3</v>
      </c>
      <c r="W49" s="2"/>
      <c r="X49" s="6">
        <f t="shared" si="27"/>
        <v>98961.358799999987</v>
      </c>
      <c r="Y49" s="2"/>
      <c r="Z49" s="7">
        <f t="shared" si="28"/>
        <v>5.3971451762815601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>
        <v>10630.88</v>
      </c>
      <c r="Q50" s="2"/>
      <c r="R50" s="7">
        <f t="shared" si="25"/>
        <v>6.6150874842594324E-3</v>
      </c>
      <c r="S50" s="2"/>
      <c r="T50" s="6">
        <v>321244.20179999998</v>
      </c>
      <c r="U50" s="2"/>
      <c r="V50" s="7">
        <f t="shared" si="26"/>
        <v>7.7037773243225291E-2</v>
      </c>
      <c r="W50" s="2"/>
      <c r="X50" s="6">
        <f t="shared" si="27"/>
        <v>-310613.32179999998</v>
      </c>
      <c r="Y50" s="2"/>
      <c r="Z50" s="7">
        <f t="shared" si="28"/>
        <v>-0.96690716924871201</v>
      </c>
    </row>
    <row r="51" spans="1:26" s="24" customFormat="1" hidden="1" outlineLevel="2" x14ac:dyDescent="0.25">
      <c r="A51" s="26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1"/>
        <v>0</v>
      </c>
      <c r="G51" s="2"/>
      <c r="H51" s="6">
        <v>0</v>
      </c>
      <c r="I51" s="2"/>
      <c r="J51" s="7">
        <f t="shared" si="22"/>
        <v>0</v>
      </c>
      <c r="K51" s="2"/>
      <c r="L51" s="6">
        <f t="shared" si="23"/>
        <v>0</v>
      </c>
      <c r="M51" s="2"/>
      <c r="N51" s="7">
        <f t="shared" si="24"/>
        <v>0</v>
      </c>
      <c r="O51" s="11"/>
      <c r="P51" s="6"/>
      <c r="Q51" s="2"/>
      <c r="R51" s="7">
        <f t="shared" si="25"/>
        <v>0</v>
      </c>
      <c r="S51" s="2"/>
      <c r="T51" s="6">
        <v>0</v>
      </c>
      <c r="U51" s="2"/>
      <c r="V51" s="7">
        <f t="shared" si="26"/>
        <v>0</v>
      </c>
      <c r="W51" s="2"/>
      <c r="X51" s="6">
        <f t="shared" si="27"/>
        <v>0</v>
      </c>
      <c r="Y51" s="2"/>
      <c r="Z51" s="7">
        <f t="shared" si="28"/>
        <v>0</v>
      </c>
    </row>
    <row r="52" spans="1:26" s="24" customFormat="1" hidden="1" outlineLevel="2" x14ac:dyDescent="0.25">
      <c r="A52" s="26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1"/>
        <v>0</v>
      </c>
      <c r="G52" s="2"/>
      <c r="H52" s="6">
        <v>0</v>
      </c>
      <c r="I52" s="2"/>
      <c r="J52" s="7">
        <f t="shared" si="22"/>
        <v>0</v>
      </c>
      <c r="K52" s="2"/>
      <c r="L52" s="6">
        <f t="shared" si="23"/>
        <v>0</v>
      </c>
      <c r="M52" s="2"/>
      <c r="N52" s="7">
        <f t="shared" si="24"/>
        <v>0</v>
      </c>
      <c r="O52" s="11"/>
      <c r="P52" s="6"/>
      <c r="Q52" s="2"/>
      <c r="R52" s="7">
        <f t="shared" si="25"/>
        <v>0</v>
      </c>
      <c r="S52" s="2"/>
      <c r="T52" s="6">
        <v>0</v>
      </c>
      <c r="U52" s="2"/>
      <c r="V52" s="7">
        <f t="shared" si="26"/>
        <v>0</v>
      </c>
      <c r="W52" s="2"/>
      <c r="X52" s="6">
        <f t="shared" si="27"/>
        <v>0</v>
      </c>
      <c r="Y52" s="2"/>
      <c r="Z52" s="7">
        <f t="shared" si="28"/>
        <v>0</v>
      </c>
    </row>
    <row r="53" spans="1:26" s="27" customFormat="1" outlineLevel="1" collapsed="1" x14ac:dyDescent="0.25">
      <c r="A53" s="25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75.180000000000007</v>
      </c>
      <c r="E53" s="1"/>
      <c r="F53" s="5">
        <f t="shared" ref="F53:F62" si="29">IF(D$12=0,0,D53/D$12)</f>
        <v>7.7660467568077638E-4</v>
      </c>
      <c r="G53" s="1"/>
      <c r="H53" s="1">
        <f>SUM(OSRRefH22_2x_0)</f>
        <v>1169</v>
      </c>
      <c r="I53" s="1"/>
      <c r="J53" s="5">
        <f t="shared" ref="J53:J62" si="30">IF(H$12=0,0,H53/H$12)</f>
        <v>0.10734618916437098</v>
      </c>
      <c r="K53" s="1"/>
      <c r="L53" s="1">
        <f t="shared" ref="L53:L62" si="31">+D53-H53</f>
        <v>-1093.82</v>
      </c>
      <c r="M53" s="1"/>
      <c r="N53" s="5">
        <f t="shared" ref="N53:N62" si="32">IF(H53=0,0,L53/H53)</f>
        <v>-0.93568862275449094</v>
      </c>
      <c r="O53" s="13"/>
      <c r="P53" s="1">
        <f>SUM(OSRRefP22_2x_0)</f>
        <v>2090.56</v>
      </c>
      <c r="Q53" s="1"/>
      <c r="R53" s="5">
        <f t="shared" ref="R53:R62" si="33">IF(P$12=0,0,P53/P$12)</f>
        <v>1.3008553657922392E-3</v>
      </c>
      <c r="S53" s="1"/>
      <c r="T53" s="1">
        <f>SUM(OSRRefT22_2x_0)</f>
        <v>20307</v>
      </c>
      <c r="U53" s="1"/>
      <c r="V53" s="5">
        <f t="shared" ref="V53:V62" si="34">IF(T$12=0,0,T53/T$12)</f>
        <v>4.8698343891795523E-3</v>
      </c>
      <c r="W53" s="1"/>
      <c r="X53" s="1">
        <f t="shared" ref="X53:X62" si="35">+P53-T53</f>
        <v>-18216.439999999999</v>
      </c>
      <c r="Y53" s="1"/>
      <c r="Z53" s="5">
        <f t="shared" ref="Z53:Z62" si="36">IF(T53=0,0,X53/T53)</f>
        <v>-0.89705224799330274</v>
      </c>
    </row>
    <row r="54" spans="1:26" s="24" customFormat="1" hidden="1" outlineLevel="2" x14ac:dyDescent="0.25">
      <c r="A54" s="26"/>
      <c r="B54" s="11" t="str">
        <f>CONCATENATE("          ", "6362", " - ", "ADVERTISING EXPENSE")</f>
        <v xml:space="preserve">          6362 - ADVERTISING EXPENSE</v>
      </c>
      <c r="C54" s="11"/>
      <c r="D54" s="6">
        <v>75.180000000000007</v>
      </c>
      <c r="E54" s="2"/>
      <c r="F54" s="7">
        <f t="shared" si="29"/>
        <v>7.7660467568077638E-4</v>
      </c>
      <c r="G54" s="2"/>
      <c r="H54" s="6">
        <v>1169</v>
      </c>
      <c r="I54" s="2"/>
      <c r="J54" s="7">
        <f t="shared" si="30"/>
        <v>0.10734618916437098</v>
      </c>
      <c r="K54" s="2"/>
      <c r="L54" s="6">
        <f t="shared" si="31"/>
        <v>-1093.82</v>
      </c>
      <c r="M54" s="2"/>
      <c r="N54" s="7">
        <f t="shared" si="32"/>
        <v>-0.93568862275449094</v>
      </c>
      <c r="O54" s="11"/>
      <c r="P54" s="6">
        <v>2090.56</v>
      </c>
      <c r="Q54" s="2"/>
      <c r="R54" s="7">
        <f t="shared" si="33"/>
        <v>1.3008553657922392E-3</v>
      </c>
      <c r="S54" s="2"/>
      <c r="T54" s="6">
        <v>20307</v>
      </c>
      <c r="U54" s="2"/>
      <c r="V54" s="7">
        <f t="shared" si="34"/>
        <v>4.8698343891795523E-3</v>
      </c>
      <c r="W54" s="2"/>
      <c r="X54" s="6">
        <f t="shared" si="35"/>
        <v>-18216.439999999999</v>
      </c>
      <c r="Y54" s="2"/>
      <c r="Z54" s="7">
        <f t="shared" si="36"/>
        <v>-0.89705224799330274</v>
      </c>
    </row>
    <row r="55" spans="1:26" s="27" customFormat="1" outlineLevel="1" collapsed="1" x14ac:dyDescent="0.25">
      <c r="A55" s="25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-2.69</v>
      </c>
      <c r="E55" s="1"/>
      <c r="F55" s="5">
        <f t="shared" si="29"/>
        <v>-2.7787530960112906E-5</v>
      </c>
      <c r="G55" s="1"/>
      <c r="H55" s="1">
        <f>SUM(OSRRefH22_3x_0)</f>
        <v>20</v>
      </c>
      <c r="I55" s="1"/>
      <c r="J55" s="5">
        <f t="shared" si="30"/>
        <v>1.8365472910927456E-3</v>
      </c>
      <c r="K55" s="1"/>
      <c r="L55" s="1">
        <f t="shared" si="31"/>
        <v>-22.69</v>
      </c>
      <c r="M55" s="1"/>
      <c r="N55" s="5">
        <f t="shared" si="32"/>
        <v>-1.1345000000000001</v>
      </c>
      <c r="O55" s="13"/>
      <c r="P55" s="1">
        <f>SUM(OSRRefP22_3x_0)</f>
        <v>67.05</v>
      </c>
      <c r="Q55" s="1"/>
      <c r="R55" s="5">
        <f t="shared" si="33"/>
        <v>4.1722003805855673E-5</v>
      </c>
      <c r="S55" s="1"/>
      <c r="T55" s="1">
        <f>SUM(OSRRefT22_3x_0)</f>
        <v>430</v>
      </c>
      <c r="U55" s="1"/>
      <c r="V55" s="5">
        <f t="shared" si="34"/>
        <v>1.0311856932817293E-4</v>
      </c>
      <c r="W55" s="1"/>
      <c r="X55" s="1">
        <f t="shared" si="35"/>
        <v>-362.95</v>
      </c>
      <c r="Y55" s="1"/>
      <c r="Z55" s="5">
        <f t="shared" si="36"/>
        <v>-0.84406976744186046</v>
      </c>
    </row>
    <row r="56" spans="1:26" s="24" customFormat="1" hidden="1" outlineLevel="2" x14ac:dyDescent="0.25">
      <c r="A56" s="26"/>
      <c r="B56" s="11" t="str">
        <f>CONCATENATE("          ", "6272", " - ", "CASH (OVER/SHORT)")</f>
        <v xml:space="preserve">          6272 - CASH (OVER/SHORT)</v>
      </c>
      <c r="C56" s="11"/>
      <c r="D56" s="6">
        <v>-2.69</v>
      </c>
      <c r="E56" s="2"/>
      <c r="F56" s="7">
        <f t="shared" si="29"/>
        <v>-2.7787530960112906E-5</v>
      </c>
      <c r="G56" s="2"/>
      <c r="H56" s="6">
        <v>20</v>
      </c>
      <c r="I56" s="2"/>
      <c r="J56" s="7">
        <f t="shared" si="30"/>
        <v>1.8365472910927456E-3</v>
      </c>
      <c r="K56" s="2"/>
      <c r="L56" s="6">
        <f t="shared" si="31"/>
        <v>-22.69</v>
      </c>
      <c r="M56" s="2"/>
      <c r="N56" s="7">
        <f t="shared" si="32"/>
        <v>-1.1345000000000001</v>
      </c>
      <c r="O56" s="11"/>
      <c r="P56" s="6">
        <v>67.05</v>
      </c>
      <c r="Q56" s="2"/>
      <c r="R56" s="7">
        <f t="shared" si="33"/>
        <v>4.1722003805855673E-5</v>
      </c>
      <c r="S56" s="2"/>
      <c r="T56" s="6">
        <v>430</v>
      </c>
      <c r="U56" s="2"/>
      <c r="V56" s="7">
        <f t="shared" si="34"/>
        <v>1.0311856932817293E-4</v>
      </c>
      <c r="W56" s="2"/>
      <c r="X56" s="6">
        <f t="shared" si="35"/>
        <v>-362.95</v>
      </c>
      <c r="Y56" s="2"/>
      <c r="Z56" s="7">
        <f t="shared" si="36"/>
        <v>-0.84406976744186046</v>
      </c>
    </row>
    <row r="57" spans="1:26" s="27" customFormat="1" outlineLevel="1" collapsed="1" x14ac:dyDescent="0.25">
      <c r="A57" s="25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829.57</v>
      </c>
      <c r="E57" s="1"/>
      <c r="F57" s="5">
        <f t="shared" si="29"/>
        <v>8.5694059697326644E-3</v>
      </c>
      <c r="G57" s="1"/>
      <c r="H57" s="1">
        <f>SUM(OSRRefH22_4x_0)</f>
        <v>1110</v>
      </c>
      <c r="I57" s="1"/>
      <c r="J57" s="5">
        <f t="shared" si="30"/>
        <v>0.10192837465564739</v>
      </c>
      <c r="K57" s="1"/>
      <c r="L57" s="1">
        <f t="shared" si="31"/>
        <v>-280.42999999999995</v>
      </c>
      <c r="M57" s="1"/>
      <c r="N57" s="5">
        <f t="shared" si="32"/>
        <v>-0.25263963963963959</v>
      </c>
      <c r="O57" s="13"/>
      <c r="P57" s="1">
        <f>SUM(OSRRefP22_4x_0)</f>
        <v>8271.23</v>
      </c>
      <c r="Q57" s="1"/>
      <c r="R57" s="5">
        <f t="shared" si="33"/>
        <v>5.146790298868123E-3</v>
      </c>
      <c r="S57" s="1"/>
      <c r="T57" s="1">
        <f>SUM(OSRRefT22_4x_0)</f>
        <v>32818</v>
      </c>
      <c r="U57" s="1"/>
      <c r="V57" s="5">
        <f t="shared" si="34"/>
        <v>7.8701051353766965E-3</v>
      </c>
      <c r="W57" s="1"/>
      <c r="X57" s="1">
        <f t="shared" si="35"/>
        <v>-24546.77</v>
      </c>
      <c r="Y57" s="1"/>
      <c r="Z57" s="5">
        <f t="shared" si="36"/>
        <v>-0.74796666463526118</v>
      </c>
    </row>
    <row r="58" spans="1:26" s="24" customFormat="1" hidden="1" outlineLevel="2" x14ac:dyDescent="0.25">
      <c r="A58" s="26"/>
      <c r="B58" s="11" t="str">
        <f>CONCATENATE("          ", "6381", " - ", "BANK/CREDIT CARD FEES")</f>
        <v xml:space="preserve">          6381 - BANK/CREDIT CARD FEES</v>
      </c>
      <c r="C58" s="11"/>
      <c r="D58" s="6">
        <v>829.57</v>
      </c>
      <c r="E58" s="2"/>
      <c r="F58" s="7">
        <f t="shared" si="29"/>
        <v>8.5694059697326644E-3</v>
      </c>
      <c r="G58" s="2"/>
      <c r="H58" s="6">
        <v>1110</v>
      </c>
      <c r="I58" s="2"/>
      <c r="J58" s="7">
        <f t="shared" si="30"/>
        <v>0.10192837465564739</v>
      </c>
      <c r="K58" s="2"/>
      <c r="L58" s="6">
        <f t="shared" si="31"/>
        <v>-280.42999999999995</v>
      </c>
      <c r="M58" s="2"/>
      <c r="N58" s="7">
        <f t="shared" si="32"/>
        <v>-0.25263963963963959</v>
      </c>
      <c r="O58" s="11"/>
      <c r="P58" s="6">
        <v>8271.23</v>
      </c>
      <c r="Q58" s="2"/>
      <c r="R58" s="7">
        <f t="shared" si="33"/>
        <v>5.146790298868123E-3</v>
      </c>
      <c r="S58" s="2"/>
      <c r="T58" s="6">
        <v>32818</v>
      </c>
      <c r="U58" s="2"/>
      <c r="V58" s="7">
        <f t="shared" si="34"/>
        <v>7.8701051353766965E-3</v>
      </c>
      <c r="W58" s="2"/>
      <c r="X58" s="6">
        <f t="shared" si="35"/>
        <v>-24546.77</v>
      </c>
      <c r="Y58" s="2"/>
      <c r="Z58" s="7">
        <f t="shared" si="36"/>
        <v>-0.74796666463526118</v>
      </c>
    </row>
    <row r="59" spans="1:26" s="27" customFormat="1" outlineLevel="1" collapsed="1" x14ac:dyDescent="0.25">
      <c r="A59" s="25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31802.329999999998</v>
      </c>
      <c r="E59" s="1"/>
      <c r="F59" s="5">
        <f t="shared" si="29"/>
        <v>0.32851607043818865</v>
      </c>
      <c r="G59" s="1"/>
      <c r="H59" s="1">
        <f>SUM(OSRRefH22_5x_0)</f>
        <v>35790</v>
      </c>
      <c r="I59" s="1"/>
      <c r="J59" s="5">
        <f t="shared" si="30"/>
        <v>3.2865013774104681</v>
      </c>
      <c r="K59" s="1"/>
      <c r="L59" s="1">
        <f t="shared" si="31"/>
        <v>-3987.6700000000019</v>
      </c>
      <c r="M59" s="1"/>
      <c r="N59" s="5">
        <f t="shared" si="32"/>
        <v>-0.11141855266834316</v>
      </c>
      <c r="O59" s="13"/>
      <c r="P59" s="1">
        <f>SUM(OSRRefP22_5x_0)</f>
        <v>446369.24</v>
      </c>
      <c r="Q59" s="1"/>
      <c r="R59" s="5">
        <f t="shared" si="33"/>
        <v>0.27775420029973014</v>
      </c>
      <c r="S59" s="1"/>
      <c r="T59" s="1">
        <f>SUM(OSRRefT22_5x_0)</f>
        <v>455624</v>
      </c>
      <c r="U59" s="1"/>
      <c r="V59" s="5">
        <f t="shared" si="34"/>
        <v>0.10926347681762666</v>
      </c>
      <c r="W59" s="1"/>
      <c r="X59" s="1">
        <f t="shared" si="35"/>
        <v>-9254.7600000000093</v>
      </c>
      <c r="Y59" s="1"/>
      <c r="Z59" s="5">
        <f t="shared" si="36"/>
        <v>-2.0312275033799822E-2</v>
      </c>
    </row>
    <row r="60" spans="1:26" s="24" customFormat="1" hidden="1" outlineLevel="2" x14ac:dyDescent="0.25">
      <c r="A60" s="26"/>
      <c r="B60" s="11" t="str">
        <f>CONCATENATE("          ", "6321", " - ", "BUILDING DEPRECIATION")</f>
        <v xml:space="preserve">          6321 - BUILDING DEPRECIATION</v>
      </c>
      <c r="C60" s="11"/>
      <c r="D60" s="6">
        <v>23583.53</v>
      </c>
      <c r="E60" s="2"/>
      <c r="F60" s="7">
        <f t="shared" si="29"/>
        <v>0.24361638290845783</v>
      </c>
      <c r="G60" s="2"/>
      <c r="H60" s="6"/>
      <c r="I60" s="2"/>
      <c r="J60" s="7">
        <f t="shared" si="30"/>
        <v>0</v>
      </c>
      <c r="K60" s="2"/>
      <c r="L60" s="6">
        <f t="shared" si="31"/>
        <v>23583.53</v>
      </c>
      <c r="M60" s="2"/>
      <c r="N60" s="7">
        <f t="shared" si="32"/>
        <v>0</v>
      </c>
      <c r="O60" s="11"/>
      <c r="P60" s="6">
        <v>283786.11</v>
      </c>
      <c r="Q60" s="2"/>
      <c r="R60" s="7">
        <f t="shared" si="33"/>
        <v>0.17658650501818013</v>
      </c>
      <c r="S60" s="2"/>
      <c r="T60" s="6"/>
      <c r="U60" s="2"/>
      <c r="V60" s="7">
        <f t="shared" si="34"/>
        <v>0</v>
      </c>
      <c r="W60" s="2"/>
      <c r="X60" s="6">
        <f t="shared" si="35"/>
        <v>283786.11</v>
      </c>
      <c r="Y60" s="2"/>
      <c r="Z60" s="7">
        <f t="shared" si="36"/>
        <v>0</v>
      </c>
    </row>
    <row r="61" spans="1:26" s="24" customFormat="1" hidden="1" outlineLevel="2" x14ac:dyDescent="0.25">
      <c r="A61" s="26"/>
      <c r="B61" s="11" t="str">
        <f>CONCATENATE("          ", "6322", " - ", "EQUIPMENT DEPRECIATION EXPENSE")</f>
        <v xml:space="preserve">          6322 - EQUIPMENT DEPRECIATION EXPENSE</v>
      </c>
      <c r="C61" s="11"/>
      <c r="D61" s="6">
        <v>8218.7999999999993</v>
      </c>
      <c r="E61" s="2"/>
      <c r="F61" s="7">
        <f t="shared" si="29"/>
        <v>8.489968752973083E-2</v>
      </c>
      <c r="G61" s="2"/>
      <c r="H61" s="6">
        <v>35240</v>
      </c>
      <c r="I61" s="2"/>
      <c r="J61" s="7">
        <f t="shared" si="30"/>
        <v>3.2359963269054179</v>
      </c>
      <c r="K61" s="2"/>
      <c r="L61" s="6">
        <f t="shared" si="31"/>
        <v>-27021.200000000001</v>
      </c>
      <c r="M61" s="2"/>
      <c r="N61" s="7">
        <f t="shared" si="32"/>
        <v>-0.76677639046538026</v>
      </c>
      <c r="O61" s="11"/>
      <c r="P61" s="6">
        <v>162583.13</v>
      </c>
      <c r="Q61" s="2"/>
      <c r="R61" s="7">
        <f t="shared" si="33"/>
        <v>0.10116769528155001</v>
      </c>
      <c r="S61" s="2"/>
      <c r="T61" s="6">
        <v>449024</v>
      </c>
      <c r="U61" s="2"/>
      <c r="V61" s="7">
        <f t="shared" si="34"/>
        <v>0.10768072668375238</v>
      </c>
      <c r="W61" s="2"/>
      <c r="X61" s="6">
        <f t="shared" si="35"/>
        <v>-286440.87</v>
      </c>
      <c r="Y61" s="2"/>
      <c r="Z61" s="7">
        <f t="shared" si="36"/>
        <v>-0.63791884175456104</v>
      </c>
    </row>
    <row r="62" spans="1:26" s="24" customFormat="1" hidden="1" outlineLevel="2" x14ac:dyDescent="0.25">
      <c r="A62" s="26"/>
      <c r="B62" s="11" t="str">
        <f>CONCATENATE("          ", "6326", " - ", "VEHICLES DEPRECIATION EXPENSE")</f>
        <v xml:space="preserve">          6326 - VEHICLES DEPRECIATION EXPENSE</v>
      </c>
      <c r="C62" s="11"/>
      <c r="D62" s="6"/>
      <c r="E62" s="2"/>
      <c r="F62" s="7">
        <f t="shared" si="29"/>
        <v>0</v>
      </c>
      <c r="G62" s="2"/>
      <c r="H62" s="6">
        <v>550</v>
      </c>
      <c r="I62" s="2"/>
      <c r="J62" s="7">
        <f t="shared" si="30"/>
        <v>5.0505050505050504E-2</v>
      </c>
      <c r="K62" s="2"/>
      <c r="L62" s="6">
        <f t="shared" si="31"/>
        <v>-550</v>
      </c>
      <c r="M62" s="2"/>
      <c r="N62" s="7">
        <f t="shared" si="32"/>
        <v>-1</v>
      </c>
      <c r="O62" s="11"/>
      <c r="P62" s="6"/>
      <c r="Q62" s="2"/>
      <c r="R62" s="7">
        <f t="shared" si="33"/>
        <v>0</v>
      </c>
      <c r="S62" s="2"/>
      <c r="T62" s="6">
        <v>6600</v>
      </c>
      <c r="U62" s="2"/>
      <c r="V62" s="7">
        <f t="shared" si="34"/>
        <v>1.5827501338742821E-3</v>
      </c>
      <c r="W62" s="2"/>
      <c r="X62" s="6">
        <f t="shared" si="35"/>
        <v>-6600</v>
      </c>
      <c r="Y62" s="2"/>
      <c r="Z62" s="7">
        <f t="shared" si="36"/>
        <v>-1</v>
      </c>
    </row>
    <row r="63" spans="1:26" s="27" customFormat="1" outlineLevel="1" collapsed="1" x14ac:dyDescent="0.25">
      <c r="A63" s="25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SUM(OSRRefD22_6x_0)</f>
        <v>0</v>
      </c>
      <c r="E63" s="1"/>
      <c r="F63" s="5">
        <f t="shared" ref="F63:F85" si="37">IF(D$12=0,0,D63/D$12)</f>
        <v>0</v>
      </c>
      <c r="G63" s="1"/>
      <c r="H63" s="1">
        <f>SUM(OSRRefH22_6x_0)</f>
        <v>0</v>
      </c>
      <c r="I63" s="1"/>
      <c r="J63" s="5">
        <f t="shared" ref="J63:J85" si="38">IF(H$12=0,0,H63/H$12)</f>
        <v>0</v>
      </c>
      <c r="K63" s="1"/>
      <c r="L63" s="1">
        <f t="shared" ref="L63:L85" si="39">+D63-H63</f>
        <v>0</v>
      </c>
      <c r="M63" s="1"/>
      <c r="N63" s="5">
        <f t="shared" ref="N63:N85" si="40">IF(H63=0,0,L63/H63)</f>
        <v>0</v>
      </c>
      <c r="O63" s="13"/>
      <c r="P63" s="1">
        <f>SUM(OSRRefP22_6x_0)</f>
        <v>61909.05</v>
      </c>
      <c r="Q63" s="1"/>
      <c r="R63" s="5">
        <f t="shared" ref="R63:R85" si="41">IF(P$12=0,0,P63/P$12)</f>
        <v>3.8523036833958385E-2</v>
      </c>
      <c r="S63" s="1"/>
      <c r="T63" s="1">
        <f>SUM(OSRRefT22_6x_0)</f>
        <v>130730</v>
      </c>
      <c r="U63" s="1"/>
      <c r="V63" s="5">
        <f t="shared" ref="V63:V85" si="42">IF(T$12=0,0,T63/T$12)</f>
        <v>3.1350443182028016E-2</v>
      </c>
      <c r="W63" s="1"/>
      <c r="X63" s="1">
        <f t="shared" ref="X63:X85" si="43">+P63-T63</f>
        <v>-68820.95</v>
      </c>
      <c r="Y63" s="1"/>
      <c r="Z63" s="5">
        <f t="shared" ref="Z63:Z85" si="44">IF(T63=0,0,X63/T63)</f>
        <v>-0.5264357836762793</v>
      </c>
    </row>
    <row r="64" spans="1:26" s="24" customFormat="1" hidden="1" outlineLevel="2" x14ac:dyDescent="0.25">
      <c r="A64" s="26"/>
      <c r="B64" s="11" t="str">
        <f>CONCATENATE("          ", "6399", " - ", "DONATION-ON CAMPUS")</f>
        <v xml:space="preserve">          6399 - DONATION-ON CAMPUS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61909.05</v>
      </c>
      <c r="Q64" s="2"/>
      <c r="R64" s="7">
        <f t="shared" si="41"/>
        <v>3.8523036833958385E-2</v>
      </c>
      <c r="S64" s="2"/>
      <c r="T64" s="6">
        <v>130730</v>
      </c>
      <c r="U64" s="2"/>
      <c r="V64" s="7">
        <f t="shared" si="42"/>
        <v>3.1350443182028016E-2</v>
      </c>
      <c r="W64" s="2"/>
      <c r="X64" s="6">
        <f t="shared" si="43"/>
        <v>-68820.95</v>
      </c>
      <c r="Y64" s="2"/>
      <c r="Z64" s="7">
        <f t="shared" si="44"/>
        <v>-0.5264357836762793</v>
      </c>
    </row>
    <row r="65" spans="1:26" s="27" customFormat="1" outlineLevel="1" collapsed="1" x14ac:dyDescent="0.25">
      <c r="A65" s="25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25</v>
      </c>
      <c r="E65" s="1"/>
      <c r="F65" s="5">
        <f t="shared" si="37"/>
        <v>2.5824842899733184E-4</v>
      </c>
      <c r="G65" s="1"/>
      <c r="H65" s="1">
        <f>SUM(OSRRefH22_7x_0)</f>
        <v>100</v>
      </c>
      <c r="I65" s="1"/>
      <c r="J65" s="5">
        <f t="shared" si="38"/>
        <v>9.1827364554637279E-3</v>
      </c>
      <c r="K65" s="1"/>
      <c r="L65" s="1">
        <f t="shared" si="39"/>
        <v>-75</v>
      </c>
      <c r="M65" s="1"/>
      <c r="N65" s="5">
        <f t="shared" si="40"/>
        <v>-0.75</v>
      </c>
      <c r="O65" s="13"/>
      <c r="P65" s="1">
        <f>SUM(OSRRefP22_7x_0)</f>
        <v>35</v>
      </c>
      <c r="Q65" s="1"/>
      <c r="R65" s="5">
        <f t="shared" si="41"/>
        <v>2.1778823761445918E-5</v>
      </c>
      <c r="S65" s="1"/>
      <c r="T65" s="1">
        <f>SUM(OSRRefT22_7x_0)</f>
        <v>3400</v>
      </c>
      <c r="U65" s="1"/>
      <c r="V65" s="5">
        <f t="shared" si="42"/>
        <v>8.1535612957159991E-4</v>
      </c>
      <c r="W65" s="1"/>
      <c r="X65" s="1">
        <f t="shared" si="43"/>
        <v>-3365</v>
      </c>
      <c r="Y65" s="1"/>
      <c r="Z65" s="5">
        <f t="shared" si="44"/>
        <v>-0.98970588235294121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6">
        <v>25</v>
      </c>
      <c r="E66" s="2"/>
      <c r="F66" s="7">
        <f t="shared" si="37"/>
        <v>2.5824842899733184E-4</v>
      </c>
      <c r="G66" s="2"/>
      <c r="H66" s="6">
        <v>100</v>
      </c>
      <c r="I66" s="2"/>
      <c r="J66" s="7">
        <f t="shared" si="38"/>
        <v>9.1827364554637279E-3</v>
      </c>
      <c r="K66" s="2"/>
      <c r="L66" s="6">
        <f t="shared" si="39"/>
        <v>-75</v>
      </c>
      <c r="M66" s="2"/>
      <c r="N66" s="7">
        <f t="shared" si="40"/>
        <v>-0.75</v>
      </c>
      <c r="O66" s="11"/>
      <c r="P66" s="6">
        <v>35</v>
      </c>
      <c r="Q66" s="2"/>
      <c r="R66" s="7">
        <f t="shared" si="41"/>
        <v>2.1778823761445918E-5</v>
      </c>
      <c r="S66" s="2"/>
      <c r="T66" s="6">
        <v>3400</v>
      </c>
      <c r="U66" s="2"/>
      <c r="V66" s="7">
        <f t="shared" si="42"/>
        <v>8.1535612957159991E-4</v>
      </c>
      <c r="W66" s="2"/>
      <c r="X66" s="6">
        <f t="shared" si="43"/>
        <v>-3365</v>
      </c>
      <c r="Y66" s="2"/>
      <c r="Z66" s="7">
        <f t="shared" si="44"/>
        <v>-0.98970588235294121</v>
      </c>
    </row>
    <row r="67" spans="1:26" s="27" customFormat="1" outlineLevel="1" collapsed="1" x14ac:dyDescent="0.25">
      <c r="A67" s="25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1881.19</v>
      </c>
      <c r="E67" s="1"/>
      <c r="F67" s="5">
        <f t="shared" si="37"/>
        <v>1.9432574485819629E-2</v>
      </c>
      <c r="G67" s="1"/>
      <c r="H67" s="1">
        <f>SUM(OSRRefH22_8x_0)</f>
        <v>993.33333333333303</v>
      </c>
      <c r="I67" s="1"/>
      <c r="J67" s="5">
        <f t="shared" si="38"/>
        <v>9.1215182124273E-2</v>
      </c>
      <c r="K67" s="1"/>
      <c r="L67" s="1">
        <f t="shared" si="39"/>
        <v>887.85666666666702</v>
      </c>
      <c r="M67" s="1"/>
      <c r="N67" s="5">
        <f t="shared" si="40"/>
        <v>0.89381543624161142</v>
      </c>
      <c r="O67" s="13"/>
      <c r="P67" s="1">
        <f>SUM(OSRRefP22_8x_0)</f>
        <v>14683.12</v>
      </c>
      <c r="Q67" s="1"/>
      <c r="R67" s="5">
        <f t="shared" si="41"/>
        <v>9.1366023642331946E-3</v>
      </c>
      <c r="S67" s="1"/>
      <c r="T67" s="1">
        <f>SUM(OSRRefT22_8x_0)</f>
        <v>12225</v>
      </c>
      <c r="U67" s="1"/>
      <c r="V67" s="5">
        <f t="shared" si="42"/>
        <v>2.9316849070625908E-3</v>
      </c>
      <c r="W67" s="1"/>
      <c r="X67" s="1">
        <f t="shared" si="43"/>
        <v>2458.1200000000008</v>
      </c>
      <c r="Y67" s="1"/>
      <c r="Z67" s="5">
        <f t="shared" si="44"/>
        <v>0.2010732106339469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6">
        <v>1881.19</v>
      </c>
      <c r="E68" s="2"/>
      <c r="F68" s="7">
        <f t="shared" si="37"/>
        <v>1.9432574485819629E-2</v>
      </c>
      <c r="G68" s="2"/>
      <c r="H68" s="6">
        <v>993.33333333333303</v>
      </c>
      <c r="I68" s="2"/>
      <c r="J68" s="7">
        <f t="shared" si="38"/>
        <v>9.1215182124273E-2</v>
      </c>
      <c r="K68" s="2"/>
      <c r="L68" s="6">
        <f t="shared" si="39"/>
        <v>887.85666666666702</v>
      </c>
      <c r="M68" s="2"/>
      <c r="N68" s="7">
        <f t="shared" si="40"/>
        <v>0.89381543624161142</v>
      </c>
      <c r="O68" s="11"/>
      <c r="P68" s="6">
        <v>14683.12</v>
      </c>
      <c r="Q68" s="2"/>
      <c r="R68" s="7">
        <f t="shared" si="41"/>
        <v>9.1366023642331946E-3</v>
      </c>
      <c r="S68" s="2"/>
      <c r="T68" s="6">
        <v>12225</v>
      </c>
      <c r="U68" s="2"/>
      <c r="V68" s="7">
        <f t="shared" si="42"/>
        <v>2.9316849070625908E-3</v>
      </c>
      <c r="W68" s="2"/>
      <c r="X68" s="6">
        <f t="shared" si="43"/>
        <v>2458.1200000000008</v>
      </c>
      <c r="Y68" s="2"/>
      <c r="Z68" s="7">
        <f t="shared" si="44"/>
        <v>0.2010732106339469</v>
      </c>
    </row>
    <row r="69" spans="1:26" s="27" customFormat="1" outlineLevel="1" collapsed="1" x14ac:dyDescent="0.25">
      <c r="A69" s="25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0</v>
      </c>
      <c r="E69" s="1"/>
      <c r="F69" s="5">
        <f t="shared" si="37"/>
        <v>0</v>
      </c>
      <c r="G69" s="1"/>
      <c r="H69" s="1">
        <f>SUM(OSRRefH22_9x_0)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SUM(OSRRefP22_9x_0)</f>
        <v>-2.4500000000000002</v>
      </c>
      <c r="Q69" s="1"/>
      <c r="R69" s="5">
        <f t="shared" si="41"/>
        <v>-1.5245176633012142E-6</v>
      </c>
      <c r="S69" s="1"/>
      <c r="T69" s="1">
        <f>SUM(OSRRefT22_9x_0)</f>
        <v>0</v>
      </c>
      <c r="U69" s="1"/>
      <c r="V69" s="5">
        <f t="shared" si="42"/>
        <v>0</v>
      </c>
      <c r="W69" s="1"/>
      <c r="X69" s="1">
        <f t="shared" si="43"/>
        <v>-2.4500000000000002</v>
      </c>
      <c r="Y69" s="1"/>
      <c r="Z69" s="5">
        <f t="shared" si="44"/>
        <v>0</v>
      </c>
    </row>
    <row r="70" spans="1:26" s="24" customFormat="1" hidden="1" outlineLevel="2" x14ac:dyDescent="0.25">
      <c r="A70" s="26"/>
      <c r="B70" s="11" t="str">
        <f>CONCATENATE("          ", "6307", " - ", "POSTAGE")</f>
        <v xml:space="preserve">          6307 - POSTAGE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-2.4500000000000002</v>
      </c>
      <c r="Q70" s="2"/>
      <c r="R70" s="7">
        <f t="shared" si="41"/>
        <v>-1.5245176633012142E-6</v>
      </c>
      <c r="S70" s="2"/>
      <c r="T70" s="6"/>
      <c r="U70" s="2"/>
      <c r="V70" s="7">
        <f t="shared" si="42"/>
        <v>0</v>
      </c>
      <c r="W70" s="2"/>
      <c r="X70" s="6">
        <f t="shared" si="43"/>
        <v>-2.4500000000000002</v>
      </c>
      <c r="Y70" s="2"/>
      <c r="Z70" s="7">
        <f t="shared" si="44"/>
        <v>0</v>
      </c>
    </row>
    <row r="71" spans="1:26" s="27" customFormat="1" outlineLevel="1" collapsed="1" x14ac:dyDescent="0.25">
      <c r="A71" s="25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2520</v>
      </c>
      <c r="E71" s="1"/>
      <c r="F71" s="5">
        <f t="shared" si="37"/>
        <v>2.6031441642931051E-2</v>
      </c>
      <c r="G71" s="1"/>
      <c r="H71" s="1">
        <f>SUM(OSRRefH22_10x_0)</f>
        <v>430</v>
      </c>
      <c r="I71" s="1"/>
      <c r="J71" s="5">
        <f t="shared" si="38"/>
        <v>3.948576675849403E-2</v>
      </c>
      <c r="K71" s="1"/>
      <c r="L71" s="1">
        <f t="shared" si="39"/>
        <v>2090</v>
      </c>
      <c r="M71" s="1"/>
      <c r="N71" s="5">
        <f t="shared" si="40"/>
        <v>4.8604651162790695</v>
      </c>
      <c r="O71" s="13"/>
      <c r="P71" s="1">
        <f>SUM(OSRRefP22_10x_0)</f>
        <v>18067.41</v>
      </c>
      <c r="Q71" s="1"/>
      <c r="R71" s="5">
        <f t="shared" si="41"/>
        <v>1.1242483949022445E-2</v>
      </c>
      <c r="S71" s="1"/>
      <c r="T71" s="1">
        <f>SUM(OSRRefT22_10x_0)</f>
        <v>16190</v>
      </c>
      <c r="U71" s="1"/>
      <c r="V71" s="5">
        <f t="shared" si="42"/>
        <v>3.8825340405188829E-3</v>
      </c>
      <c r="W71" s="1"/>
      <c r="X71" s="1">
        <f t="shared" si="43"/>
        <v>1877.4099999999999</v>
      </c>
      <c r="Y71" s="1"/>
      <c r="Z71" s="5">
        <f t="shared" si="44"/>
        <v>0.11596108709079678</v>
      </c>
    </row>
    <row r="72" spans="1:26" s="24" customFormat="1" hidden="1" outlineLevel="2" x14ac:dyDescent="0.25">
      <c r="A72" s="26"/>
      <c r="B72" s="11" t="str">
        <f>CONCATENATE("          ", "6279", " - ", "GENERAL EXPENSE")</f>
        <v xml:space="preserve">          6279 - GENERAL EXPENSE</v>
      </c>
      <c r="C72" s="11"/>
      <c r="D72" s="6">
        <v>2520</v>
      </c>
      <c r="E72" s="2"/>
      <c r="F72" s="7">
        <f t="shared" si="37"/>
        <v>2.6031441642931051E-2</v>
      </c>
      <c r="G72" s="2"/>
      <c r="H72" s="6">
        <v>430</v>
      </c>
      <c r="I72" s="2"/>
      <c r="J72" s="7">
        <f t="shared" si="38"/>
        <v>3.948576675849403E-2</v>
      </c>
      <c r="K72" s="2"/>
      <c r="L72" s="6">
        <f t="shared" si="39"/>
        <v>2090</v>
      </c>
      <c r="M72" s="2"/>
      <c r="N72" s="7">
        <f t="shared" si="40"/>
        <v>4.8604651162790695</v>
      </c>
      <c r="O72" s="11"/>
      <c r="P72" s="6">
        <v>18067.41</v>
      </c>
      <c r="Q72" s="2"/>
      <c r="R72" s="7">
        <f t="shared" si="41"/>
        <v>1.1242483949022445E-2</v>
      </c>
      <c r="S72" s="2"/>
      <c r="T72" s="6">
        <v>16190</v>
      </c>
      <c r="U72" s="2"/>
      <c r="V72" s="7">
        <f t="shared" si="42"/>
        <v>3.8825340405188829E-3</v>
      </c>
      <c r="W72" s="2"/>
      <c r="X72" s="6">
        <f t="shared" si="43"/>
        <v>1877.4099999999999</v>
      </c>
      <c r="Y72" s="2"/>
      <c r="Z72" s="7">
        <f t="shared" si="44"/>
        <v>0.11596108709079678</v>
      </c>
    </row>
    <row r="73" spans="1:26" s="27" customFormat="1" outlineLevel="1" collapsed="1" x14ac:dyDescent="0.25">
      <c r="A73" s="25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9047.7999999999993</v>
      </c>
      <c r="E73" s="1"/>
      <c r="F73" s="5">
        <f t="shared" si="37"/>
        <v>9.3463205435282359E-2</v>
      </c>
      <c r="G73" s="1"/>
      <c r="H73" s="1">
        <f>SUM(OSRRefH22_11x_0)</f>
        <v>4572</v>
      </c>
      <c r="I73" s="1"/>
      <c r="J73" s="5">
        <f t="shared" si="38"/>
        <v>0.41983471074380163</v>
      </c>
      <c r="K73" s="1"/>
      <c r="L73" s="1">
        <f t="shared" si="39"/>
        <v>4475.7999999999993</v>
      </c>
      <c r="M73" s="1"/>
      <c r="N73" s="5">
        <f t="shared" si="40"/>
        <v>0.97895888013998233</v>
      </c>
      <c r="O73" s="13"/>
      <c r="P73" s="1">
        <f>SUM(OSRRefP22_11x_0)</f>
        <v>61866.13</v>
      </c>
      <c r="Q73" s="1"/>
      <c r="R73" s="5">
        <f t="shared" si="41"/>
        <v>3.8496329773505769E-2</v>
      </c>
      <c r="S73" s="1"/>
      <c r="T73" s="1">
        <f>SUM(OSRRefT22_11x_0)</f>
        <v>54864</v>
      </c>
      <c r="U73" s="1"/>
      <c r="V73" s="5">
        <f t="shared" si="42"/>
        <v>1.3156970203769488E-2</v>
      </c>
      <c r="W73" s="1"/>
      <c r="X73" s="1">
        <f t="shared" si="43"/>
        <v>7002.1299999999974</v>
      </c>
      <c r="Y73" s="1"/>
      <c r="Z73" s="5">
        <f t="shared" si="44"/>
        <v>0.12762704141149017</v>
      </c>
    </row>
    <row r="74" spans="1:26" s="24" customFormat="1" hidden="1" outlineLevel="2" x14ac:dyDescent="0.25">
      <c r="A74" s="26"/>
      <c r="B74" s="11" t="str">
        <f>CONCATENATE("          ", "6314", " - ", "LIABILITY INSURANCE")</f>
        <v xml:space="preserve">          6314 - LIABILITY INSURANCE</v>
      </c>
      <c r="C74" s="11"/>
      <c r="D74" s="6">
        <v>9047.7999999999993</v>
      </c>
      <c r="E74" s="2"/>
      <c r="F74" s="7">
        <f t="shared" si="37"/>
        <v>9.3463205435282359E-2</v>
      </c>
      <c r="G74" s="2"/>
      <c r="H74" s="6">
        <v>4572</v>
      </c>
      <c r="I74" s="2"/>
      <c r="J74" s="7">
        <f t="shared" si="38"/>
        <v>0.41983471074380163</v>
      </c>
      <c r="K74" s="2"/>
      <c r="L74" s="6">
        <f t="shared" si="39"/>
        <v>4475.7999999999993</v>
      </c>
      <c r="M74" s="2"/>
      <c r="N74" s="7">
        <f t="shared" si="40"/>
        <v>0.97895888013998233</v>
      </c>
      <c r="O74" s="11"/>
      <c r="P74" s="6">
        <v>61866.13</v>
      </c>
      <c r="Q74" s="2"/>
      <c r="R74" s="7">
        <f t="shared" si="41"/>
        <v>3.8496329773505769E-2</v>
      </c>
      <c r="S74" s="2"/>
      <c r="T74" s="6">
        <v>54864</v>
      </c>
      <c r="U74" s="2"/>
      <c r="V74" s="7">
        <f t="shared" si="42"/>
        <v>1.3156970203769488E-2</v>
      </c>
      <c r="W74" s="2"/>
      <c r="X74" s="6">
        <f t="shared" si="43"/>
        <v>7002.1299999999974</v>
      </c>
      <c r="Y74" s="2"/>
      <c r="Z74" s="7">
        <f t="shared" si="44"/>
        <v>0.12762704141149017</v>
      </c>
    </row>
    <row r="75" spans="1:26" s="27" customFormat="1" outlineLevel="1" collapsed="1" x14ac:dyDescent="0.25">
      <c r="A75" s="25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-815.7</v>
      </c>
      <c r="E75" s="1"/>
      <c r="F75" s="5">
        <f t="shared" si="37"/>
        <v>-8.4261297413249451E-3</v>
      </c>
      <c r="G75" s="1"/>
      <c r="H75" s="1">
        <f>SUM(OSRRefH22_12x_0)</f>
        <v>7253</v>
      </c>
      <c r="I75" s="1"/>
      <c r="J75" s="5">
        <f t="shared" si="38"/>
        <v>0.66602387511478423</v>
      </c>
      <c r="K75" s="1"/>
      <c r="L75" s="1">
        <f t="shared" si="39"/>
        <v>-8068.7</v>
      </c>
      <c r="M75" s="1"/>
      <c r="N75" s="5">
        <f t="shared" si="40"/>
        <v>-1.1124638080794154</v>
      </c>
      <c r="O75" s="13"/>
      <c r="P75" s="1">
        <f>SUM(OSRRefP22_12x_0)</f>
        <v>79764.45</v>
      </c>
      <c r="Q75" s="1"/>
      <c r="R75" s="5">
        <f t="shared" si="41"/>
        <v>4.9633597113676133E-2</v>
      </c>
      <c r="S75" s="1"/>
      <c r="T75" s="1">
        <f>SUM(OSRRefT22_12x_0)</f>
        <v>89606</v>
      </c>
      <c r="U75" s="1"/>
      <c r="V75" s="5">
        <f t="shared" si="42"/>
        <v>2.148847098423317E-2</v>
      </c>
      <c r="W75" s="1"/>
      <c r="X75" s="1">
        <f t="shared" si="43"/>
        <v>-9841.5500000000029</v>
      </c>
      <c r="Y75" s="1"/>
      <c r="Z75" s="5">
        <f t="shared" si="44"/>
        <v>-0.10983137289913625</v>
      </c>
    </row>
    <row r="76" spans="1:26" s="24" customFormat="1" hidden="1" outlineLevel="2" x14ac:dyDescent="0.25">
      <c r="A76" s="26"/>
      <c r="B76" s="11" t="str">
        <f>CONCATENATE("          ", "6401", " - ", "INTEREST EXPENSE")</f>
        <v xml:space="preserve">          6401 - INTEREST EXPENSE</v>
      </c>
      <c r="C76" s="11"/>
      <c r="D76" s="6">
        <v>-815.7</v>
      </c>
      <c r="E76" s="2"/>
      <c r="F76" s="7">
        <f t="shared" si="37"/>
        <v>-8.4261297413249451E-3</v>
      </c>
      <c r="G76" s="2"/>
      <c r="H76" s="6">
        <v>7253</v>
      </c>
      <c r="I76" s="2"/>
      <c r="J76" s="7">
        <f t="shared" si="38"/>
        <v>0.66602387511478423</v>
      </c>
      <c r="K76" s="2"/>
      <c r="L76" s="6">
        <f t="shared" si="39"/>
        <v>-8068.7</v>
      </c>
      <c r="M76" s="2"/>
      <c r="N76" s="7">
        <f t="shared" si="40"/>
        <v>-1.1124638080794154</v>
      </c>
      <c r="O76" s="11"/>
      <c r="P76" s="6">
        <v>79764.45</v>
      </c>
      <c r="Q76" s="2"/>
      <c r="R76" s="7">
        <f t="shared" si="41"/>
        <v>4.9633597113676133E-2</v>
      </c>
      <c r="S76" s="2"/>
      <c r="T76" s="6">
        <v>89606</v>
      </c>
      <c r="U76" s="2"/>
      <c r="V76" s="7">
        <f t="shared" si="42"/>
        <v>2.148847098423317E-2</v>
      </c>
      <c r="W76" s="2"/>
      <c r="X76" s="6">
        <f t="shared" si="43"/>
        <v>-9841.5500000000029</v>
      </c>
      <c r="Y76" s="2"/>
      <c r="Z76" s="7">
        <f t="shared" si="44"/>
        <v>-0.10983137289913625</v>
      </c>
    </row>
    <row r="77" spans="1:26" s="27" customFormat="1" outlineLevel="1" collapsed="1" x14ac:dyDescent="0.25">
      <c r="A77" s="25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2207.92</v>
      </c>
      <c r="E77" s="1"/>
      <c r="F77" s="5">
        <f t="shared" si="37"/>
        <v>2.280767485407156E-2</v>
      </c>
      <c r="G77" s="1"/>
      <c r="H77" s="1">
        <f>SUM(OSRRefH22_13x_0)</f>
        <v>2000</v>
      </c>
      <c r="I77" s="1"/>
      <c r="J77" s="5">
        <f t="shared" si="38"/>
        <v>0.18365472910927455</v>
      </c>
      <c r="K77" s="1"/>
      <c r="L77" s="1">
        <f t="shared" si="39"/>
        <v>207.92000000000007</v>
      </c>
      <c r="M77" s="1"/>
      <c r="N77" s="5">
        <f t="shared" si="40"/>
        <v>0.10396000000000004</v>
      </c>
      <c r="O77" s="13"/>
      <c r="P77" s="1">
        <f>SUM(OSRRefP22_13x_0)</f>
        <v>71608.39</v>
      </c>
      <c r="Q77" s="1"/>
      <c r="R77" s="5">
        <f t="shared" si="41"/>
        <v>4.4558471590025316E-2</v>
      </c>
      <c r="S77" s="1"/>
      <c r="T77" s="1">
        <f>SUM(OSRRefT22_13x_0)</f>
        <v>319179</v>
      </c>
      <c r="U77" s="1"/>
      <c r="V77" s="5">
        <f t="shared" si="42"/>
        <v>7.6542515906039318E-2</v>
      </c>
      <c r="W77" s="1"/>
      <c r="X77" s="1">
        <f t="shared" si="43"/>
        <v>-247570.61</v>
      </c>
      <c r="Y77" s="1"/>
      <c r="Z77" s="5">
        <f t="shared" si="44"/>
        <v>-0.77564817860824176</v>
      </c>
    </row>
    <row r="78" spans="1:26" s="24" customFormat="1" hidden="1" outlineLevel="2" x14ac:dyDescent="0.25">
      <c r="A78" s="26"/>
      <c r="B78" s="11" t="str">
        <f>CONCATENATE("          ", "6387", " - ", "COMMISSION DUE HOUSING")</f>
        <v xml:space="preserve">          6387 - COMMISSION DUE HOUSING</v>
      </c>
      <c r="C78" s="11"/>
      <c r="D78" s="6">
        <v>2207.92</v>
      </c>
      <c r="E78" s="2"/>
      <c r="F78" s="7">
        <f t="shared" si="37"/>
        <v>2.280767485407156E-2</v>
      </c>
      <c r="G78" s="2"/>
      <c r="H78" s="6">
        <v>2000</v>
      </c>
      <c r="I78" s="2"/>
      <c r="J78" s="7">
        <f t="shared" si="38"/>
        <v>0.18365472910927455</v>
      </c>
      <c r="K78" s="2"/>
      <c r="L78" s="6">
        <f t="shared" si="39"/>
        <v>207.92000000000007</v>
      </c>
      <c r="M78" s="2"/>
      <c r="N78" s="7">
        <f t="shared" si="40"/>
        <v>0.10396000000000004</v>
      </c>
      <c r="O78" s="11"/>
      <c r="P78" s="6">
        <v>71608.39</v>
      </c>
      <c r="Q78" s="2"/>
      <c r="R78" s="7">
        <f t="shared" si="41"/>
        <v>4.4558471590025316E-2</v>
      </c>
      <c r="S78" s="2"/>
      <c r="T78" s="6">
        <v>319179</v>
      </c>
      <c r="U78" s="2"/>
      <c r="V78" s="7">
        <f t="shared" si="42"/>
        <v>7.6542515906039318E-2</v>
      </c>
      <c r="W78" s="2"/>
      <c r="X78" s="6">
        <f t="shared" si="43"/>
        <v>-247570.61</v>
      </c>
      <c r="Y78" s="2"/>
      <c r="Z78" s="7">
        <f t="shared" si="44"/>
        <v>-0.77564817860824176</v>
      </c>
    </row>
    <row r="79" spans="1:26" s="27" customFormat="1" outlineLevel="1" collapsed="1" x14ac:dyDescent="0.25">
      <c r="A79" s="25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7400</v>
      </c>
      <c r="E79" s="1"/>
      <c r="F79" s="5">
        <f t="shared" si="37"/>
        <v>7.6441534983210227E-2</v>
      </c>
      <c r="G79" s="1"/>
      <c r="H79" s="1">
        <f>SUM(OSRRefH22_14x_0)</f>
        <v>1943</v>
      </c>
      <c r="I79" s="1"/>
      <c r="J79" s="5">
        <f t="shared" si="38"/>
        <v>0.17842056932966024</v>
      </c>
      <c r="K79" s="1"/>
      <c r="L79" s="1">
        <f t="shared" si="39"/>
        <v>5457</v>
      </c>
      <c r="M79" s="1"/>
      <c r="N79" s="5">
        <f t="shared" si="40"/>
        <v>2.8085434894493053</v>
      </c>
      <c r="O79" s="13"/>
      <c r="P79" s="1">
        <f>SUM(OSRRefP22_14x_0)</f>
        <v>22200</v>
      </c>
      <c r="Q79" s="1"/>
      <c r="R79" s="5">
        <f t="shared" si="41"/>
        <v>1.3813996785831411E-2</v>
      </c>
      <c r="S79" s="1"/>
      <c r="T79" s="1">
        <f>SUM(OSRRefT22_14x_0)</f>
        <v>23316</v>
      </c>
      <c r="U79" s="1"/>
      <c r="V79" s="5">
        <f t="shared" si="42"/>
        <v>5.5914245638504188E-3</v>
      </c>
      <c r="W79" s="1"/>
      <c r="X79" s="1">
        <f t="shared" si="43"/>
        <v>-1116</v>
      </c>
      <c r="Y79" s="1"/>
      <c r="Z79" s="5">
        <f t="shared" si="44"/>
        <v>-4.7864127637673698E-2</v>
      </c>
    </row>
    <row r="80" spans="1:26" s="24" customFormat="1" hidden="1" outlineLevel="2" x14ac:dyDescent="0.25">
      <c r="A80" s="26"/>
      <c r="B80" s="11" t="str">
        <f>CONCATENATE("          ", "6273", " - ", "RENT")</f>
        <v xml:space="preserve">          6273 - RENT</v>
      </c>
      <c r="C80" s="11"/>
      <c r="D80" s="6">
        <v>7400</v>
      </c>
      <c r="E80" s="2"/>
      <c r="F80" s="7">
        <f t="shared" si="37"/>
        <v>7.6441534983210227E-2</v>
      </c>
      <c r="G80" s="2"/>
      <c r="H80" s="6">
        <v>1943</v>
      </c>
      <c r="I80" s="2"/>
      <c r="J80" s="7">
        <f t="shared" si="38"/>
        <v>0.17842056932966024</v>
      </c>
      <c r="K80" s="2"/>
      <c r="L80" s="6">
        <f t="shared" si="39"/>
        <v>5457</v>
      </c>
      <c r="M80" s="2"/>
      <c r="N80" s="7">
        <f t="shared" si="40"/>
        <v>2.8085434894493053</v>
      </c>
      <c r="O80" s="11"/>
      <c r="P80" s="6">
        <v>22200</v>
      </c>
      <c r="Q80" s="2"/>
      <c r="R80" s="7">
        <f t="shared" si="41"/>
        <v>1.3813996785831411E-2</v>
      </c>
      <c r="S80" s="2"/>
      <c r="T80" s="6">
        <v>23316</v>
      </c>
      <c r="U80" s="2"/>
      <c r="V80" s="7">
        <f t="shared" si="42"/>
        <v>5.5914245638504188E-3</v>
      </c>
      <c r="W80" s="2"/>
      <c r="X80" s="6">
        <f t="shared" si="43"/>
        <v>-1116</v>
      </c>
      <c r="Y80" s="2"/>
      <c r="Z80" s="7">
        <f t="shared" si="44"/>
        <v>-4.7864127637673698E-2</v>
      </c>
    </row>
    <row r="81" spans="1:26" s="27" customFormat="1" outlineLevel="1" collapsed="1" x14ac:dyDescent="0.25">
      <c r="A81" s="25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33312.400000000001</v>
      </c>
      <c r="E81" s="1"/>
      <c r="F81" s="5">
        <f t="shared" si="37"/>
        <v>0.34411499864522871</v>
      </c>
      <c r="G81" s="1"/>
      <c r="H81" s="1">
        <f>SUM(OSRRefH22_15x_0)</f>
        <v>508</v>
      </c>
      <c r="I81" s="1"/>
      <c r="J81" s="5">
        <f t="shared" si="38"/>
        <v>4.6648301193755737E-2</v>
      </c>
      <c r="K81" s="1"/>
      <c r="L81" s="1">
        <f t="shared" si="39"/>
        <v>32804.400000000001</v>
      </c>
      <c r="M81" s="1"/>
      <c r="N81" s="5">
        <f t="shared" si="40"/>
        <v>64.575590551181108</v>
      </c>
      <c r="O81" s="13"/>
      <c r="P81" s="1">
        <f>SUM(OSRRefP22_15x_0)</f>
        <v>111707.38</v>
      </c>
      <c r="Q81" s="1"/>
      <c r="R81" s="5">
        <f t="shared" si="41"/>
        <v>6.9510152624939092E-2</v>
      </c>
      <c r="S81" s="1"/>
      <c r="T81" s="1">
        <f>SUM(OSRRefT22_15x_0)</f>
        <v>97187</v>
      </c>
      <c r="U81" s="1"/>
      <c r="V81" s="5">
        <f t="shared" si="42"/>
        <v>2.3306475342551494E-2</v>
      </c>
      <c r="W81" s="1"/>
      <c r="X81" s="1">
        <f t="shared" si="43"/>
        <v>14520.380000000005</v>
      </c>
      <c r="Y81" s="1"/>
      <c r="Z81" s="5">
        <f t="shared" si="44"/>
        <v>0.14940660787965473</v>
      </c>
    </row>
    <row r="82" spans="1:26" s="24" customFormat="1" hidden="1" outlineLevel="2" x14ac:dyDescent="0.25">
      <c r="A82" s="26"/>
      <c r="B82" s="11" t="str">
        <f>CONCATENATE("          ", "6371", " - ", "COMPUTER SOFTWARE MAINTENANCE")</f>
        <v xml:space="preserve">          6371 - COMPUTER SOFTWARE MAINTENANCE</v>
      </c>
      <c r="C82" s="11"/>
      <c r="D82" s="6">
        <v>33821</v>
      </c>
      <c r="E82" s="2"/>
      <c r="F82" s="7">
        <f t="shared" si="37"/>
        <v>0.3493688046847504</v>
      </c>
      <c r="G82" s="2"/>
      <c r="H82" s="6"/>
      <c r="I82" s="2"/>
      <c r="J82" s="7">
        <f t="shared" si="38"/>
        <v>0</v>
      </c>
      <c r="K82" s="2"/>
      <c r="L82" s="6">
        <f t="shared" si="39"/>
        <v>33821</v>
      </c>
      <c r="M82" s="2"/>
      <c r="N82" s="7">
        <f t="shared" si="40"/>
        <v>0</v>
      </c>
      <c r="O82" s="11"/>
      <c r="P82" s="6">
        <v>63780.47</v>
      </c>
      <c r="Q82" s="2"/>
      <c r="R82" s="7">
        <f t="shared" si="41"/>
        <v>3.9687531872919672E-2</v>
      </c>
      <c r="S82" s="2"/>
      <c r="T82" s="6">
        <v>56745</v>
      </c>
      <c r="U82" s="2"/>
      <c r="V82" s="7">
        <f t="shared" si="42"/>
        <v>1.3608053991923658E-2</v>
      </c>
      <c r="W82" s="2"/>
      <c r="X82" s="6">
        <f t="shared" si="43"/>
        <v>7035.4700000000012</v>
      </c>
      <c r="Y82" s="2"/>
      <c r="Z82" s="7">
        <f t="shared" si="44"/>
        <v>0.1239839633447881</v>
      </c>
    </row>
    <row r="83" spans="1:26" s="24" customFormat="1" hidden="1" outlineLevel="2" x14ac:dyDescent="0.25">
      <c r="A83" s="26"/>
      <c r="B83" s="11" t="str">
        <f>CONCATENATE("          ", "6372", " - ", "COMPUTER HARDWARE MAINTENANCE")</f>
        <v xml:space="preserve">          6372 - COMPUTER HARDWARE MAINTENANCE</v>
      </c>
      <c r="C83" s="11"/>
      <c r="D83" s="6">
        <v>10.039999999999999</v>
      </c>
      <c r="E83" s="2"/>
      <c r="F83" s="7">
        <f t="shared" si="37"/>
        <v>1.0371256908532846E-4</v>
      </c>
      <c r="G83" s="2"/>
      <c r="H83" s="6"/>
      <c r="I83" s="2"/>
      <c r="J83" s="7">
        <f t="shared" si="38"/>
        <v>0</v>
      </c>
      <c r="K83" s="2"/>
      <c r="L83" s="6">
        <f t="shared" si="39"/>
        <v>10.039999999999999</v>
      </c>
      <c r="M83" s="2"/>
      <c r="N83" s="7">
        <f t="shared" si="40"/>
        <v>0</v>
      </c>
      <c r="O83" s="11"/>
      <c r="P83" s="6">
        <v>110.04</v>
      </c>
      <c r="Q83" s="2"/>
      <c r="R83" s="7">
        <f t="shared" si="41"/>
        <v>6.8472621905985969E-5</v>
      </c>
      <c r="S83" s="2"/>
      <c r="T83" s="6">
        <v>3083</v>
      </c>
      <c r="U83" s="2"/>
      <c r="V83" s="7">
        <f t="shared" si="42"/>
        <v>7.3933616102036539E-4</v>
      </c>
      <c r="W83" s="2"/>
      <c r="X83" s="6">
        <f t="shared" si="43"/>
        <v>-2972.96</v>
      </c>
      <c r="Y83" s="2"/>
      <c r="Z83" s="7">
        <f t="shared" si="44"/>
        <v>-0.96430749270191374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6">
        <v>-4410.34</v>
      </c>
      <c r="E84" s="2"/>
      <c r="F84" s="7">
        <f t="shared" si="37"/>
        <v>-4.5558535053763706E-2</v>
      </c>
      <c r="G84" s="2"/>
      <c r="H84" s="6">
        <v>58</v>
      </c>
      <c r="I84" s="2"/>
      <c r="J84" s="7">
        <f t="shared" si="38"/>
        <v>5.3259871441689623E-3</v>
      </c>
      <c r="K84" s="2"/>
      <c r="L84" s="6">
        <f t="shared" si="39"/>
        <v>-4468.34</v>
      </c>
      <c r="M84" s="2"/>
      <c r="N84" s="7">
        <f t="shared" si="40"/>
        <v>-77.04034482758621</v>
      </c>
      <c r="O84" s="11"/>
      <c r="P84" s="6">
        <v>17063.759999999998</v>
      </c>
      <c r="Q84" s="2"/>
      <c r="R84" s="7">
        <f t="shared" si="41"/>
        <v>1.0617960621360296E-2</v>
      </c>
      <c r="S84" s="2"/>
      <c r="T84" s="6">
        <v>11665</v>
      </c>
      <c r="U84" s="2"/>
      <c r="V84" s="7">
        <f t="shared" si="42"/>
        <v>2.7973909563096216E-3</v>
      </c>
      <c r="W84" s="2"/>
      <c r="X84" s="6">
        <f t="shared" si="43"/>
        <v>5398.7599999999984</v>
      </c>
      <c r="Y84" s="2"/>
      <c r="Z84" s="7">
        <f t="shared" si="44"/>
        <v>0.46281697385340748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3891.7</v>
      </c>
      <c r="E85" s="2"/>
      <c r="F85" s="7">
        <f t="shared" si="37"/>
        <v>4.0201016445156654E-2</v>
      </c>
      <c r="G85" s="2"/>
      <c r="H85" s="6">
        <v>450</v>
      </c>
      <c r="I85" s="2"/>
      <c r="J85" s="7">
        <f t="shared" si="38"/>
        <v>4.1322314049586778E-2</v>
      </c>
      <c r="K85" s="2"/>
      <c r="L85" s="6">
        <f t="shared" si="39"/>
        <v>3441.7</v>
      </c>
      <c r="M85" s="2"/>
      <c r="N85" s="7">
        <f t="shared" si="40"/>
        <v>7.6482222222222216</v>
      </c>
      <c r="O85" s="11"/>
      <c r="P85" s="6">
        <v>30753.11</v>
      </c>
      <c r="Q85" s="2"/>
      <c r="R85" s="7">
        <f t="shared" si="41"/>
        <v>1.9136187508753143E-2</v>
      </c>
      <c r="S85" s="2"/>
      <c r="T85" s="6">
        <v>25694</v>
      </c>
      <c r="U85" s="2"/>
      <c r="V85" s="7">
        <f t="shared" si="42"/>
        <v>6.1616942332978495E-3</v>
      </c>
      <c r="W85" s="2"/>
      <c r="X85" s="6">
        <f t="shared" si="43"/>
        <v>5059.1100000000006</v>
      </c>
      <c r="Y85" s="2"/>
      <c r="Z85" s="7">
        <f t="shared" si="44"/>
        <v>0.1968984977037441</v>
      </c>
    </row>
    <row r="86" spans="1:26" s="27" customFormat="1" outlineLevel="1" collapsed="1" x14ac:dyDescent="0.25">
      <c r="A86" s="25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5">IF(D$12=0,0,D86/D$12)</f>
        <v>0</v>
      </c>
      <c r="G86" s="1"/>
      <c r="H86" s="1">
        <f>SUM(OSRRefH22_16x_0)</f>
        <v>0</v>
      </c>
      <c r="I86" s="1"/>
      <c r="J86" s="5">
        <f t="shared" ref="J86:J88" si="46">IF(H$12=0,0,H86/H$12)</f>
        <v>0</v>
      </c>
      <c r="K86" s="1"/>
      <c r="L86" s="1">
        <f t="shared" ref="L86:L88" si="47">+D86-H86</f>
        <v>0</v>
      </c>
      <c r="M86" s="1"/>
      <c r="N86" s="5">
        <f t="shared" ref="N86:N88" si="48">IF(H86=0,0,L86/H86)</f>
        <v>0</v>
      </c>
      <c r="O86" s="13"/>
      <c r="P86" s="1">
        <f>SUM(OSRRefP22_16x_0)</f>
        <v>0</v>
      </c>
      <c r="Q86" s="1"/>
      <c r="R86" s="5">
        <f t="shared" ref="R86:R88" si="49">IF(P$12=0,0,P86/P$12)</f>
        <v>0</v>
      </c>
      <c r="S86" s="1"/>
      <c r="T86" s="1">
        <f>SUM(OSRRefT22_16x_0)</f>
        <v>0</v>
      </c>
      <c r="U86" s="1"/>
      <c r="V86" s="5">
        <f t="shared" ref="V86:V88" si="50">IF(T$12=0,0,T86/T$12)</f>
        <v>0</v>
      </c>
      <c r="W86" s="1"/>
      <c r="X86" s="1">
        <f t="shared" ref="X86:X88" si="51">+P86-T86</f>
        <v>0</v>
      </c>
      <c r="Y86" s="1"/>
      <c r="Z86" s="5">
        <f t="shared" ref="Z86:Z88" si="52">IF(T86=0,0,X86/T86)</f>
        <v>0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6"/>
      <c r="E87" s="2"/>
      <c r="F87" s="7">
        <f t="shared" si="45"/>
        <v>0</v>
      </c>
      <c r="G87" s="2"/>
      <c r="H87" s="6">
        <v>0</v>
      </c>
      <c r="I87" s="2"/>
      <c r="J87" s="7">
        <f t="shared" si="46"/>
        <v>0</v>
      </c>
      <c r="K87" s="2"/>
      <c r="L87" s="6">
        <f t="shared" si="47"/>
        <v>0</v>
      </c>
      <c r="M87" s="2"/>
      <c r="N87" s="7">
        <f t="shared" si="48"/>
        <v>0</v>
      </c>
      <c r="O87" s="11"/>
      <c r="P87" s="6"/>
      <c r="Q87" s="2"/>
      <c r="R87" s="7">
        <f t="shared" si="49"/>
        <v>0</v>
      </c>
      <c r="S87" s="2"/>
      <c r="T87" s="6">
        <v>0</v>
      </c>
      <c r="U87" s="2"/>
      <c r="V87" s="7">
        <f t="shared" si="50"/>
        <v>0</v>
      </c>
      <c r="W87" s="2"/>
      <c r="X87" s="6">
        <f t="shared" si="51"/>
        <v>0</v>
      </c>
      <c r="Y87" s="2"/>
      <c r="Z87" s="7">
        <f t="shared" si="52"/>
        <v>0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6"/>
      <c r="E88" s="2"/>
      <c r="F88" s="7">
        <f t="shared" si="45"/>
        <v>0</v>
      </c>
      <c r="G88" s="2"/>
      <c r="H88" s="6">
        <v>0</v>
      </c>
      <c r="I88" s="2"/>
      <c r="J88" s="7">
        <f t="shared" si="46"/>
        <v>0</v>
      </c>
      <c r="K88" s="2"/>
      <c r="L88" s="6">
        <f t="shared" si="47"/>
        <v>0</v>
      </c>
      <c r="M88" s="2"/>
      <c r="N88" s="7">
        <f t="shared" si="48"/>
        <v>0</v>
      </c>
      <c r="O88" s="11"/>
      <c r="P88" s="6"/>
      <c r="Q88" s="2"/>
      <c r="R88" s="7">
        <f t="shared" si="49"/>
        <v>0</v>
      </c>
      <c r="S88" s="2"/>
      <c r="T88" s="6">
        <v>0</v>
      </c>
      <c r="U88" s="2"/>
      <c r="V88" s="7">
        <f t="shared" si="50"/>
        <v>0</v>
      </c>
      <c r="W88" s="2"/>
      <c r="X88" s="6">
        <f t="shared" si="51"/>
        <v>0</v>
      </c>
      <c r="Y88" s="2"/>
      <c r="Z88" s="7">
        <f t="shared" si="52"/>
        <v>0</v>
      </c>
    </row>
    <row r="89" spans="1:26" s="27" customFormat="1" outlineLevel="1" collapsed="1" x14ac:dyDescent="0.25">
      <c r="A89" s="25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12614.23</v>
      </c>
      <c r="E89" s="1"/>
      <c r="F89" s="5">
        <f t="shared" ref="F89:F94" si="53">IF(D$12=0,0,D89/D$12)</f>
        <v>0.13030420322044053</v>
      </c>
      <c r="G89" s="1"/>
      <c r="H89" s="1">
        <f>SUM(OSRRefH22_17x_0)</f>
        <v>27457</v>
      </c>
      <c r="I89" s="1"/>
      <c r="J89" s="5">
        <f t="shared" ref="J89:J94" si="54">IF(H$12=0,0,H89/H$12)</f>
        <v>2.5213039485766759</v>
      </c>
      <c r="K89" s="1"/>
      <c r="L89" s="1">
        <f t="shared" ref="L89:L94" si="55">+D89-H89</f>
        <v>-14842.77</v>
      </c>
      <c r="M89" s="1"/>
      <c r="N89" s="5">
        <f t="shared" ref="N89:N94" si="56">IF(H89=0,0,L89/H89)</f>
        <v>-0.54058236515278435</v>
      </c>
      <c r="O89" s="13"/>
      <c r="P89" s="1">
        <f>SUM(OSRRefP22_17x_0)</f>
        <v>205666.88</v>
      </c>
      <c r="Q89" s="1"/>
      <c r="R89" s="5">
        <f t="shared" ref="R89:R94" si="57">IF(P$12=0,0,P89/P$12)</f>
        <v>0.12797664951675561</v>
      </c>
      <c r="S89" s="1"/>
      <c r="T89" s="1">
        <f>SUM(OSRRefT22_17x_0)</f>
        <v>320954</v>
      </c>
      <c r="U89" s="1"/>
      <c r="V89" s="5">
        <f t="shared" ref="V89:V94" si="58">IF(T$12=0,0,T89/T$12)</f>
        <v>7.6968179767800959E-2</v>
      </c>
      <c r="W89" s="1"/>
      <c r="X89" s="1">
        <f t="shared" ref="X89:X94" si="59">+P89-T89</f>
        <v>-115287.12</v>
      </c>
      <c r="Y89" s="1"/>
      <c r="Z89" s="5">
        <f t="shared" ref="Z89:Z94" si="60">IF(T89=0,0,X89/T89)</f>
        <v>-0.35920138088324183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2901.5</v>
      </c>
      <c r="E90" s="2"/>
      <c r="F90" s="7">
        <f t="shared" si="53"/>
        <v>2.9972312669430335E-2</v>
      </c>
      <c r="G90" s="2"/>
      <c r="H90" s="6">
        <v>3003</v>
      </c>
      <c r="I90" s="2"/>
      <c r="J90" s="7">
        <f t="shared" si="54"/>
        <v>0.27575757575757576</v>
      </c>
      <c r="K90" s="2"/>
      <c r="L90" s="6">
        <f t="shared" si="55"/>
        <v>-101.5</v>
      </c>
      <c r="M90" s="2"/>
      <c r="N90" s="7">
        <f t="shared" si="56"/>
        <v>-3.37995337995338E-2</v>
      </c>
      <c r="O90" s="11"/>
      <c r="P90" s="6">
        <v>29616.880000000001</v>
      </c>
      <c r="Q90" s="2"/>
      <c r="R90" s="7">
        <f t="shared" si="57"/>
        <v>1.842916599668264E-2</v>
      </c>
      <c r="S90" s="2"/>
      <c r="T90" s="6">
        <v>33604</v>
      </c>
      <c r="U90" s="2"/>
      <c r="V90" s="7">
        <f t="shared" si="58"/>
        <v>8.0585962876835414E-3</v>
      </c>
      <c r="W90" s="2"/>
      <c r="X90" s="6">
        <f t="shared" si="59"/>
        <v>-3987.119999999999</v>
      </c>
      <c r="Y90" s="2"/>
      <c r="Z90" s="7">
        <f t="shared" si="60"/>
        <v>-0.11865016069515531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6"/>
      <c r="E91" s="2"/>
      <c r="F91" s="7">
        <f t="shared" si="53"/>
        <v>0</v>
      </c>
      <c r="G91" s="2"/>
      <c r="H91" s="6">
        <v>0</v>
      </c>
      <c r="I91" s="2"/>
      <c r="J91" s="7">
        <f t="shared" si="54"/>
        <v>0</v>
      </c>
      <c r="K91" s="2"/>
      <c r="L91" s="6">
        <f t="shared" si="55"/>
        <v>0</v>
      </c>
      <c r="M91" s="2"/>
      <c r="N91" s="7">
        <f t="shared" si="56"/>
        <v>0</v>
      </c>
      <c r="O91" s="11"/>
      <c r="P91" s="6"/>
      <c r="Q91" s="2"/>
      <c r="R91" s="7">
        <f t="shared" si="57"/>
        <v>0</v>
      </c>
      <c r="S91" s="2"/>
      <c r="T91" s="6">
        <v>310</v>
      </c>
      <c r="U91" s="2"/>
      <c r="V91" s="7">
        <f t="shared" si="58"/>
        <v>7.4341294166822342E-5</v>
      </c>
      <c r="W91" s="2"/>
      <c r="X91" s="6">
        <f t="shared" si="59"/>
        <v>-310</v>
      </c>
      <c r="Y91" s="2"/>
      <c r="Z91" s="7">
        <f t="shared" si="60"/>
        <v>-1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6">
        <v>-3859</v>
      </c>
      <c r="E92" s="2"/>
      <c r="F92" s="7">
        <f t="shared" si="53"/>
        <v>-3.9863227500028145E-2</v>
      </c>
      <c r="G92" s="2"/>
      <c r="H92" s="6">
        <v>3761</v>
      </c>
      <c r="I92" s="2"/>
      <c r="J92" s="7">
        <f t="shared" si="54"/>
        <v>0.34536271808999081</v>
      </c>
      <c r="K92" s="2"/>
      <c r="L92" s="6">
        <f t="shared" si="55"/>
        <v>-7620</v>
      </c>
      <c r="M92" s="2"/>
      <c r="N92" s="7">
        <f t="shared" si="56"/>
        <v>-2.026056899760702</v>
      </c>
      <c r="O92" s="11"/>
      <c r="P92" s="6">
        <v>27565.75</v>
      </c>
      <c r="Q92" s="2"/>
      <c r="R92" s="7">
        <f t="shared" si="57"/>
        <v>1.7152846031487937E-2</v>
      </c>
      <c r="S92" s="2"/>
      <c r="T92" s="6">
        <v>42163</v>
      </c>
      <c r="U92" s="2"/>
      <c r="V92" s="7">
        <f t="shared" si="58"/>
        <v>1.0111135438566872E-2</v>
      </c>
      <c r="W92" s="2"/>
      <c r="X92" s="6">
        <f t="shared" si="59"/>
        <v>-14597.25</v>
      </c>
      <c r="Y92" s="2"/>
      <c r="Z92" s="7">
        <f t="shared" si="60"/>
        <v>-0.3462099471100254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6">
        <v>12282.71</v>
      </c>
      <c r="E93" s="2"/>
      <c r="F93" s="7">
        <f t="shared" si="53"/>
        <v>0.1268796224531927</v>
      </c>
      <c r="G93" s="2"/>
      <c r="H93" s="6">
        <v>16193</v>
      </c>
      <c r="I93" s="2"/>
      <c r="J93" s="7">
        <f t="shared" si="54"/>
        <v>1.4869605142332416</v>
      </c>
      <c r="K93" s="2"/>
      <c r="L93" s="6">
        <f t="shared" si="55"/>
        <v>-3910.2900000000009</v>
      </c>
      <c r="M93" s="2"/>
      <c r="N93" s="7">
        <f t="shared" si="56"/>
        <v>-0.24148026925214605</v>
      </c>
      <c r="O93" s="11"/>
      <c r="P93" s="6">
        <v>130487.86</v>
      </c>
      <c r="Q93" s="2"/>
      <c r="R93" s="7">
        <f t="shared" si="57"/>
        <v>8.1196345884235091E-2</v>
      </c>
      <c r="S93" s="2"/>
      <c r="T93" s="6">
        <v>190877</v>
      </c>
      <c r="U93" s="2"/>
      <c r="V93" s="7">
        <f t="shared" si="58"/>
        <v>4.5774332924775965E-2</v>
      </c>
      <c r="W93" s="2"/>
      <c r="X93" s="6">
        <f t="shared" si="59"/>
        <v>-60389.14</v>
      </c>
      <c r="Y93" s="2"/>
      <c r="Z93" s="7">
        <f t="shared" si="60"/>
        <v>-0.31637724817552665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6">
        <v>1289.02</v>
      </c>
      <c r="E94" s="2"/>
      <c r="F94" s="7">
        <f t="shared" si="53"/>
        <v>1.3315495597845629E-2</v>
      </c>
      <c r="G94" s="2"/>
      <c r="H94" s="6">
        <v>4500</v>
      </c>
      <c r="I94" s="2"/>
      <c r="J94" s="7">
        <f t="shared" si="54"/>
        <v>0.41322314049586778</v>
      </c>
      <c r="K94" s="2"/>
      <c r="L94" s="6">
        <f t="shared" si="55"/>
        <v>-3210.98</v>
      </c>
      <c r="M94" s="2"/>
      <c r="N94" s="7">
        <f t="shared" si="56"/>
        <v>-0.71355111111111114</v>
      </c>
      <c r="O94" s="11"/>
      <c r="P94" s="6">
        <v>17996.39</v>
      </c>
      <c r="Q94" s="2"/>
      <c r="R94" s="7">
        <f t="shared" si="57"/>
        <v>1.1198291604349934E-2</v>
      </c>
      <c r="S94" s="2"/>
      <c r="T94" s="6">
        <v>54000</v>
      </c>
      <c r="U94" s="2"/>
      <c r="V94" s="7">
        <f t="shared" si="58"/>
        <v>1.2949773822607763E-2</v>
      </c>
      <c r="W94" s="2"/>
      <c r="X94" s="6">
        <f t="shared" si="59"/>
        <v>-36003.61</v>
      </c>
      <c r="Y94" s="2"/>
      <c r="Z94" s="7">
        <f t="shared" si="60"/>
        <v>-0.66673351851851848</v>
      </c>
    </row>
    <row r="95" spans="1:26" s="27" customFormat="1" outlineLevel="1" collapsed="1" x14ac:dyDescent="0.25">
      <c r="A95" s="25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130.66999999999999</v>
      </c>
      <c r="E95" s="1"/>
      <c r="F95" s="5">
        <f t="shared" ref="F95:F97" si="61">IF(D$12=0,0,D95/D$12)</f>
        <v>1.3498128886832541E-3</v>
      </c>
      <c r="G95" s="1"/>
      <c r="H95" s="1">
        <f>SUM(OSRRefH22_18x_0)</f>
        <v>200</v>
      </c>
      <c r="I95" s="1"/>
      <c r="J95" s="5">
        <f t="shared" ref="J95:J97" si="62">IF(H$12=0,0,H95/H$12)</f>
        <v>1.8365472910927456E-2</v>
      </c>
      <c r="K95" s="1"/>
      <c r="L95" s="1">
        <f t="shared" ref="L95:L97" si="63">+D95-H95</f>
        <v>-69.330000000000013</v>
      </c>
      <c r="M95" s="1"/>
      <c r="N95" s="5">
        <f t="shared" ref="N95:N97" si="64">IF(H95=0,0,L95/H95)</f>
        <v>-0.34665000000000007</v>
      </c>
      <c r="O95" s="13"/>
      <c r="P95" s="1">
        <f>SUM(OSRRefP22_18x_0)</f>
        <v>1973.92</v>
      </c>
      <c r="Q95" s="1"/>
      <c r="R95" s="5">
        <f t="shared" ref="R95:R97" si="65">IF(P$12=0,0,P95/P$12)</f>
        <v>1.2282758799769522E-3</v>
      </c>
      <c r="S95" s="1"/>
      <c r="T95" s="1">
        <f>SUM(OSRRefT22_18x_0)</f>
        <v>3281</v>
      </c>
      <c r="U95" s="1"/>
      <c r="V95" s="5">
        <f t="shared" ref="V95:V97" si="66">IF(T$12=0,0,T95/T$12)</f>
        <v>7.8681866503659394E-4</v>
      </c>
      <c r="W95" s="1"/>
      <c r="X95" s="1">
        <f t="shared" ref="X95:X97" si="67">+P95-T95</f>
        <v>-1307.08</v>
      </c>
      <c r="Y95" s="1"/>
      <c r="Z95" s="5">
        <f t="shared" ref="Z95:Z97" si="68">IF(T95=0,0,X95/T95)</f>
        <v>-0.39837854312709536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6"/>
      <c r="E96" s="2"/>
      <c r="F96" s="7">
        <f t="shared" si="61"/>
        <v>0</v>
      </c>
      <c r="G96" s="2"/>
      <c r="H96" s="6"/>
      <c r="I96" s="2"/>
      <c r="J96" s="7">
        <f t="shared" si="62"/>
        <v>0</v>
      </c>
      <c r="K96" s="2"/>
      <c r="L96" s="6">
        <f t="shared" si="63"/>
        <v>0</v>
      </c>
      <c r="M96" s="2"/>
      <c r="N96" s="7">
        <f t="shared" si="64"/>
        <v>0</v>
      </c>
      <c r="O96" s="11"/>
      <c r="P96" s="6">
        <v>795</v>
      </c>
      <c r="Q96" s="2"/>
      <c r="R96" s="7">
        <f t="shared" si="65"/>
        <v>4.9469042543855721E-4</v>
      </c>
      <c r="S96" s="2"/>
      <c r="T96" s="6">
        <v>900</v>
      </c>
      <c r="U96" s="2"/>
      <c r="V96" s="7">
        <f t="shared" si="66"/>
        <v>2.1582956371012939E-4</v>
      </c>
      <c r="W96" s="2"/>
      <c r="X96" s="6">
        <f t="shared" si="67"/>
        <v>-105</v>
      </c>
      <c r="Y96" s="2"/>
      <c r="Z96" s="7">
        <f t="shared" si="68"/>
        <v>-0.11666666666666667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6">
        <v>130.66999999999999</v>
      </c>
      <c r="E97" s="2"/>
      <c r="F97" s="7">
        <f t="shared" si="61"/>
        <v>1.3498128886832541E-3</v>
      </c>
      <c r="G97" s="2"/>
      <c r="H97" s="6">
        <v>200</v>
      </c>
      <c r="I97" s="2"/>
      <c r="J97" s="7">
        <f t="shared" si="62"/>
        <v>1.8365472910927456E-2</v>
      </c>
      <c r="K97" s="2"/>
      <c r="L97" s="6">
        <f t="shared" si="63"/>
        <v>-69.330000000000013</v>
      </c>
      <c r="M97" s="2"/>
      <c r="N97" s="7">
        <f t="shared" si="64"/>
        <v>-0.34665000000000007</v>
      </c>
      <c r="O97" s="11"/>
      <c r="P97" s="6">
        <v>1178.92</v>
      </c>
      <c r="Q97" s="2"/>
      <c r="R97" s="7">
        <f t="shared" si="65"/>
        <v>7.3358545453839491E-4</v>
      </c>
      <c r="S97" s="2"/>
      <c r="T97" s="6">
        <v>2381</v>
      </c>
      <c r="U97" s="2"/>
      <c r="V97" s="7">
        <f t="shared" si="66"/>
        <v>5.7098910132646452E-4</v>
      </c>
      <c r="W97" s="2"/>
      <c r="X97" s="6">
        <f t="shared" si="67"/>
        <v>-1202.08</v>
      </c>
      <c r="Y97" s="2"/>
      <c r="Z97" s="7">
        <f t="shared" si="68"/>
        <v>-0.5048635027299454</v>
      </c>
    </row>
    <row r="98" spans="1:26" s="27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SUM(OSRRefD22_19x_0)</f>
        <v>14690.59</v>
      </c>
      <c r="E98" s="1"/>
      <c r="F98" s="5">
        <f t="shared" ref="F98:F109" si="69">IF(D$12=0,0,D98/D$12)</f>
        <v>0.15175287154175654</v>
      </c>
      <c r="G98" s="1"/>
      <c r="H98" s="1">
        <f>SUM(OSRRefH22_19x_0)</f>
        <v>14825</v>
      </c>
      <c r="I98" s="1"/>
      <c r="J98" s="5">
        <f t="shared" ref="J98:J109" si="70">IF(H$12=0,0,H98/H$12)</f>
        <v>1.3613406795224976</v>
      </c>
      <c r="K98" s="1"/>
      <c r="L98" s="1">
        <f t="shared" ref="L98:L109" si="71">+D98-H98</f>
        <v>-134.40999999999985</v>
      </c>
      <c r="M98" s="1"/>
      <c r="N98" s="5">
        <f t="shared" ref="N98:N109" si="72">IF(H98=0,0,L98/H98)</f>
        <v>-9.0664418212478819E-3</v>
      </c>
      <c r="O98" s="13"/>
      <c r="P98" s="1">
        <f>SUM(OSRRefP22_19x_0)</f>
        <v>137187.71</v>
      </c>
      <c r="Q98" s="1"/>
      <c r="R98" s="5">
        <f t="shared" ref="R98:R109" si="73">IF(P$12=0,0,P98/P$12)</f>
        <v>8.5365341666467184E-2</v>
      </c>
      <c r="S98" s="1"/>
      <c r="T98" s="1">
        <f>SUM(OSRRefT22_19x_0)</f>
        <v>317985</v>
      </c>
      <c r="U98" s="1"/>
      <c r="V98" s="5">
        <f t="shared" ref="V98:V109" si="74">IF(T$12=0,0,T98/T$12)</f>
        <v>7.6256182018183877E-2</v>
      </c>
      <c r="W98" s="1"/>
      <c r="X98" s="1">
        <f t="shared" ref="X98:X109" si="75">+P98-T98</f>
        <v>-180797.29</v>
      </c>
      <c r="Y98" s="1"/>
      <c r="Z98" s="5">
        <f t="shared" ref="Z98:Z109" si="76">IF(T98=0,0,X98/T98)</f>
        <v>-0.56857175652939607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6">
        <v>-1048.8</v>
      </c>
      <c r="E99" s="2"/>
      <c r="F99" s="7">
        <f t="shared" si="69"/>
        <v>-1.0834038093296066E-2</v>
      </c>
      <c r="G99" s="2"/>
      <c r="H99" s="6">
        <v>100</v>
      </c>
      <c r="I99" s="2"/>
      <c r="J99" s="7">
        <f t="shared" si="70"/>
        <v>9.1827364554637279E-3</v>
      </c>
      <c r="K99" s="2"/>
      <c r="L99" s="6">
        <f t="shared" si="71"/>
        <v>-1148.8</v>
      </c>
      <c r="M99" s="2"/>
      <c r="N99" s="7">
        <f t="shared" si="72"/>
        <v>-11.488</v>
      </c>
      <c r="O99" s="11"/>
      <c r="P99" s="6">
        <v>-711.64</v>
      </c>
      <c r="Q99" s="2"/>
      <c r="R99" s="7">
        <f t="shared" si="73"/>
        <v>-4.4281948975986776E-4</v>
      </c>
      <c r="S99" s="2"/>
      <c r="T99" s="6">
        <v>2276</v>
      </c>
      <c r="U99" s="2"/>
      <c r="V99" s="7">
        <f t="shared" si="74"/>
        <v>5.4580898556028275E-4</v>
      </c>
      <c r="W99" s="2"/>
      <c r="X99" s="6">
        <f t="shared" si="75"/>
        <v>-2987.64</v>
      </c>
      <c r="Y99" s="2"/>
      <c r="Z99" s="7">
        <f t="shared" si="76"/>
        <v>-1.3126713532513181</v>
      </c>
    </row>
    <row r="100" spans="1:26" s="24" customFormat="1" hidden="1" outlineLevel="2" x14ac:dyDescent="0.25">
      <c r="A100" s="26"/>
      <c r="B100" s="11" t="str">
        <f>CONCATENATE("          ", "6235", " - ", "COVID-19 EXPENSES")</f>
        <v xml:space="preserve">          6235 - COVID-19 EXPENSES</v>
      </c>
      <c r="C100" s="11"/>
      <c r="D100" s="6"/>
      <c r="E100" s="2"/>
      <c r="F100" s="7">
        <f t="shared" si="69"/>
        <v>0</v>
      </c>
      <c r="G100" s="2"/>
      <c r="H100" s="6">
        <v>7200</v>
      </c>
      <c r="I100" s="2"/>
      <c r="J100" s="7">
        <f t="shared" si="70"/>
        <v>0.66115702479338845</v>
      </c>
      <c r="K100" s="2"/>
      <c r="L100" s="6">
        <f t="shared" si="71"/>
        <v>-7200</v>
      </c>
      <c r="M100" s="2"/>
      <c r="N100" s="7">
        <f t="shared" si="72"/>
        <v>-1</v>
      </c>
      <c r="O100" s="11"/>
      <c r="P100" s="6">
        <v>66359.259999999995</v>
      </c>
      <c r="Q100" s="2"/>
      <c r="R100" s="7">
        <f t="shared" si="73"/>
        <v>4.1292189385141925E-2</v>
      </c>
      <c r="S100" s="2"/>
      <c r="T100" s="6">
        <v>134400</v>
      </c>
      <c r="U100" s="2"/>
      <c r="V100" s="7">
        <f t="shared" si="74"/>
        <v>3.2230548180712658E-2</v>
      </c>
      <c r="W100" s="2"/>
      <c r="X100" s="6">
        <f t="shared" si="75"/>
        <v>-68040.740000000005</v>
      </c>
      <c r="Y100" s="2"/>
      <c r="Z100" s="7">
        <f t="shared" si="76"/>
        <v>-0.506255505952381</v>
      </c>
    </row>
    <row r="101" spans="1:26" s="24" customFormat="1" hidden="1" outlineLevel="2" x14ac:dyDescent="0.25">
      <c r="A101" s="26"/>
      <c r="B101" s="11" t="str">
        <f>CONCATENATE("          ", "6237", " - ", "JANITORIAL SUPPLIES")</f>
        <v xml:space="preserve">          6237 - JANITORIAL SUPPLIES</v>
      </c>
      <c r="C101" s="11"/>
      <c r="D101" s="6">
        <v>2269.0100000000002</v>
      </c>
      <c r="E101" s="2"/>
      <c r="F101" s="7">
        <f t="shared" si="69"/>
        <v>2.3438730715169439E-2</v>
      </c>
      <c r="G101" s="2"/>
      <c r="H101" s="6">
        <v>4500</v>
      </c>
      <c r="I101" s="2"/>
      <c r="J101" s="7">
        <f t="shared" si="70"/>
        <v>0.41322314049586778</v>
      </c>
      <c r="K101" s="2"/>
      <c r="L101" s="6">
        <f t="shared" si="71"/>
        <v>-2230.9899999999998</v>
      </c>
      <c r="M101" s="2"/>
      <c r="N101" s="7">
        <f t="shared" si="72"/>
        <v>-0.49577555555555552</v>
      </c>
      <c r="O101" s="11"/>
      <c r="P101" s="6">
        <v>25764.65</v>
      </c>
      <c r="Q101" s="2"/>
      <c r="R101" s="7">
        <f t="shared" si="73"/>
        <v>1.6032107760723929E-2</v>
      </c>
      <c r="S101" s="2"/>
      <c r="T101" s="6">
        <v>108899</v>
      </c>
      <c r="U101" s="2"/>
      <c r="V101" s="7">
        <f t="shared" si="74"/>
        <v>2.611513739829931E-2</v>
      </c>
      <c r="W101" s="2"/>
      <c r="X101" s="6">
        <f t="shared" si="75"/>
        <v>-83134.350000000006</v>
      </c>
      <c r="Y101" s="2"/>
      <c r="Z101" s="7">
        <f t="shared" si="76"/>
        <v>-0.76340783661925271</v>
      </c>
    </row>
    <row r="102" spans="1:26" s="24" customFormat="1" hidden="1" outlineLevel="2" x14ac:dyDescent="0.25">
      <c r="A102" s="26"/>
      <c r="B102" s="11" t="str">
        <f>CONCATENATE("          ", "6239", " - ", "KITCHEN SUPPLIES")</f>
        <v xml:space="preserve">          6239 - KITCHEN SUPPLIES</v>
      </c>
      <c r="C102" s="11"/>
      <c r="D102" s="6">
        <v>7752.64</v>
      </c>
      <c r="E102" s="2"/>
      <c r="F102" s="7">
        <f t="shared" si="69"/>
        <v>8.0084284023274999E-2</v>
      </c>
      <c r="G102" s="2"/>
      <c r="H102" s="6">
        <v>1550</v>
      </c>
      <c r="I102" s="2"/>
      <c r="J102" s="7">
        <f t="shared" si="70"/>
        <v>0.1423324150596878</v>
      </c>
      <c r="K102" s="2"/>
      <c r="L102" s="6">
        <f t="shared" si="71"/>
        <v>6202.64</v>
      </c>
      <c r="M102" s="2"/>
      <c r="N102" s="7">
        <f t="shared" si="72"/>
        <v>4.0017032258064518</v>
      </c>
      <c r="O102" s="11"/>
      <c r="P102" s="6">
        <v>15638.74</v>
      </c>
      <c r="Q102" s="2"/>
      <c r="R102" s="7">
        <f t="shared" si="73"/>
        <v>9.7312389231735633E-3</v>
      </c>
      <c r="S102" s="2"/>
      <c r="T102" s="6">
        <v>26543</v>
      </c>
      <c r="U102" s="2"/>
      <c r="V102" s="7">
        <f t="shared" si="74"/>
        <v>6.3652934550644047E-3</v>
      </c>
      <c r="W102" s="2"/>
      <c r="X102" s="6">
        <f t="shared" si="75"/>
        <v>-10904.26</v>
      </c>
      <c r="Y102" s="2"/>
      <c r="Z102" s="7">
        <f t="shared" si="76"/>
        <v>-0.41081490411784655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6">
        <v>1232.0899999999999</v>
      </c>
      <c r="E103" s="2"/>
      <c r="F103" s="7">
        <f t="shared" si="69"/>
        <v>1.2727412275332903E-2</v>
      </c>
      <c r="G103" s="2"/>
      <c r="H103" s="6">
        <v>725</v>
      </c>
      <c r="I103" s="2"/>
      <c r="J103" s="7">
        <f t="shared" si="70"/>
        <v>6.6574839302112027E-2</v>
      </c>
      <c r="K103" s="2"/>
      <c r="L103" s="6">
        <f t="shared" si="71"/>
        <v>507.08999999999992</v>
      </c>
      <c r="M103" s="2"/>
      <c r="N103" s="7">
        <f t="shared" si="72"/>
        <v>0.69943448275862052</v>
      </c>
      <c r="O103" s="11"/>
      <c r="P103" s="6">
        <v>-17823.740000000002</v>
      </c>
      <c r="Q103" s="2"/>
      <c r="R103" s="7">
        <f t="shared" si="73"/>
        <v>-1.109085977799526E-2</v>
      </c>
      <c r="S103" s="2"/>
      <c r="T103" s="6">
        <v>17212</v>
      </c>
      <c r="U103" s="2"/>
      <c r="V103" s="7">
        <f t="shared" si="74"/>
        <v>4.1276205006430524E-3</v>
      </c>
      <c r="W103" s="2"/>
      <c r="X103" s="6">
        <f t="shared" si="75"/>
        <v>-35035.740000000005</v>
      </c>
      <c r="Y103" s="2"/>
      <c r="Z103" s="7">
        <f t="shared" si="76"/>
        <v>-2.0355414826864981</v>
      </c>
    </row>
    <row r="104" spans="1:26" s="24" customFormat="1" hidden="1" outlineLevel="2" x14ac:dyDescent="0.25">
      <c r="A104" s="26"/>
      <c r="B104" s="11" t="str">
        <f>CONCATENATE("          ", "6243", " - ", "PAPER SUPPLIES")</f>
        <v xml:space="preserve">          6243 - PAPER SUPPLIES</v>
      </c>
      <c r="C104" s="11"/>
      <c r="D104" s="6">
        <v>4485.6499999999996</v>
      </c>
      <c r="E104" s="2"/>
      <c r="F104" s="7">
        <f t="shared" si="69"/>
        <v>4.6336482621275259E-2</v>
      </c>
      <c r="G104" s="2"/>
      <c r="H104" s="6">
        <v>500</v>
      </c>
      <c r="I104" s="2"/>
      <c r="J104" s="7">
        <f t="shared" si="70"/>
        <v>4.5913682277318638E-2</v>
      </c>
      <c r="K104" s="2"/>
      <c r="L104" s="6">
        <f t="shared" si="71"/>
        <v>3985.6499999999996</v>
      </c>
      <c r="M104" s="2"/>
      <c r="N104" s="7">
        <f t="shared" si="72"/>
        <v>7.9712999999999994</v>
      </c>
      <c r="O104" s="11"/>
      <c r="P104" s="6">
        <v>43459.85</v>
      </c>
      <c r="Q104" s="2"/>
      <c r="R104" s="7">
        <f t="shared" si="73"/>
        <v>2.7042983252825007E-2</v>
      </c>
      <c r="S104" s="2"/>
      <c r="T104" s="6">
        <v>12319</v>
      </c>
      <c r="U104" s="2"/>
      <c r="V104" s="7">
        <f t="shared" si="74"/>
        <v>2.9542271059389822E-3</v>
      </c>
      <c r="W104" s="2"/>
      <c r="X104" s="6">
        <f t="shared" si="75"/>
        <v>31140.85</v>
      </c>
      <c r="Y104" s="2"/>
      <c r="Z104" s="7">
        <f t="shared" si="76"/>
        <v>2.5278715804854288</v>
      </c>
    </row>
    <row r="105" spans="1:26" s="24" customFormat="1" hidden="1" outlineLevel="2" x14ac:dyDescent="0.25">
      <c r="A105" s="26"/>
      <c r="B105" s="11" t="str">
        <f>CONCATENATE("          ", "6244", " - ", "SAFETY SUPPLY EXPENSE")</f>
        <v xml:space="preserve">          6244 - SAFETY SUPPLY EXPENSE</v>
      </c>
      <c r="C105" s="11"/>
      <c r="D105" s="6"/>
      <c r="E105" s="2"/>
      <c r="F105" s="7">
        <f t="shared" si="69"/>
        <v>0</v>
      </c>
      <c r="G105" s="2"/>
      <c r="H105" s="6">
        <v>100</v>
      </c>
      <c r="I105" s="2"/>
      <c r="J105" s="7">
        <f t="shared" si="70"/>
        <v>9.1827364554637279E-3</v>
      </c>
      <c r="K105" s="2"/>
      <c r="L105" s="6">
        <f t="shared" si="71"/>
        <v>-100</v>
      </c>
      <c r="M105" s="2"/>
      <c r="N105" s="7">
        <f t="shared" si="72"/>
        <v>-1</v>
      </c>
      <c r="O105" s="11"/>
      <c r="P105" s="6"/>
      <c r="Q105" s="2"/>
      <c r="R105" s="7">
        <f t="shared" si="73"/>
        <v>0</v>
      </c>
      <c r="S105" s="2"/>
      <c r="T105" s="6">
        <v>1580</v>
      </c>
      <c r="U105" s="2"/>
      <c r="V105" s="7">
        <f t="shared" si="74"/>
        <v>3.7890078962444937E-4</v>
      </c>
      <c r="W105" s="2"/>
      <c r="X105" s="6">
        <f t="shared" si="75"/>
        <v>-1580</v>
      </c>
      <c r="Y105" s="2"/>
      <c r="Z105" s="7">
        <f t="shared" si="76"/>
        <v>-1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69"/>
        <v>0</v>
      </c>
      <c r="G106" s="2"/>
      <c r="H106" s="6">
        <v>150</v>
      </c>
      <c r="I106" s="2"/>
      <c r="J106" s="7">
        <f t="shared" si="70"/>
        <v>1.3774104683195593E-2</v>
      </c>
      <c r="K106" s="2"/>
      <c r="L106" s="6">
        <f t="shared" si="71"/>
        <v>-150</v>
      </c>
      <c r="M106" s="2"/>
      <c r="N106" s="7">
        <f t="shared" si="72"/>
        <v>-1</v>
      </c>
      <c r="O106" s="11"/>
      <c r="P106" s="6"/>
      <c r="Q106" s="2"/>
      <c r="R106" s="7">
        <f t="shared" si="73"/>
        <v>0</v>
      </c>
      <c r="S106" s="2"/>
      <c r="T106" s="6">
        <v>2800</v>
      </c>
      <c r="U106" s="2"/>
      <c r="V106" s="7">
        <f t="shared" si="74"/>
        <v>6.7146975376484693E-4</v>
      </c>
      <c r="W106" s="2"/>
      <c r="X106" s="6">
        <f t="shared" si="75"/>
        <v>-2800</v>
      </c>
      <c r="Y106" s="2"/>
      <c r="Z106" s="7">
        <f t="shared" si="76"/>
        <v>-1</v>
      </c>
    </row>
    <row r="107" spans="1:26" s="24" customFormat="1" hidden="1" outlineLevel="2" x14ac:dyDescent="0.25">
      <c r="A107" s="26"/>
      <c r="B107" s="11" t="str">
        <f>CONCATENATE("          ", "6246", " - ", "REPLACEMENTS")</f>
        <v xml:space="preserve">          6246 - REPLACEMENTS</v>
      </c>
      <c r="C107" s="11"/>
      <c r="D107" s="6"/>
      <c r="E107" s="2"/>
      <c r="F107" s="7">
        <f t="shared" si="69"/>
        <v>0</v>
      </c>
      <c r="G107" s="2"/>
      <c r="H107" s="6">
        <v>0</v>
      </c>
      <c r="I107" s="2"/>
      <c r="J107" s="7">
        <f t="shared" si="70"/>
        <v>0</v>
      </c>
      <c r="K107" s="2"/>
      <c r="L107" s="6">
        <f t="shared" si="71"/>
        <v>0</v>
      </c>
      <c r="M107" s="2"/>
      <c r="N107" s="7">
        <f t="shared" si="72"/>
        <v>0</v>
      </c>
      <c r="O107" s="11"/>
      <c r="P107" s="6"/>
      <c r="Q107" s="2"/>
      <c r="R107" s="7">
        <f t="shared" si="73"/>
        <v>0</v>
      </c>
      <c r="S107" s="2"/>
      <c r="T107" s="6">
        <v>0</v>
      </c>
      <c r="U107" s="2"/>
      <c r="V107" s="7">
        <f t="shared" si="74"/>
        <v>0</v>
      </c>
      <c r="W107" s="2"/>
      <c r="X107" s="6">
        <f t="shared" si="75"/>
        <v>0</v>
      </c>
      <c r="Y107" s="2"/>
      <c r="Z107" s="7">
        <f t="shared" si="76"/>
        <v>0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69"/>
        <v>0</v>
      </c>
      <c r="G108" s="2"/>
      <c r="H108" s="6">
        <v>0</v>
      </c>
      <c r="I108" s="2"/>
      <c r="J108" s="7">
        <f t="shared" si="70"/>
        <v>0</v>
      </c>
      <c r="K108" s="2"/>
      <c r="L108" s="6">
        <f t="shared" si="71"/>
        <v>0</v>
      </c>
      <c r="M108" s="2"/>
      <c r="N108" s="7">
        <f t="shared" si="72"/>
        <v>0</v>
      </c>
      <c r="O108" s="11"/>
      <c r="P108" s="6"/>
      <c r="Q108" s="2"/>
      <c r="R108" s="7">
        <f t="shared" si="73"/>
        <v>0</v>
      </c>
      <c r="S108" s="2"/>
      <c r="T108" s="6">
        <v>591</v>
      </c>
      <c r="U108" s="2"/>
      <c r="V108" s="7">
        <f t="shared" si="74"/>
        <v>1.4172808016965163E-4</v>
      </c>
      <c r="W108" s="2"/>
      <c r="X108" s="6">
        <f t="shared" si="75"/>
        <v>-591</v>
      </c>
      <c r="Y108" s="2"/>
      <c r="Z108" s="7">
        <f t="shared" si="76"/>
        <v>-1</v>
      </c>
    </row>
    <row r="109" spans="1:26" s="24" customFormat="1" hidden="1" outlineLevel="2" x14ac:dyDescent="0.25">
      <c r="A109" s="26"/>
      <c r="B109" s="11" t="str">
        <f>CONCATENATE("          ", "6248", " - ", "UNIFORMS")</f>
        <v xml:space="preserve">          6248 - UNIFORMS</v>
      </c>
      <c r="C109" s="11"/>
      <c r="D109" s="6"/>
      <c r="E109" s="2"/>
      <c r="F109" s="7">
        <f t="shared" si="69"/>
        <v>0</v>
      </c>
      <c r="G109" s="2"/>
      <c r="H109" s="6">
        <v>0</v>
      </c>
      <c r="I109" s="2"/>
      <c r="J109" s="7">
        <f t="shared" si="70"/>
        <v>0</v>
      </c>
      <c r="K109" s="2"/>
      <c r="L109" s="6">
        <f t="shared" si="71"/>
        <v>0</v>
      </c>
      <c r="M109" s="2"/>
      <c r="N109" s="7">
        <f t="shared" si="72"/>
        <v>0</v>
      </c>
      <c r="O109" s="11"/>
      <c r="P109" s="6">
        <v>4500.59</v>
      </c>
      <c r="Q109" s="2"/>
      <c r="R109" s="7">
        <f t="shared" si="73"/>
        <v>2.8005016123578822E-3</v>
      </c>
      <c r="S109" s="2"/>
      <c r="T109" s="6">
        <v>11365</v>
      </c>
      <c r="U109" s="2"/>
      <c r="V109" s="7">
        <f t="shared" si="74"/>
        <v>2.7254477684062451E-3</v>
      </c>
      <c r="W109" s="2"/>
      <c r="X109" s="6">
        <f t="shared" si="75"/>
        <v>-6864.41</v>
      </c>
      <c r="Y109" s="2"/>
      <c r="Z109" s="7">
        <f t="shared" si="76"/>
        <v>-0.60399560052793666</v>
      </c>
    </row>
    <row r="110" spans="1:26" s="27" customFormat="1" outlineLevel="1" collapsed="1" x14ac:dyDescent="0.25">
      <c r="A110" s="25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SUM(OSRRefD22_20x_0)</f>
        <v>1997.5</v>
      </c>
      <c r="E110" s="1"/>
      <c r="F110" s="5">
        <f t="shared" ref="F110:F112" si="77">IF(D$12=0,0,D110/D$12)</f>
        <v>2.0634049476886816E-2</v>
      </c>
      <c r="G110" s="1"/>
      <c r="H110" s="1">
        <f>SUM(OSRRefH22_20x_0)</f>
        <v>1110</v>
      </c>
      <c r="I110" s="1"/>
      <c r="J110" s="5">
        <f t="shared" ref="J110:J112" si="78">IF(H$12=0,0,H110/H$12)</f>
        <v>0.10192837465564739</v>
      </c>
      <c r="K110" s="1"/>
      <c r="L110" s="1">
        <f t="shared" ref="L110:L112" si="79">+D110-H110</f>
        <v>887.5</v>
      </c>
      <c r="M110" s="1"/>
      <c r="N110" s="5">
        <f t="shared" ref="N110:N112" si="80">IF(H110=0,0,L110/H110)</f>
        <v>0.7995495495495496</v>
      </c>
      <c r="O110" s="13"/>
      <c r="P110" s="1">
        <f>SUM(OSRRefP22_20x_0)</f>
        <v>13640.93</v>
      </c>
      <c r="Q110" s="1"/>
      <c r="R110" s="5">
        <f t="shared" ref="R110:R112" si="81">IF(P$12=0,0,P110/P$12)</f>
        <v>8.4880974403491564E-3</v>
      </c>
      <c r="S110" s="1"/>
      <c r="T110" s="1">
        <f>SUM(OSRRefT22_20x_0)</f>
        <v>12762</v>
      </c>
      <c r="U110" s="1"/>
      <c r="V110" s="5">
        <f t="shared" ref="V110:V112" si="82">IF(T$12=0,0,T110/T$12)</f>
        <v>3.0604632134096348E-3</v>
      </c>
      <c r="W110" s="1"/>
      <c r="X110" s="1">
        <f t="shared" ref="X110:X112" si="83">+P110-T110</f>
        <v>878.93000000000029</v>
      </c>
      <c r="Y110" s="1"/>
      <c r="Z110" s="5">
        <f t="shared" ref="Z110:Z112" si="84">IF(T110=0,0,X110/T110)</f>
        <v>6.8870866635323644E-2</v>
      </c>
    </row>
    <row r="111" spans="1:26" s="24" customFormat="1" hidden="1" outlineLevel="2" x14ac:dyDescent="0.25">
      <c r="A111" s="26"/>
      <c r="B111" s="11" t="str">
        <f>CONCATENATE("          ", "6303", " - ", "DATA PHONE LINES")</f>
        <v xml:space="preserve">          6303 - DATA PHONE LINES</v>
      </c>
      <c r="C111" s="11"/>
      <c r="D111" s="6"/>
      <c r="E111" s="2"/>
      <c r="F111" s="7">
        <f t="shared" si="77"/>
        <v>0</v>
      </c>
      <c r="G111" s="2"/>
      <c r="H111" s="6">
        <v>635</v>
      </c>
      <c r="I111" s="2"/>
      <c r="J111" s="7">
        <f t="shared" si="78"/>
        <v>5.8310376492194671E-2</v>
      </c>
      <c r="K111" s="2"/>
      <c r="L111" s="6">
        <f t="shared" si="79"/>
        <v>-635</v>
      </c>
      <c r="M111" s="2"/>
      <c r="N111" s="7">
        <f t="shared" si="80"/>
        <v>-1</v>
      </c>
      <c r="O111" s="11"/>
      <c r="P111" s="6"/>
      <c r="Q111" s="2"/>
      <c r="R111" s="7">
        <f t="shared" si="81"/>
        <v>0</v>
      </c>
      <c r="S111" s="2"/>
      <c r="T111" s="6">
        <v>7662</v>
      </c>
      <c r="U111" s="2"/>
      <c r="V111" s="7">
        <f t="shared" si="82"/>
        <v>1.8374290190522348E-3</v>
      </c>
      <c r="W111" s="2"/>
      <c r="X111" s="6">
        <f t="shared" si="83"/>
        <v>-7662</v>
      </c>
      <c r="Y111" s="2"/>
      <c r="Z111" s="7">
        <f t="shared" si="84"/>
        <v>-1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6">
        <v>1997.5</v>
      </c>
      <c r="E112" s="2"/>
      <c r="F112" s="7">
        <f t="shared" si="77"/>
        <v>2.0634049476886816E-2</v>
      </c>
      <c r="G112" s="2"/>
      <c r="H112" s="6">
        <v>475</v>
      </c>
      <c r="I112" s="2"/>
      <c r="J112" s="7">
        <f t="shared" si="78"/>
        <v>4.3617998163452708E-2</v>
      </c>
      <c r="K112" s="2"/>
      <c r="L112" s="6">
        <f t="shared" si="79"/>
        <v>1522.5</v>
      </c>
      <c r="M112" s="2"/>
      <c r="N112" s="7">
        <f t="shared" si="80"/>
        <v>3.2052631578947368</v>
      </c>
      <c r="O112" s="11"/>
      <c r="P112" s="6">
        <v>13640.93</v>
      </c>
      <c r="Q112" s="2"/>
      <c r="R112" s="7">
        <f t="shared" si="81"/>
        <v>8.4880974403491564E-3</v>
      </c>
      <c r="S112" s="2"/>
      <c r="T112" s="6">
        <v>5100</v>
      </c>
      <c r="U112" s="2"/>
      <c r="V112" s="7">
        <f t="shared" si="82"/>
        <v>1.2230341943573998E-3</v>
      </c>
      <c r="W112" s="2"/>
      <c r="X112" s="6">
        <f t="shared" si="83"/>
        <v>8540.93</v>
      </c>
      <c r="Y112" s="2"/>
      <c r="Z112" s="7">
        <f t="shared" si="84"/>
        <v>1.6746921568627451</v>
      </c>
    </row>
    <row r="113" spans="1:26" s="27" customFormat="1" outlineLevel="1" collapsed="1" x14ac:dyDescent="0.25">
      <c r="A113" s="25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SUM(OSRRefD22_21x_0)</f>
        <v>506.99</v>
      </c>
      <c r="E113" s="1"/>
      <c r="F113" s="5">
        <f t="shared" ref="F113:F118" si="85">IF(D$12=0,0,D113/D$12)</f>
        <v>5.2371748406942909E-3</v>
      </c>
      <c r="G113" s="1"/>
      <c r="H113" s="1">
        <f>SUM(OSRRefH22_21x_0)</f>
        <v>2250</v>
      </c>
      <c r="I113" s="1"/>
      <c r="J113" s="5">
        <f t="shared" ref="J113:J118" si="86">IF(H$12=0,0,H113/H$12)</f>
        <v>0.20661157024793389</v>
      </c>
      <c r="K113" s="1"/>
      <c r="L113" s="1">
        <f t="shared" ref="L113:L118" si="87">+D113-H113</f>
        <v>-1743.01</v>
      </c>
      <c r="M113" s="1"/>
      <c r="N113" s="5">
        <f t="shared" ref="N113:N118" si="88">IF(H113=0,0,L113/H113)</f>
        <v>-0.77467111111111109</v>
      </c>
      <c r="O113" s="13"/>
      <c r="P113" s="1">
        <f>SUM(OSRRefP22_21x_0)</f>
        <v>1693.22</v>
      </c>
      <c r="Q113" s="1"/>
      <c r="R113" s="5">
        <f t="shared" ref="R113:R118" si="89">IF(P$12=0,0,P113/P$12)</f>
        <v>1.0536097134101559E-3</v>
      </c>
      <c r="S113" s="1"/>
      <c r="T113" s="1">
        <f>SUM(OSRRefT22_21x_0)</f>
        <v>11650</v>
      </c>
      <c r="U113" s="1"/>
      <c r="V113" s="5">
        <f t="shared" ref="V113:V118" si="90">IF(T$12=0,0,T113/T$12)</f>
        <v>2.7937937969144525E-3</v>
      </c>
      <c r="W113" s="1"/>
      <c r="X113" s="1">
        <f t="shared" ref="X113:X118" si="91">+P113-T113</f>
        <v>-9956.7800000000007</v>
      </c>
      <c r="Y113" s="1"/>
      <c r="Z113" s="5">
        <f t="shared" ref="Z113:Z118" si="92">IF(T113=0,0,X113/T113)</f>
        <v>-0.8546592274678112</v>
      </c>
    </row>
    <row r="114" spans="1:26" s="24" customFormat="1" hidden="1" outlineLevel="2" x14ac:dyDescent="0.25">
      <c r="A114" s="26"/>
      <c r="B114" s="11" t="str">
        <f>CONCATENATE("          ", "6376", " - ", "TRAINING")</f>
        <v xml:space="preserve">          6376 - TRAINING</v>
      </c>
      <c r="C114" s="11"/>
      <c r="D114" s="6">
        <v>506.99</v>
      </c>
      <c r="E114" s="2"/>
      <c r="F114" s="7">
        <f t="shared" si="85"/>
        <v>5.2371748406942909E-3</v>
      </c>
      <c r="G114" s="2"/>
      <c r="H114" s="6">
        <v>2250</v>
      </c>
      <c r="I114" s="2"/>
      <c r="J114" s="7">
        <f t="shared" si="86"/>
        <v>0.20661157024793389</v>
      </c>
      <c r="K114" s="2"/>
      <c r="L114" s="6">
        <f t="shared" si="87"/>
        <v>-1743.01</v>
      </c>
      <c r="M114" s="2"/>
      <c r="N114" s="7">
        <f t="shared" si="88"/>
        <v>-0.77467111111111109</v>
      </c>
      <c r="O114" s="11"/>
      <c r="P114" s="6">
        <v>1693.22</v>
      </c>
      <c r="Q114" s="2"/>
      <c r="R114" s="7">
        <f t="shared" si="89"/>
        <v>1.0536097134101559E-3</v>
      </c>
      <c r="S114" s="2"/>
      <c r="T114" s="6">
        <v>11650</v>
      </c>
      <c r="U114" s="2"/>
      <c r="V114" s="7">
        <f t="shared" si="90"/>
        <v>2.7937937969144525E-3</v>
      </c>
      <c r="W114" s="2"/>
      <c r="X114" s="6">
        <f t="shared" si="91"/>
        <v>-9956.7800000000007</v>
      </c>
      <c r="Y114" s="2"/>
      <c r="Z114" s="7">
        <f t="shared" si="92"/>
        <v>-0.8546592274678112</v>
      </c>
    </row>
    <row r="115" spans="1:26" s="27" customFormat="1" outlineLevel="1" collapsed="1" x14ac:dyDescent="0.25">
      <c r="A115" s="25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SUM(OSRRefD22_22x_0)</f>
        <v>0</v>
      </c>
      <c r="E115" s="1"/>
      <c r="F115" s="5">
        <f t="shared" si="85"/>
        <v>0</v>
      </c>
      <c r="G115" s="1"/>
      <c r="H115" s="1">
        <f>SUM(OSRRefH22_22x_0)</f>
        <v>300</v>
      </c>
      <c r="I115" s="1"/>
      <c r="J115" s="5">
        <f t="shared" si="86"/>
        <v>2.7548209366391185E-2</v>
      </c>
      <c r="K115" s="1"/>
      <c r="L115" s="1">
        <f t="shared" si="87"/>
        <v>-300</v>
      </c>
      <c r="M115" s="1"/>
      <c r="N115" s="5">
        <f t="shared" si="88"/>
        <v>-1</v>
      </c>
      <c r="O115" s="13"/>
      <c r="P115" s="1">
        <f>SUM(OSRRefP22_22x_0)</f>
        <v>492.51</v>
      </c>
      <c r="Q115" s="1"/>
      <c r="R115" s="5">
        <f t="shared" si="89"/>
        <v>3.0646538544999225E-4</v>
      </c>
      <c r="S115" s="1"/>
      <c r="T115" s="1">
        <f>SUM(OSRRefT22_22x_0)</f>
        <v>3600</v>
      </c>
      <c r="U115" s="1"/>
      <c r="V115" s="5">
        <f t="shared" si="90"/>
        <v>8.6331825484051758E-4</v>
      </c>
      <c r="W115" s="1"/>
      <c r="X115" s="1">
        <f t="shared" si="91"/>
        <v>-3107.49</v>
      </c>
      <c r="Y115" s="1"/>
      <c r="Z115" s="5">
        <f t="shared" si="92"/>
        <v>-0.86319166666666658</v>
      </c>
    </row>
    <row r="116" spans="1:26" s="24" customFormat="1" hidden="1" outlineLevel="2" x14ac:dyDescent="0.25">
      <c r="A116" s="26"/>
      <c r="B116" s="11" t="str">
        <f>CONCATENATE("          ", "6292", " - ", "TRAVEL/CONFERENCE")</f>
        <v xml:space="preserve">          6292 - TRAVEL/CONFERENCE</v>
      </c>
      <c r="C116" s="11"/>
      <c r="D116" s="6"/>
      <c r="E116" s="2"/>
      <c r="F116" s="7">
        <f t="shared" si="85"/>
        <v>0</v>
      </c>
      <c r="G116" s="2"/>
      <c r="H116" s="6">
        <v>300</v>
      </c>
      <c r="I116" s="2"/>
      <c r="J116" s="7">
        <f t="shared" si="86"/>
        <v>2.7548209366391185E-2</v>
      </c>
      <c r="K116" s="2"/>
      <c r="L116" s="6">
        <f t="shared" si="87"/>
        <v>-300</v>
      </c>
      <c r="M116" s="2"/>
      <c r="N116" s="7">
        <f t="shared" si="88"/>
        <v>-1</v>
      </c>
      <c r="O116" s="11"/>
      <c r="P116" s="6"/>
      <c r="Q116" s="2"/>
      <c r="R116" s="7">
        <f t="shared" si="89"/>
        <v>0</v>
      </c>
      <c r="S116" s="2"/>
      <c r="T116" s="6">
        <v>3600</v>
      </c>
      <c r="U116" s="2"/>
      <c r="V116" s="7">
        <f t="shared" si="90"/>
        <v>8.6331825484051758E-4</v>
      </c>
      <c r="W116" s="2"/>
      <c r="X116" s="6">
        <f t="shared" si="91"/>
        <v>-3600</v>
      </c>
      <c r="Y116" s="2"/>
      <c r="Z116" s="7">
        <f t="shared" si="92"/>
        <v>-1</v>
      </c>
    </row>
    <row r="117" spans="1:26" s="24" customFormat="1" hidden="1" outlineLevel="2" x14ac:dyDescent="0.25">
      <c r="A117" s="26"/>
      <c r="B117" s="11" t="str">
        <f>CONCATENATE("          ", "6294", " - ", "TRAVEL OPERATIONAL")</f>
        <v xml:space="preserve">          6294 - TRAVEL OPERATIONAL</v>
      </c>
      <c r="C117" s="11"/>
      <c r="D117" s="6"/>
      <c r="E117" s="2"/>
      <c r="F117" s="7">
        <f t="shared" si="85"/>
        <v>0</v>
      </c>
      <c r="G117" s="2"/>
      <c r="H117" s="6"/>
      <c r="I117" s="2"/>
      <c r="J117" s="7">
        <f t="shared" si="86"/>
        <v>0</v>
      </c>
      <c r="K117" s="2"/>
      <c r="L117" s="6">
        <f t="shared" si="87"/>
        <v>0</v>
      </c>
      <c r="M117" s="2"/>
      <c r="N117" s="7">
        <f t="shared" si="88"/>
        <v>0</v>
      </c>
      <c r="O117" s="11"/>
      <c r="P117" s="6">
        <v>160.30000000000001</v>
      </c>
      <c r="Q117" s="2"/>
      <c r="R117" s="7">
        <f t="shared" si="89"/>
        <v>9.9747012827422303E-5</v>
      </c>
      <c r="S117" s="2"/>
      <c r="T117" s="6">
        <v>0</v>
      </c>
      <c r="U117" s="2"/>
      <c r="V117" s="7">
        <f t="shared" si="90"/>
        <v>0</v>
      </c>
      <c r="W117" s="2"/>
      <c r="X117" s="6">
        <f t="shared" si="91"/>
        <v>160.30000000000001</v>
      </c>
      <c r="Y117" s="2"/>
      <c r="Z117" s="7">
        <f t="shared" si="92"/>
        <v>0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6"/>
      <c r="E118" s="2"/>
      <c r="F118" s="7">
        <f t="shared" si="85"/>
        <v>0</v>
      </c>
      <c r="G118" s="2"/>
      <c r="H118" s="6"/>
      <c r="I118" s="2"/>
      <c r="J118" s="7">
        <f t="shared" si="86"/>
        <v>0</v>
      </c>
      <c r="K118" s="2"/>
      <c r="L118" s="6">
        <f t="shared" si="87"/>
        <v>0</v>
      </c>
      <c r="M118" s="2"/>
      <c r="N118" s="7">
        <f t="shared" si="88"/>
        <v>0</v>
      </c>
      <c r="O118" s="11"/>
      <c r="P118" s="6">
        <v>332.21</v>
      </c>
      <c r="Q118" s="2"/>
      <c r="R118" s="7">
        <f t="shared" si="89"/>
        <v>2.0671837262256992E-4</v>
      </c>
      <c r="S118" s="2"/>
      <c r="T118" s="6"/>
      <c r="U118" s="2"/>
      <c r="V118" s="7">
        <f t="shared" si="90"/>
        <v>0</v>
      </c>
      <c r="W118" s="2"/>
      <c r="X118" s="6">
        <f t="shared" si="91"/>
        <v>332.21</v>
      </c>
      <c r="Y118" s="2"/>
      <c r="Z118" s="7">
        <f t="shared" si="92"/>
        <v>0</v>
      </c>
    </row>
    <row r="119" spans="1:26" s="27" customFormat="1" outlineLevel="1" collapsed="1" x14ac:dyDescent="0.25">
      <c r="A119" s="25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SUM(OSRRefD22_23x_0)</f>
        <v>40208</v>
      </c>
      <c r="E119" s="1"/>
      <c r="F119" s="5">
        <f t="shared" ref="F119:F120" si="93">IF(D$12=0,0,D119/D$12)</f>
        <v>0.41534611332498877</v>
      </c>
      <c r="G119" s="1"/>
      <c r="H119" s="1">
        <f>SUM(OSRRefH22_23x_0)</f>
        <v>3300</v>
      </c>
      <c r="I119" s="1"/>
      <c r="J119" s="5">
        <f t="shared" ref="J119:J120" si="94">IF(H$12=0,0,H119/H$12)</f>
        <v>0.30303030303030304</v>
      </c>
      <c r="K119" s="1"/>
      <c r="L119" s="1">
        <f t="shared" ref="L119:L120" si="95">+D119-H119</f>
        <v>36908</v>
      </c>
      <c r="M119" s="1"/>
      <c r="N119" s="5">
        <f t="shared" ref="N119:N120" si="96">IF(H119=0,0,L119/H119)</f>
        <v>11.184242424242424</v>
      </c>
      <c r="O119" s="13"/>
      <c r="P119" s="1">
        <f>SUM(OSRRefP22_23x_0)</f>
        <v>46044</v>
      </c>
      <c r="Q119" s="1"/>
      <c r="R119" s="5">
        <f t="shared" ref="R119:R120" si="97">IF(P$12=0,0,P119/P$12)</f>
        <v>2.8650976036343308E-2</v>
      </c>
      <c r="S119" s="1"/>
      <c r="T119" s="1">
        <f>SUM(OSRRefT22_23x_0)</f>
        <v>39600</v>
      </c>
      <c r="U119" s="1"/>
      <c r="V119" s="5">
        <f t="shared" ref="V119:V120" si="98">IF(T$12=0,0,T119/T$12)</f>
        <v>9.4965008032456937E-3</v>
      </c>
      <c r="W119" s="1"/>
      <c r="X119" s="1">
        <f t="shared" ref="X119:X120" si="99">+P119-T119</f>
        <v>6444</v>
      </c>
      <c r="Y119" s="1"/>
      <c r="Z119" s="5">
        <f t="shared" ref="Z119:Z120" si="100">IF(T119=0,0,X119/T119)</f>
        <v>0.16272727272727272</v>
      </c>
    </row>
    <row r="120" spans="1:26" s="24" customFormat="1" hidden="1" outlineLevel="2" x14ac:dyDescent="0.25">
      <c r="A120" s="26"/>
      <c r="B120" s="11" t="str">
        <f>CONCATENATE("          ", "6274", " - ", "UTILITIES")</f>
        <v xml:space="preserve">          6274 - UTILITIES</v>
      </c>
      <c r="C120" s="11"/>
      <c r="D120" s="6">
        <v>40208</v>
      </c>
      <c r="E120" s="2"/>
      <c r="F120" s="7">
        <f t="shared" si="93"/>
        <v>0.41534611332498877</v>
      </c>
      <c r="G120" s="2"/>
      <c r="H120" s="6">
        <v>3300</v>
      </c>
      <c r="I120" s="2"/>
      <c r="J120" s="7">
        <f t="shared" si="94"/>
        <v>0.30303030303030304</v>
      </c>
      <c r="K120" s="2"/>
      <c r="L120" s="6">
        <f t="shared" si="95"/>
        <v>36908</v>
      </c>
      <c r="M120" s="2"/>
      <c r="N120" s="7">
        <f t="shared" si="96"/>
        <v>11.184242424242424</v>
      </c>
      <c r="O120" s="11"/>
      <c r="P120" s="6">
        <v>46044</v>
      </c>
      <c r="Q120" s="2"/>
      <c r="R120" s="7">
        <f t="shared" si="97"/>
        <v>2.8650976036343308E-2</v>
      </c>
      <c r="S120" s="2"/>
      <c r="T120" s="6">
        <v>39600</v>
      </c>
      <c r="U120" s="2"/>
      <c r="V120" s="7">
        <f t="shared" si="98"/>
        <v>9.4965008032456937E-3</v>
      </c>
      <c r="W120" s="2"/>
      <c r="X120" s="6">
        <f t="shared" si="99"/>
        <v>6444</v>
      </c>
      <c r="Y120" s="2"/>
      <c r="Z120" s="7">
        <f t="shared" si="100"/>
        <v>0.16272727272727272</v>
      </c>
    </row>
    <row r="121" spans="1:26" s="61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293</v>
      </c>
      <c r="C122" s="10"/>
      <c r="D122" s="4">
        <f>SUM(OSRRefD25x_0)</f>
        <v>1026.5</v>
      </c>
      <c r="E122" s="4"/>
      <c r="F122" s="12">
        <f t="shared" ref="F122:F126" si="101">IF(D$12=0,0,D122/D$12)</f>
        <v>1.0603680494630447E-2</v>
      </c>
      <c r="G122" s="4"/>
      <c r="H122" s="4">
        <f>SUM(OSRRefH25x_0)</f>
        <v>29608</v>
      </c>
      <c r="I122" s="4"/>
      <c r="J122" s="12">
        <f t="shared" ref="J122:J126" si="102">IF(H$12=0,0,H122/H$12)</f>
        <v>2.7188246097337005</v>
      </c>
      <c r="K122" s="4"/>
      <c r="L122" s="4">
        <f t="shared" ref="L122:L126" si="103">+D122-H122</f>
        <v>-28581.5</v>
      </c>
      <c r="M122" s="4"/>
      <c r="N122" s="12">
        <f t="shared" ref="N122:N126" si="104">IF(H122=0,0,L122/H122)</f>
        <v>-0.96533031613077547</v>
      </c>
      <c r="O122" s="10"/>
      <c r="P122" s="4">
        <f>SUM(OSRRefP25x_0)</f>
        <v>23513.16</v>
      </c>
      <c r="Q122" s="4"/>
      <c r="R122" s="12">
        <f t="shared" ref="R122:R126" si="105">IF(P$12=0,0,P122/P$12)</f>
        <v>1.4631113363276561E-2</v>
      </c>
      <c r="S122" s="4"/>
      <c r="T122" s="4">
        <f>SUM(OSRRefT25x_0)</f>
        <v>108558</v>
      </c>
      <c r="U122" s="4"/>
      <c r="V122" s="12">
        <f t="shared" ref="V122:V126" si="106">IF(T$12=0,0,T122/T$12)</f>
        <v>2.6033361974715806E-2</v>
      </c>
      <c r="W122" s="4"/>
      <c r="X122" s="4">
        <f t="shared" ref="X122:X126" si="107">+P122-T122</f>
        <v>-85044.84</v>
      </c>
      <c r="Y122" s="4"/>
      <c r="Z122" s="12">
        <f t="shared" ref="Z122:Z126" si="108">IF(T122=0,0,X122/T122)</f>
        <v>-0.78340463162549046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--449.64</f>
        <v>449.64</v>
      </c>
      <c r="E123" s="2"/>
      <c r="F123" s="19">
        <f t="shared" si="101"/>
        <v>4.644752944574412E-3</v>
      </c>
      <c r="G123" s="2"/>
      <c r="H123" s="2">
        <v>15664</v>
      </c>
      <c r="I123" s="2"/>
      <c r="J123" s="19">
        <f t="shared" si="102"/>
        <v>1.4383838383838383</v>
      </c>
      <c r="K123" s="2"/>
      <c r="L123" s="2">
        <f t="shared" si="103"/>
        <v>-15214.36</v>
      </c>
      <c r="M123" s="2"/>
      <c r="N123" s="19">
        <f t="shared" si="104"/>
        <v>-0.9712946884576098</v>
      </c>
      <c r="O123" s="11"/>
      <c r="P123" s="2">
        <f>--5799.56</f>
        <v>5799.56</v>
      </c>
      <c r="Q123" s="2"/>
      <c r="R123" s="19">
        <f t="shared" si="105"/>
        <v>3.6087884323980366E-3</v>
      </c>
      <c r="S123" s="2"/>
      <c r="T123" s="2">
        <v>42725</v>
      </c>
      <c r="U123" s="2"/>
      <c r="V123" s="19">
        <f t="shared" si="106"/>
        <v>1.0245909010572532E-2</v>
      </c>
      <c r="W123" s="2"/>
      <c r="X123" s="2">
        <f t="shared" si="107"/>
        <v>-36925.440000000002</v>
      </c>
      <c r="Y123" s="2"/>
      <c r="Z123" s="19">
        <f t="shared" si="108"/>
        <v>-0.86425839672323002</v>
      </c>
    </row>
    <row r="124" spans="1:26" s="24" customFormat="1" hidden="1" outlineLevel="1" x14ac:dyDescent="0.25">
      <c r="A124" s="44"/>
      <c r="B124" s="11" t="str">
        <f>CONCATENATE("          ", "9151", " - ", "MISC. INCOME")</f>
        <v xml:space="preserve">          9151 - MISC. INCOME</v>
      </c>
      <c r="C124" s="11"/>
      <c r="D124" s="2">
        <f t="shared" ref="D124:D125" si="109">0</f>
        <v>0</v>
      </c>
      <c r="E124" s="2"/>
      <c r="F124" s="19">
        <f t="shared" si="101"/>
        <v>0</v>
      </c>
      <c r="G124" s="2"/>
      <c r="H124" s="2">
        <v>6343</v>
      </c>
      <c r="I124" s="2"/>
      <c r="J124" s="19">
        <f t="shared" si="102"/>
        <v>0.58246097337006431</v>
      </c>
      <c r="K124" s="2"/>
      <c r="L124" s="2">
        <f t="shared" si="103"/>
        <v>-6343</v>
      </c>
      <c r="M124" s="2"/>
      <c r="N124" s="19">
        <f t="shared" si="104"/>
        <v>-1</v>
      </c>
      <c r="O124" s="11"/>
      <c r="P124" s="2">
        <f>0</f>
        <v>0</v>
      </c>
      <c r="Q124" s="2"/>
      <c r="R124" s="19">
        <f t="shared" si="105"/>
        <v>0</v>
      </c>
      <c r="S124" s="2"/>
      <c r="T124" s="2">
        <v>41738</v>
      </c>
      <c r="U124" s="2"/>
      <c r="V124" s="19">
        <f t="shared" si="106"/>
        <v>1.0009215922370423E-2</v>
      </c>
      <c r="W124" s="2"/>
      <c r="X124" s="2">
        <f t="shared" si="107"/>
        <v>-41738</v>
      </c>
      <c r="Y124" s="2"/>
      <c r="Z124" s="19">
        <f t="shared" si="108"/>
        <v>-1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109"/>
        <v>0</v>
      </c>
      <c r="E125" s="2"/>
      <c r="F125" s="19">
        <f t="shared" si="101"/>
        <v>0</v>
      </c>
      <c r="G125" s="2"/>
      <c r="H125" s="2">
        <v>7601</v>
      </c>
      <c r="I125" s="2"/>
      <c r="J125" s="19">
        <f t="shared" si="102"/>
        <v>0.69797979797979803</v>
      </c>
      <c r="K125" s="2"/>
      <c r="L125" s="2">
        <f t="shared" si="103"/>
        <v>-7601</v>
      </c>
      <c r="M125" s="2"/>
      <c r="N125" s="19">
        <f t="shared" si="104"/>
        <v>-1</v>
      </c>
      <c r="O125" s="11"/>
      <c r="P125" s="2">
        <f>--13615.06</f>
        <v>13615.06</v>
      </c>
      <c r="Q125" s="2"/>
      <c r="R125" s="19">
        <f t="shared" si="105"/>
        <v>8.4719997783289092E-3</v>
      </c>
      <c r="S125" s="2"/>
      <c r="T125" s="2">
        <v>24095</v>
      </c>
      <c r="U125" s="2"/>
      <c r="V125" s="19">
        <f t="shared" si="106"/>
        <v>5.7782370417728528E-3</v>
      </c>
      <c r="W125" s="2"/>
      <c r="X125" s="2">
        <f t="shared" si="107"/>
        <v>-10479.94</v>
      </c>
      <c r="Y125" s="2"/>
      <c r="Z125" s="19">
        <f t="shared" si="108"/>
        <v>-0.43494251919485372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--576.86</f>
        <v>576.86</v>
      </c>
      <c r="E126" s="2"/>
      <c r="F126" s="19">
        <f t="shared" si="101"/>
        <v>5.9589275500560347E-3</v>
      </c>
      <c r="G126" s="2"/>
      <c r="H126" s="2"/>
      <c r="I126" s="2"/>
      <c r="J126" s="19">
        <f t="shared" si="102"/>
        <v>0</v>
      </c>
      <c r="K126" s="2"/>
      <c r="L126" s="2">
        <f t="shared" si="103"/>
        <v>576.86</v>
      </c>
      <c r="M126" s="2"/>
      <c r="N126" s="19">
        <f t="shared" si="104"/>
        <v>0</v>
      </c>
      <c r="O126" s="11"/>
      <c r="P126" s="2">
        <f>--4098.54</f>
        <v>4098.54</v>
      </c>
      <c r="Q126" s="2"/>
      <c r="R126" s="19">
        <f t="shared" si="105"/>
        <v>2.5503251525496157E-3</v>
      </c>
      <c r="S126" s="2"/>
      <c r="T126" s="2"/>
      <c r="U126" s="2"/>
      <c r="V126" s="19">
        <f t="shared" si="106"/>
        <v>0</v>
      </c>
      <c r="W126" s="2"/>
      <c r="X126" s="2">
        <f t="shared" si="107"/>
        <v>4098.54</v>
      </c>
      <c r="Y126" s="2"/>
      <c r="Z126" s="19">
        <f t="shared" si="108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277</v>
      </c>
      <c r="C128" s="28"/>
      <c r="D128" s="20">
        <f>+D28-D30+D122</f>
        <v>-286214.14999999997</v>
      </c>
      <c r="E128" s="14"/>
      <c r="F128" s="22">
        <f>IF(D$12=0,0,D128/D$12)</f>
        <v>-2.956574183772267</v>
      </c>
      <c r="G128" s="14"/>
      <c r="H128" s="20">
        <f>+H28-H30+H122</f>
        <v>-307345.2883457056</v>
      </c>
      <c r="I128" s="14"/>
      <c r="J128" s="22">
        <f>IF(H$12=0,0,H128/H$12)</f>
        <v>-28.222707837071223</v>
      </c>
      <c r="K128" s="16"/>
      <c r="L128" s="20">
        <f>+D128-H128</f>
        <v>21131.138345705636</v>
      </c>
      <c r="M128" s="16"/>
      <c r="N128" s="22">
        <f>IF(H128=0,0,L128/H128)</f>
        <v>-6.8753740977922792E-2</v>
      </c>
      <c r="O128" s="29"/>
      <c r="P128" s="20">
        <f>+P28-P30+P122</f>
        <v>-2913834.1499999994</v>
      </c>
      <c r="Q128" s="14"/>
      <c r="R128" s="22">
        <f>IF(P$12=0,0,P128/P$12)</f>
        <v>-1.8131394406552157</v>
      </c>
      <c r="S128" s="14"/>
      <c r="T128" s="20">
        <f>+T28-T30+T122</f>
        <v>-2446009.3882990247</v>
      </c>
      <c r="U128" s="14"/>
      <c r="V128" s="22">
        <f>IF(T$12=0,0,T128/T$12)</f>
        <v>-0.58657904345273215</v>
      </c>
      <c r="W128" s="16"/>
      <c r="X128" s="20">
        <f>+P128-T128</f>
        <v>-467824.76170097478</v>
      </c>
      <c r="Y128" s="16"/>
      <c r="Z128" s="22">
        <f>IF(T128=0,0,X128/T128)</f>
        <v>0.19126041132094918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2"/>
      <c r="B130" s="10" t="s">
        <v>128</v>
      </c>
      <c r="C130" s="10"/>
      <c r="D130" s="4">
        <v>122099.01</v>
      </c>
      <c r="E130" s="4"/>
      <c r="F130" s="12">
        <f>IF(D$12=0,0,D130/D$12)</f>
        <v>1.2612751005851803</v>
      </c>
      <c r="G130" s="4"/>
      <c r="H130" s="4">
        <v>-63197</v>
      </c>
      <c r="I130" s="4"/>
      <c r="J130" s="12">
        <f>IF(H$12=0,0,H130/H$12)</f>
        <v>-5.8032139577594126</v>
      </c>
      <c r="K130" s="4"/>
      <c r="L130" s="4">
        <f>+D130-H130</f>
        <v>185296.01</v>
      </c>
      <c r="M130" s="4"/>
      <c r="N130" s="12">
        <f>IF(H130=0,0,L130/H130)</f>
        <v>-2.9320380714274412</v>
      </c>
      <c r="O130" s="10"/>
      <c r="P130" s="4">
        <v>444827.18</v>
      </c>
      <c r="Q130" s="4"/>
      <c r="R130" s="12">
        <f>IF(P$12=0,0,P130/P$12)</f>
        <v>0.27679465021488514</v>
      </c>
      <c r="S130" s="4"/>
      <c r="T130" s="4">
        <v>704630</v>
      </c>
      <c r="U130" s="4"/>
      <c r="V130" s="12">
        <f>IF(T$12=0,0,T130/T$12)</f>
        <v>0.16897776164118719</v>
      </c>
      <c r="W130" s="4"/>
      <c r="X130" s="4">
        <f>+P130-T130</f>
        <v>-259802.82</v>
      </c>
      <c r="Y130" s="4"/>
      <c r="Z130" s="12">
        <f>IF(T130=0,0,X130/T130)</f>
        <v>-0.36870814470005536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126</v>
      </c>
      <c r="C132" s="28"/>
      <c r="D132" s="34">
        <f>+D128-D130</f>
        <v>-408313.16</v>
      </c>
      <c r="E132" s="14"/>
      <c r="F132" s="35">
        <f>IF(D$12=0,0,D132/D$12)</f>
        <v>-4.217849284357448</v>
      </c>
      <c r="G132" s="14"/>
      <c r="H132" s="34">
        <f>+H128-H130</f>
        <v>-244148.2883457056</v>
      </c>
      <c r="I132" s="14"/>
      <c r="J132" s="35">
        <f>IF(H$12=0,0,H132/H$12)</f>
        <v>-22.419493879311808</v>
      </c>
      <c r="K132" s="16"/>
      <c r="L132" s="34">
        <f>D132-H132</f>
        <v>-164164.87165429437</v>
      </c>
      <c r="M132" s="16"/>
      <c r="N132" s="35">
        <f>IF(H132=0,0,L132/H132)</f>
        <v>0.67239820834558772</v>
      </c>
      <c r="O132" s="29"/>
      <c r="P132" s="34">
        <f>+P128-P130</f>
        <v>-3358661.3299999996</v>
      </c>
      <c r="Q132" s="14"/>
      <c r="R132" s="35">
        <f>IF(P$12=0,0,P132/P$12)</f>
        <v>-2.0899340908701012</v>
      </c>
      <c r="S132" s="14"/>
      <c r="T132" s="34">
        <f>+T128-T130</f>
        <v>-3150639.3882990247</v>
      </c>
      <c r="U132" s="14"/>
      <c r="V132" s="35">
        <f>IF(T$12=0,0,T132/T$12)</f>
        <v>-0.75555680509391931</v>
      </c>
      <c r="W132" s="16"/>
      <c r="X132" s="34">
        <f>P132-T132</f>
        <v>-208021.94170097494</v>
      </c>
      <c r="Y132" s="16"/>
      <c r="Z132" s="35">
        <f>IF(T132=0,0,X132/T132)</f>
        <v>6.6025309806490545E-2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294</v>
      </c>
      <c r="C135" s="28"/>
      <c r="D135" s="33">
        <f>SUM(D132:D134)</f>
        <v>-408313.16</v>
      </c>
      <c r="E135" s="14"/>
      <c r="F135" s="31">
        <f>IF(D$12=0,0,D135/D$12)</f>
        <v>-4.217849284357448</v>
      </c>
      <c r="G135" s="14"/>
      <c r="H135" s="33">
        <f>SUM(H132:H134)</f>
        <v>-244148.2883457056</v>
      </c>
      <c r="I135" s="14"/>
      <c r="J135" s="31">
        <f>IF(H$12=0,0,H135/H$12)</f>
        <v>-22.419493879311808</v>
      </c>
      <c r="K135" s="16"/>
      <c r="L135" s="33">
        <f>+D135-H135</f>
        <v>-164164.87165429437</v>
      </c>
      <c r="M135" s="16"/>
      <c r="N135" s="31">
        <f>IF(H135=0,0,L135/H135)</f>
        <v>0.67239820834558772</v>
      </c>
      <c r="O135" s="29"/>
      <c r="P135" s="33">
        <f>SUM(P132:P134)</f>
        <v>-3358661.3299999996</v>
      </c>
      <c r="Q135" s="14"/>
      <c r="R135" s="31">
        <f>IF(P$12=0,0,P135/P$12)</f>
        <v>-2.0899340908701012</v>
      </c>
      <c r="S135" s="14"/>
      <c r="T135" s="33">
        <f>SUM(T132:T134)</f>
        <v>-3150639.3882990247</v>
      </c>
      <c r="U135" s="14"/>
      <c r="V135" s="31">
        <f>IF(T$12=0,0,T135/T$12)</f>
        <v>-0.75555680509391931</v>
      </c>
      <c r="W135" s="16"/>
      <c r="X135" s="33">
        <f>+P135-T135</f>
        <v>-208021.94170097494</v>
      </c>
      <c r="Y135" s="16"/>
      <c r="Z135" s="31">
        <f>IF(T135=0,0,X135/T135)</f>
        <v>6.6025309806490545E-2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6">
        <v>44454.686101192128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5" t="s">
        <v>56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63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66728.66</v>
      </c>
      <c r="E12" s="4"/>
      <c r="F12" s="12"/>
      <c r="G12" s="4"/>
      <c r="H12" s="4">
        <f>SUM(OSRRefH13x_0)</f>
        <v>23135</v>
      </c>
      <c r="I12" s="4"/>
      <c r="J12" s="12"/>
      <c r="K12" s="4"/>
      <c r="L12" s="4">
        <f t="shared" ref="L12:L25" si="0">+D12-H12</f>
        <v>43593.66</v>
      </c>
      <c r="M12" s="4"/>
      <c r="N12" s="12">
        <f t="shared" ref="N12:N25" si="1">IF(H12=0,0,L12/H12)</f>
        <v>1.8843164037173117</v>
      </c>
      <c r="O12" s="10"/>
      <c r="P12" s="4">
        <f>SUM(OSRRefP13x_0)</f>
        <v>587980.64</v>
      </c>
      <c r="Q12" s="4"/>
      <c r="R12" s="12"/>
      <c r="S12" s="4"/>
      <c r="T12" s="4">
        <f>SUM(OSRRefT13x_0)</f>
        <v>846154</v>
      </c>
      <c r="U12" s="4"/>
      <c r="V12" s="12"/>
      <c r="W12" s="4"/>
      <c r="X12" s="4">
        <f t="shared" ref="X12:X25" si="2">+P12-T12</f>
        <v>-258173.36</v>
      </c>
      <c r="Y12" s="4"/>
      <c r="Z12" s="12">
        <f t="shared" ref="Z12:Z25" si="3">IF(T12=0,0,X12/T12)</f>
        <v>-0.30511391543383354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4563</v>
      </c>
      <c r="I13" s="2"/>
      <c r="J13" s="19"/>
      <c r="K13" s="2"/>
      <c r="L13" s="2">
        <f t="shared" si="0"/>
        <v>-4563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122591</v>
      </c>
      <c r="U13" s="2"/>
      <c r="V13" s="19"/>
      <c r="W13" s="2"/>
      <c r="X13" s="2">
        <f t="shared" si="2"/>
        <v>-122591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--9799.52</f>
        <v>9799.52</v>
      </c>
      <c r="E16" s="2"/>
      <c r="F16" s="19"/>
      <c r="G16" s="2"/>
      <c r="H16" s="2"/>
      <c r="I16" s="2"/>
      <c r="J16" s="19"/>
      <c r="K16" s="2"/>
      <c r="L16" s="2">
        <f t="shared" si="0"/>
        <v>9799.52</v>
      </c>
      <c r="M16" s="2"/>
      <c r="N16" s="19">
        <f t="shared" si="1"/>
        <v>0</v>
      </c>
      <c r="O16" s="11"/>
      <c r="P16" s="2">
        <f>--49082.44</f>
        <v>49082.44</v>
      </c>
      <c r="Q16" s="2"/>
      <c r="R16" s="19"/>
      <c r="S16" s="2"/>
      <c r="T16" s="2"/>
      <c r="U16" s="2"/>
      <c r="V16" s="19"/>
      <c r="W16" s="2"/>
      <c r="X16" s="2">
        <f t="shared" si="2"/>
        <v>49082.44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--61213.59</f>
        <v>61213.59</v>
      </c>
      <c r="E17" s="2"/>
      <c r="F17" s="19"/>
      <c r="G17" s="2"/>
      <c r="H17" s="2"/>
      <c r="I17" s="2"/>
      <c r="J17" s="19"/>
      <c r="K17" s="2"/>
      <c r="L17" s="2">
        <f t="shared" si="0"/>
        <v>61213.59</v>
      </c>
      <c r="M17" s="2"/>
      <c r="N17" s="19">
        <f t="shared" si="1"/>
        <v>0</v>
      </c>
      <c r="O17" s="11"/>
      <c r="P17" s="2">
        <f>--489866.6</f>
        <v>489866.6</v>
      </c>
      <c r="Q17" s="2"/>
      <c r="R17" s="19"/>
      <c r="S17" s="2"/>
      <c r="T17" s="2"/>
      <c r="U17" s="2"/>
      <c r="V17" s="19"/>
      <c r="W17" s="2"/>
      <c r="X17" s="2">
        <f t="shared" si="2"/>
        <v>489866.6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ref="D18:D22" si="5"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--974.91</f>
        <v>974.91</v>
      </c>
      <c r="Q18" s="2"/>
      <c r="R18" s="19"/>
      <c r="S18" s="2"/>
      <c r="T18" s="2"/>
      <c r="U18" s="2"/>
      <c r="V18" s="19"/>
      <c r="W18" s="2"/>
      <c r="X18" s="2">
        <f t="shared" si="2"/>
        <v>974.91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18572</v>
      </c>
      <c r="I19" s="2"/>
      <c r="J19" s="19"/>
      <c r="K19" s="2"/>
      <c r="L19" s="2">
        <f t="shared" si="0"/>
        <v>-18572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723563</v>
      </c>
      <c r="U19" s="2"/>
      <c r="V19" s="19"/>
      <c r="W19" s="2"/>
      <c r="X19" s="2">
        <f t="shared" si="2"/>
        <v>-723563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--2031.88</f>
        <v>2031.88</v>
      </c>
      <c r="Q20" s="2"/>
      <c r="R20" s="19"/>
      <c r="S20" s="2"/>
      <c r="T20" s="2"/>
      <c r="U20" s="2"/>
      <c r="V20" s="19"/>
      <c r="W20" s="2"/>
      <c r="X20" s="2">
        <f t="shared" si="2"/>
        <v>2031.88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6">0</f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6"/>
        <v>0</v>
      </c>
      <c r="Q22" s="2"/>
      <c r="R22" s="19"/>
      <c r="S22" s="2"/>
      <c r="T22" s="2"/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--7262.45</f>
        <v>7262.45</v>
      </c>
      <c r="E23" s="2"/>
      <c r="F23" s="19"/>
      <c r="G23" s="2"/>
      <c r="H23" s="2"/>
      <c r="I23" s="2"/>
      <c r="J23" s="19"/>
      <c r="K23" s="2"/>
      <c r="L23" s="2">
        <f t="shared" si="0"/>
        <v>7262.45</v>
      </c>
      <c r="M23" s="2"/>
      <c r="N23" s="19">
        <f t="shared" si="1"/>
        <v>0</v>
      </c>
      <c r="O23" s="11"/>
      <c r="P23" s="2">
        <f>--45145.72</f>
        <v>45145.72</v>
      </c>
      <c r="Q23" s="2"/>
      <c r="R23" s="19"/>
      <c r="S23" s="2"/>
      <c r="T23" s="2"/>
      <c r="U23" s="2"/>
      <c r="V23" s="19"/>
      <c r="W23" s="2"/>
      <c r="X23" s="2">
        <f t="shared" si="2"/>
        <v>45145.72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>-11580.95</f>
        <v>-11580.95</v>
      </c>
      <c r="E24" s="2"/>
      <c r="F24" s="19"/>
      <c r="G24" s="2"/>
      <c r="H24" s="2"/>
      <c r="I24" s="2"/>
      <c r="J24" s="19"/>
      <c r="K24" s="2"/>
      <c r="L24" s="2">
        <f t="shared" si="0"/>
        <v>-11580.95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/>
      <c r="U24" s="2"/>
      <c r="V24" s="19"/>
      <c r="W24" s="2"/>
      <c r="X24" s="2">
        <f t="shared" si="2"/>
        <v>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--34.05</f>
        <v>34.049999999999997</v>
      </c>
      <c r="E25" s="2"/>
      <c r="F25" s="19"/>
      <c r="G25" s="2"/>
      <c r="H25" s="2"/>
      <c r="I25" s="2"/>
      <c r="J25" s="19"/>
      <c r="K25" s="2"/>
      <c r="L25" s="2">
        <f t="shared" si="0"/>
        <v>34.049999999999997</v>
      </c>
      <c r="M25" s="2"/>
      <c r="N25" s="19">
        <f t="shared" si="1"/>
        <v>0</v>
      </c>
      <c r="O25" s="11"/>
      <c r="P25" s="2">
        <f>--434.5</f>
        <v>434.5</v>
      </c>
      <c r="Q25" s="2"/>
      <c r="R25" s="19"/>
      <c r="S25" s="2"/>
      <c r="T25" s="2"/>
      <c r="U25" s="2"/>
      <c r="V25" s="19"/>
      <c r="W25" s="2"/>
      <c r="X25" s="2">
        <f t="shared" si="2"/>
        <v>434.5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9" t="s">
        <v>257</v>
      </c>
      <c r="C27" s="10"/>
      <c r="D27" s="4">
        <f>SUM(OSRRefD16x_0)</f>
        <v>9371.2000000000007</v>
      </c>
      <c r="E27" s="4"/>
      <c r="F27" s="12">
        <f t="shared" ref="F27:F30" si="7">IF(D$12=0,0,D27/D$12)</f>
        <v>0.1404374072549936</v>
      </c>
      <c r="G27" s="4"/>
      <c r="H27" s="4">
        <f>SUM(OSRRefH16x_0)</f>
        <v>8679</v>
      </c>
      <c r="I27" s="4"/>
      <c r="J27" s="12">
        <f t="shared" ref="J27:J30" si="8">IF(H$12=0,0,H27/H$12)</f>
        <v>0.37514588286146533</v>
      </c>
      <c r="K27" s="4"/>
      <c r="L27" s="4">
        <f t="shared" ref="L27:L30" si="9">+D27-H27</f>
        <v>692.20000000000073</v>
      </c>
      <c r="M27" s="4"/>
      <c r="N27" s="12">
        <f t="shared" ref="N27:N30" si="10">IF(H27=0,0,L27/H27)</f>
        <v>7.9755732227215201E-2</v>
      </c>
      <c r="O27" s="10"/>
      <c r="P27" s="4">
        <f>SUM(OSRRefP16x_0)</f>
        <v>55525.479999999996</v>
      </c>
      <c r="Q27" s="4"/>
      <c r="R27" s="12">
        <f t="shared" ref="R27:R30" si="11">IF(P$12=0,0,P27/P$12)</f>
        <v>9.4434197697393571E-2</v>
      </c>
      <c r="S27" s="4"/>
      <c r="T27" s="4">
        <f>SUM(OSRRefT16x_0)</f>
        <v>359333</v>
      </c>
      <c r="U27" s="4"/>
      <c r="V27" s="12">
        <f t="shared" ref="V27:V30" si="12">IF(T$12=0,0,T27/T$12)</f>
        <v>0.42466619551523715</v>
      </c>
      <c r="W27" s="4"/>
      <c r="X27" s="4">
        <f t="shared" ref="X27:X30" si="13">+P27-T27</f>
        <v>-303807.52</v>
      </c>
      <c r="Y27" s="4"/>
      <c r="Z27" s="12">
        <f t="shared" ref="Z27:Z30" si="14">IF(T27=0,0,X27/T27)</f>
        <v>-0.84547625739912569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19">
        <f t="shared" si="7"/>
        <v>0</v>
      </c>
      <c r="G28" s="2"/>
      <c r="H28" s="2">
        <v>8679</v>
      </c>
      <c r="I28" s="2"/>
      <c r="J28" s="19">
        <f t="shared" si="8"/>
        <v>0.37514588286146533</v>
      </c>
      <c r="K28" s="2"/>
      <c r="L28" s="2">
        <f t="shared" si="9"/>
        <v>-8679</v>
      </c>
      <c r="M28" s="2"/>
      <c r="N28" s="19">
        <f t="shared" si="10"/>
        <v>-1</v>
      </c>
      <c r="O28" s="11"/>
      <c r="P28" s="2"/>
      <c r="Q28" s="2"/>
      <c r="R28" s="19">
        <f t="shared" si="11"/>
        <v>0</v>
      </c>
      <c r="S28" s="2"/>
      <c r="T28" s="2">
        <v>359333</v>
      </c>
      <c r="U28" s="2"/>
      <c r="V28" s="19">
        <f t="shared" si="12"/>
        <v>0.42466619551523715</v>
      </c>
      <c r="W28" s="2"/>
      <c r="X28" s="2">
        <f t="shared" si="13"/>
        <v>-359333</v>
      </c>
      <c r="Y28" s="2"/>
      <c r="Z28" s="19">
        <f t="shared" si="14"/>
        <v>-1</v>
      </c>
    </row>
    <row r="29" spans="1:26" s="24" customFormat="1" hidden="1" outlineLevel="1" x14ac:dyDescent="0.25">
      <c r="A29" s="44"/>
      <c r="B29" s="11" t="str">
        <f>CONCATENATE("          ", "5053", " - ", "PURCHASES @ COST-FOOD")</f>
        <v xml:space="preserve">          5053 - PURCHASES @ COST-FOOD</v>
      </c>
      <c r="C29" s="11"/>
      <c r="D29" s="2">
        <v>7018.2</v>
      </c>
      <c r="E29" s="2"/>
      <c r="F29" s="19">
        <f t="shared" si="7"/>
        <v>0.10517519758376685</v>
      </c>
      <c r="G29" s="2"/>
      <c r="H29" s="2"/>
      <c r="I29" s="2"/>
      <c r="J29" s="19">
        <f t="shared" si="8"/>
        <v>0</v>
      </c>
      <c r="K29" s="2"/>
      <c r="L29" s="2">
        <f t="shared" si="9"/>
        <v>7018.2</v>
      </c>
      <c r="M29" s="2"/>
      <c r="N29" s="19">
        <f t="shared" si="10"/>
        <v>0</v>
      </c>
      <c r="O29" s="11"/>
      <c r="P29" s="2">
        <v>16646.48</v>
      </c>
      <c r="Q29" s="2"/>
      <c r="R29" s="19">
        <f t="shared" si="11"/>
        <v>2.8311272289509394E-2</v>
      </c>
      <c r="S29" s="2"/>
      <c r="T29" s="2"/>
      <c r="U29" s="2"/>
      <c r="V29" s="19">
        <f t="shared" si="12"/>
        <v>0</v>
      </c>
      <c r="W29" s="2"/>
      <c r="X29" s="2">
        <f t="shared" si="13"/>
        <v>16646.48</v>
      </c>
      <c r="Y29" s="2"/>
      <c r="Z29" s="19">
        <f t="shared" si="14"/>
        <v>0</v>
      </c>
    </row>
    <row r="30" spans="1:26" s="24" customFormat="1" hidden="1" outlineLevel="1" x14ac:dyDescent="0.25">
      <c r="A30" s="44"/>
      <c r="B30" s="11" t="str">
        <f>CONCATENATE("          ", "5059", " - ", "PURCHASES @ COST-FOOD")</f>
        <v xml:space="preserve">          5059 - PURCHASES @ COST-FOOD</v>
      </c>
      <c r="C30" s="11"/>
      <c r="D30" s="2">
        <v>2353</v>
      </c>
      <c r="E30" s="2"/>
      <c r="F30" s="19">
        <f t="shared" si="7"/>
        <v>3.5262209671226723E-2</v>
      </c>
      <c r="G30" s="2"/>
      <c r="H30" s="2"/>
      <c r="I30" s="2"/>
      <c r="J30" s="19">
        <f t="shared" si="8"/>
        <v>0</v>
      </c>
      <c r="K30" s="2"/>
      <c r="L30" s="2">
        <f t="shared" si="9"/>
        <v>2353</v>
      </c>
      <c r="M30" s="2"/>
      <c r="N30" s="19">
        <f t="shared" si="10"/>
        <v>0</v>
      </c>
      <c r="O30" s="11"/>
      <c r="P30" s="2">
        <v>38879</v>
      </c>
      <c r="Q30" s="2"/>
      <c r="R30" s="19">
        <f t="shared" si="11"/>
        <v>6.612292540788417E-2</v>
      </c>
      <c r="S30" s="2"/>
      <c r="T30" s="2"/>
      <c r="U30" s="2"/>
      <c r="V30" s="19">
        <f t="shared" si="12"/>
        <v>0</v>
      </c>
      <c r="W30" s="2"/>
      <c r="X30" s="2">
        <f t="shared" si="13"/>
        <v>38879</v>
      </c>
      <c r="Y30" s="2"/>
      <c r="Z30" s="19">
        <f t="shared" si="14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108</v>
      </c>
      <c r="C32" s="28"/>
      <c r="D32" s="20">
        <f>D12-D27</f>
        <v>57357.460000000006</v>
      </c>
      <c r="E32" s="14"/>
      <c r="F32" s="22">
        <f>IF(D$12=0,0,D32/D$12)</f>
        <v>0.85956259274500646</v>
      </c>
      <c r="G32" s="14"/>
      <c r="H32" s="20">
        <f>H12-H27</f>
        <v>14456</v>
      </c>
      <c r="I32" s="14"/>
      <c r="J32" s="22">
        <f>IF(H$12=0,0,H32/H$12)</f>
        <v>0.62485411713853467</v>
      </c>
      <c r="K32" s="16"/>
      <c r="L32" s="20">
        <f>+D32-H32</f>
        <v>42901.460000000006</v>
      </c>
      <c r="M32" s="16"/>
      <c r="N32" s="22">
        <f>IF(H32=0,0,L32/H32)</f>
        <v>2.9677268954067522</v>
      </c>
      <c r="O32" s="29"/>
      <c r="P32" s="20">
        <f>P12-P27</f>
        <v>532455.16</v>
      </c>
      <c r="Q32" s="14"/>
      <c r="R32" s="22">
        <f>IF(P$12=0,0,P32/P$12)</f>
        <v>0.90556580230260642</v>
      </c>
      <c r="S32" s="14"/>
      <c r="T32" s="20">
        <f>T12-T27</f>
        <v>486821</v>
      </c>
      <c r="U32" s="14"/>
      <c r="V32" s="22">
        <f>IF(T$12=0,0,T32/T$12)</f>
        <v>0.57533380448476279</v>
      </c>
      <c r="W32" s="16"/>
      <c r="X32" s="20">
        <f>+P32-T32</f>
        <v>45634.160000000033</v>
      </c>
      <c r="Y32" s="16"/>
      <c r="Z32" s="22">
        <f>IF(T32=0,0,X32/T32)</f>
        <v>9.3739095067797054E-2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9" t="s">
        <v>295</v>
      </c>
      <c r="C34" s="10"/>
      <c r="D34" s="21">
        <f>SUM(OSRRefD22x_0)</f>
        <v>179847.78000000003</v>
      </c>
      <c r="E34" s="21"/>
      <c r="F34" s="30">
        <f t="shared" ref="F34:F44" si="15">IF(D$12=0,0,D34/D$12)</f>
        <v>2.6952104238268837</v>
      </c>
      <c r="G34" s="21"/>
      <c r="H34" s="21">
        <f>SUM(OSRRefH22x_0)</f>
        <v>137749.51462357945</v>
      </c>
      <c r="I34" s="21"/>
      <c r="J34" s="30">
        <f t="shared" ref="J34:J44" si="16">IF(H$12=0,0,H34/H$12)</f>
        <v>5.954160995183897</v>
      </c>
      <c r="K34" s="4"/>
      <c r="L34" s="21">
        <f t="shared" ref="L34:L44" si="17">+D34-H34</f>
        <v>42098.265376420575</v>
      </c>
      <c r="M34" s="4"/>
      <c r="N34" s="30">
        <f t="shared" ref="N34:N44" si="18">IF(H34=0,0,L34/H34)</f>
        <v>0.3056146186174245</v>
      </c>
      <c r="O34" s="10"/>
      <c r="P34" s="21">
        <f>SUM(OSRRefP22x_0)</f>
        <v>1661607.3500000003</v>
      </c>
      <c r="Q34" s="21"/>
      <c r="R34" s="30">
        <f t="shared" ref="R34:R44" si="19">IF(P$12=0,0,P34/P$12)</f>
        <v>2.8259558852141802</v>
      </c>
      <c r="S34" s="21"/>
      <c r="T34" s="21">
        <f>SUM(OSRRefT22x_0)</f>
        <v>1968705.326152785</v>
      </c>
      <c r="U34" s="21"/>
      <c r="V34" s="30">
        <f t="shared" ref="V34:V44" si="20">IF(T$12=0,0,T34/T$12)</f>
        <v>2.3266513260621413</v>
      </c>
      <c r="W34" s="4"/>
      <c r="X34" s="21">
        <f t="shared" ref="X34:X44" si="21">+P34-T34</f>
        <v>-307097.97615278466</v>
      </c>
      <c r="Y34" s="4"/>
      <c r="Z34" s="30">
        <f t="shared" ref="Z34:Z44" si="22">IF(T34=0,0,X34/T34)</f>
        <v>-0.15598981324082209</v>
      </c>
    </row>
    <row r="35" spans="1:26" s="27" customFormat="1" outlineLevel="1" collapsed="1" x14ac:dyDescent="0.25">
      <c r="A35" s="25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21021.899999999998</v>
      </c>
      <c r="E35" s="1"/>
      <c r="F35" s="5">
        <f t="shared" si="15"/>
        <v>0.31503554844350234</v>
      </c>
      <c r="G35" s="1"/>
      <c r="H35" s="1">
        <f>SUM(OSRRefH22_0x_0)</f>
        <v>20328.454397938418</v>
      </c>
      <c r="I35" s="1"/>
      <c r="J35" s="5">
        <f t="shared" si="16"/>
        <v>0.87868832495951665</v>
      </c>
      <c r="K35" s="1"/>
      <c r="L35" s="1">
        <f t="shared" si="17"/>
        <v>693.44560206157985</v>
      </c>
      <c r="M35" s="1"/>
      <c r="N35" s="5">
        <f t="shared" si="18"/>
        <v>3.4112067178698281E-2</v>
      </c>
      <c r="O35" s="13"/>
      <c r="P35" s="1">
        <f>SUM(OSRRefP22_0x_0)</f>
        <v>284168.28999999998</v>
      </c>
      <c r="Q35" s="1"/>
      <c r="R35" s="5">
        <f t="shared" si="19"/>
        <v>0.48329531734242132</v>
      </c>
      <c r="S35" s="1"/>
      <c r="T35" s="1">
        <f>SUM(OSRRefT22_0x_0)</f>
        <v>259562.27735278499</v>
      </c>
      <c r="U35" s="1"/>
      <c r="V35" s="5">
        <f t="shared" si="20"/>
        <v>0.30675536291595262</v>
      </c>
      <c r="W35" s="1"/>
      <c r="X35" s="1">
        <f t="shared" si="21"/>
        <v>24606.012647214986</v>
      </c>
      <c r="Y35" s="1"/>
      <c r="Z35" s="5">
        <f t="shared" si="22"/>
        <v>9.4798107406692367E-2</v>
      </c>
    </row>
    <row r="36" spans="1:26" s="24" customFormat="1" hidden="1" outlineLevel="2" x14ac:dyDescent="0.25">
      <c r="A36" s="26"/>
      <c r="B36" s="11" t="str">
        <f>CONCATENATE("          ", "6111", " - ", "F.I.C.A.")</f>
        <v xml:space="preserve">          6111 - F.I.C.A.</v>
      </c>
      <c r="C36" s="11"/>
      <c r="D36" s="6">
        <v>2607.87</v>
      </c>
      <c r="E36" s="2"/>
      <c r="F36" s="7">
        <f t="shared" si="15"/>
        <v>3.9081707919805371E-2</v>
      </c>
      <c r="G36" s="2"/>
      <c r="H36" s="6">
        <v>2551.6105131692302</v>
      </c>
      <c r="I36" s="2"/>
      <c r="J36" s="7">
        <f t="shared" si="16"/>
        <v>0.11029222014995592</v>
      </c>
      <c r="K36" s="2"/>
      <c r="L36" s="6">
        <f t="shared" si="17"/>
        <v>56.259486830769674</v>
      </c>
      <c r="M36" s="2"/>
      <c r="N36" s="7">
        <f t="shared" si="18"/>
        <v>2.204861852559642E-2</v>
      </c>
      <c r="O36" s="11"/>
      <c r="P36" s="6">
        <v>34499.06</v>
      </c>
      <c r="Q36" s="2"/>
      <c r="R36" s="7">
        <f t="shared" si="19"/>
        <v>5.8673802593228234E-2</v>
      </c>
      <c r="S36" s="2"/>
      <c r="T36" s="6">
        <v>32918.490221400003</v>
      </c>
      <c r="U36" s="2"/>
      <c r="V36" s="7">
        <f t="shared" si="20"/>
        <v>3.8903663188261245E-2</v>
      </c>
      <c r="W36" s="2"/>
      <c r="X36" s="6">
        <f t="shared" si="21"/>
        <v>1580.5697785999946</v>
      </c>
      <c r="Y36" s="2"/>
      <c r="Z36" s="7">
        <f t="shared" si="22"/>
        <v>4.8014649759741443E-2</v>
      </c>
    </row>
    <row r="37" spans="1:26" s="24" customFormat="1" hidden="1" outlineLevel="2" x14ac:dyDescent="0.25">
      <c r="A37" s="26"/>
      <c r="B37" s="11" t="str">
        <f>CONCATENATE("          ", "6112", " - ", "COMPENSATION INSURANCE")</f>
        <v xml:space="preserve">          6112 - COMPENSATION INSURANCE</v>
      </c>
      <c r="C37" s="11"/>
      <c r="D37" s="6">
        <v>748.61</v>
      </c>
      <c r="E37" s="2"/>
      <c r="F37" s="7">
        <f t="shared" si="15"/>
        <v>1.1218717714397381E-2</v>
      </c>
      <c r="G37" s="2"/>
      <c r="H37" s="6">
        <v>807.49158353846099</v>
      </c>
      <c r="I37" s="2"/>
      <c r="J37" s="7">
        <f t="shared" si="16"/>
        <v>3.4903461575036134E-2</v>
      </c>
      <c r="K37" s="2"/>
      <c r="L37" s="6">
        <f t="shared" si="17"/>
        <v>-58.881583538460973</v>
      </c>
      <c r="M37" s="2"/>
      <c r="N37" s="7">
        <f t="shared" si="18"/>
        <v>-7.2919129733141588E-2</v>
      </c>
      <c r="O37" s="11"/>
      <c r="P37" s="6">
        <v>9514.3700000000008</v>
      </c>
      <c r="Q37" s="2"/>
      <c r="R37" s="7">
        <f t="shared" si="19"/>
        <v>1.6181434137015123E-2</v>
      </c>
      <c r="S37" s="2"/>
      <c r="T37" s="6">
        <v>13559.274987999999</v>
      </c>
      <c r="U37" s="2"/>
      <c r="V37" s="7">
        <f t="shared" si="20"/>
        <v>1.6024594799528218E-2</v>
      </c>
      <c r="W37" s="2"/>
      <c r="X37" s="6">
        <f t="shared" si="21"/>
        <v>-4044.9049879999984</v>
      </c>
      <c r="Y37" s="2"/>
      <c r="Z37" s="7">
        <f t="shared" si="22"/>
        <v>-0.29831277790145505</v>
      </c>
    </row>
    <row r="38" spans="1:26" s="24" customFormat="1" hidden="1" outlineLevel="2" x14ac:dyDescent="0.25">
      <c r="A38" s="26"/>
      <c r="B38" s="11" t="str">
        <f>CONCATENATE("          ", "6113", " - ", "GROUP INSURANCE")</f>
        <v xml:space="preserve">          6113 - GROUP INSURANCE</v>
      </c>
      <c r="C38" s="11"/>
      <c r="D38" s="6">
        <v>8554.93</v>
      </c>
      <c r="E38" s="2"/>
      <c r="F38" s="7">
        <f t="shared" si="15"/>
        <v>0.12820473241932326</v>
      </c>
      <c r="G38" s="2"/>
      <c r="H38" s="6">
        <v>11221.1538461538</v>
      </c>
      <c r="I38" s="2"/>
      <c r="J38" s="7">
        <f t="shared" si="16"/>
        <v>0.48502934282056626</v>
      </c>
      <c r="K38" s="2"/>
      <c r="L38" s="6">
        <f t="shared" si="17"/>
        <v>-2666.2238461538</v>
      </c>
      <c r="M38" s="2"/>
      <c r="N38" s="7">
        <f t="shared" si="18"/>
        <v>-0.23760692373607226</v>
      </c>
      <c r="O38" s="11"/>
      <c r="P38" s="6">
        <v>130329.15</v>
      </c>
      <c r="Q38" s="2"/>
      <c r="R38" s="7">
        <f t="shared" si="19"/>
        <v>0.2216555123311543</v>
      </c>
      <c r="S38" s="2"/>
      <c r="T38" s="6">
        <v>136514.884615385</v>
      </c>
      <c r="U38" s="2"/>
      <c r="V38" s="7">
        <f t="shared" si="20"/>
        <v>0.16133574339350165</v>
      </c>
      <c r="W38" s="2"/>
      <c r="X38" s="6">
        <f t="shared" si="21"/>
        <v>-6185.7346153850085</v>
      </c>
      <c r="Y38" s="2"/>
      <c r="Z38" s="7">
        <f t="shared" si="22"/>
        <v>-4.5311796093243643E-2</v>
      </c>
    </row>
    <row r="39" spans="1:26" s="24" customFormat="1" hidden="1" outlineLevel="2" x14ac:dyDescent="0.25">
      <c r="A39" s="26"/>
      <c r="B39" s="11" t="str">
        <f>CONCATENATE("          ", "6114", " - ", "STATE UNEMPLOYMENT INSURANCE")</f>
        <v xml:space="preserve">          6114 - STATE UNEMPLOYMENT INSURANCE</v>
      </c>
      <c r="C39" s="11"/>
      <c r="D39" s="6">
        <v>87.06</v>
      </c>
      <c r="E39" s="2"/>
      <c r="F39" s="7">
        <f t="shared" si="15"/>
        <v>1.3046867717709301E-3</v>
      </c>
      <c r="G39" s="2"/>
      <c r="H39" s="6">
        <v>98.486052000000001</v>
      </c>
      <c r="I39" s="2"/>
      <c r="J39" s="7">
        <f t="shared" si="16"/>
        <v>4.2570154311649018E-3</v>
      </c>
      <c r="K39" s="2"/>
      <c r="L39" s="6">
        <f t="shared" si="17"/>
        <v>-11.426051999999999</v>
      </c>
      <c r="M39" s="2"/>
      <c r="N39" s="7">
        <f t="shared" si="18"/>
        <v>-0.11601695639094152</v>
      </c>
      <c r="O39" s="11"/>
      <c r="P39" s="6">
        <v>1249.67</v>
      </c>
      <c r="Q39" s="2"/>
      <c r="R39" s="7">
        <f t="shared" si="19"/>
        <v>2.1253590934558662E-3</v>
      </c>
      <c r="S39" s="2"/>
      <c r="T39" s="6">
        <v>1605.312488</v>
      </c>
      <c r="U39" s="2"/>
      <c r="V39" s="7">
        <f t="shared" si="20"/>
        <v>1.8971871408750654E-3</v>
      </c>
      <c r="W39" s="2"/>
      <c r="X39" s="6">
        <f t="shared" si="21"/>
        <v>-355.64248799999996</v>
      </c>
      <c r="Y39" s="2"/>
      <c r="Z39" s="7">
        <f t="shared" si="22"/>
        <v>-0.22154097140493928</v>
      </c>
    </row>
    <row r="40" spans="1:26" s="24" customFormat="1" hidden="1" outlineLevel="2" x14ac:dyDescent="0.25">
      <c r="A40" s="26"/>
      <c r="B40" s="11" t="str">
        <f>CONCATENATE("          ", "6115", " - ", "P.E.R.S.")</f>
        <v xml:space="preserve">          6115 - P.E.R.S.</v>
      </c>
      <c r="C40" s="11"/>
      <c r="D40" s="6">
        <v>4175.47</v>
      </c>
      <c r="E40" s="2"/>
      <c r="F40" s="7">
        <f t="shared" si="15"/>
        <v>6.2573862565200616E-2</v>
      </c>
      <c r="G40" s="2"/>
      <c r="H40" s="6">
        <v>2251.18852615385</v>
      </c>
      <c r="I40" s="2"/>
      <c r="J40" s="7">
        <f t="shared" si="16"/>
        <v>9.7306614486874859E-2</v>
      </c>
      <c r="K40" s="2"/>
      <c r="L40" s="6">
        <f t="shared" si="17"/>
        <v>1924.2814738461502</v>
      </c>
      <c r="M40" s="2"/>
      <c r="N40" s="7">
        <f t="shared" si="18"/>
        <v>0.85478468439681521</v>
      </c>
      <c r="O40" s="11"/>
      <c r="P40" s="6">
        <v>44915.6</v>
      </c>
      <c r="Q40" s="2"/>
      <c r="R40" s="7">
        <f t="shared" si="19"/>
        <v>7.6389589970173158E-2</v>
      </c>
      <c r="S40" s="2"/>
      <c r="T40" s="6">
        <v>29079.415639999999</v>
      </c>
      <c r="U40" s="2"/>
      <c r="V40" s="7">
        <f t="shared" si="20"/>
        <v>3.4366575871531656E-2</v>
      </c>
      <c r="W40" s="2"/>
      <c r="X40" s="6">
        <f t="shared" si="21"/>
        <v>15836.184359999999</v>
      </c>
      <c r="Y40" s="2"/>
      <c r="Z40" s="7">
        <f t="shared" si="22"/>
        <v>0.544583995636303</v>
      </c>
    </row>
    <row r="41" spans="1:26" s="24" customFormat="1" hidden="1" outlineLevel="2" x14ac:dyDescent="0.25">
      <c r="A41" s="26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15"/>
        <v>0</v>
      </c>
      <c r="G41" s="2"/>
      <c r="H41" s="6">
        <v>0</v>
      </c>
      <c r="I41" s="2"/>
      <c r="J41" s="7">
        <f t="shared" si="16"/>
        <v>0</v>
      </c>
      <c r="K41" s="2"/>
      <c r="L41" s="6">
        <f t="shared" si="17"/>
        <v>0</v>
      </c>
      <c r="M41" s="2"/>
      <c r="N41" s="7">
        <f t="shared" si="18"/>
        <v>0</v>
      </c>
      <c r="O41" s="11"/>
      <c r="P41" s="6"/>
      <c r="Q41" s="2"/>
      <c r="R41" s="7">
        <f t="shared" si="19"/>
        <v>0</v>
      </c>
      <c r="S41" s="2"/>
      <c r="T41" s="6">
        <v>0</v>
      </c>
      <c r="U41" s="2"/>
      <c r="V41" s="7">
        <f t="shared" si="20"/>
        <v>0</v>
      </c>
      <c r="W41" s="2"/>
      <c r="X41" s="6">
        <f t="shared" si="21"/>
        <v>0</v>
      </c>
      <c r="Y41" s="2"/>
      <c r="Z41" s="7">
        <f t="shared" si="22"/>
        <v>0</v>
      </c>
    </row>
    <row r="42" spans="1:26" s="24" customFormat="1" hidden="1" outlineLevel="2" x14ac:dyDescent="0.25">
      <c r="A42" s="26"/>
      <c r="B42" s="11" t="str">
        <f>CONCATENATE("          ", "6118", " - ", "VACATION")</f>
        <v xml:space="preserve">          6118 - VACATION</v>
      </c>
      <c r="C42" s="11"/>
      <c r="D42" s="6">
        <v>2596</v>
      </c>
      <c r="E42" s="2"/>
      <c r="F42" s="7">
        <f t="shared" si="15"/>
        <v>3.8903823334681079E-2</v>
      </c>
      <c r="G42" s="2"/>
      <c r="H42" s="6">
        <v>1915.77207692308</v>
      </c>
      <c r="I42" s="2"/>
      <c r="J42" s="7">
        <f t="shared" si="16"/>
        <v>8.280838888796542E-2</v>
      </c>
      <c r="K42" s="2"/>
      <c r="L42" s="6">
        <f t="shared" si="17"/>
        <v>680.22792307691998</v>
      </c>
      <c r="M42" s="2"/>
      <c r="N42" s="7">
        <f t="shared" si="18"/>
        <v>0.35506725005066025</v>
      </c>
      <c r="O42" s="11"/>
      <c r="P42" s="6">
        <v>35574.22</v>
      </c>
      <c r="Q42" s="2"/>
      <c r="R42" s="7">
        <f t="shared" si="19"/>
        <v>6.0502366200356532E-2</v>
      </c>
      <c r="S42" s="2"/>
      <c r="T42" s="6">
        <v>24684.607</v>
      </c>
      <c r="U42" s="2"/>
      <c r="V42" s="7">
        <f t="shared" si="20"/>
        <v>2.9172712059506899E-2</v>
      </c>
      <c r="W42" s="2"/>
      <c r="X42" s="6">
        <f t="shared" si="21"/>
        <v>10889.613000000001</v>
      </c>
      <c r="Y42" s="2"/>
      <c r="Z42" s="7">
        <f t="shared" si="22"/>
        <v>0.44114994417371123</v>
      </c>
    </row>
    <row r="43" spans="1:26" s="24" customFormat="1" hidden="1" outlineLevel="2" x14ac:dyDescent="0.25">
      <c r="A43" s="26"/>
      <c r="B43" s="11" t="str">
        <f>CONCATENATE("          ", "6119", " - ", "SICK LEAVE")</f>
        <v xml:space="preserve">          6119 - SICK LEAVE</v>
      </c>
      <c r="C43" s="11"/>
      <c r="D43" s="6">
        <v>1510.2</v>
      </c>
      <c r="E43" s="2"/>
      <c r="F43" s="7">
        <f t="shared" si="15"/>
        <v>2.263195454546817E-2</v>
      </c>
      <c r="G43" s="2"/>
      <c r="H43" s="6">
        <v>957.7518</v>
      </c>
      <c r="I43" s="2"/>
      <c r="J43" s="7">
        <f t="shared" si="16"/>
        <v>4.1398392046682518E-2</v>
      </c>
      <c r="K43" s="2"/>
      <c r="L43" s="6">
        <f t="shared" si="17"/>
        <v>552.44820000000004</v>
      </c>
      <c r="M43" s="2"/>
      <c r="N43" s="7">
        <f t="shared" si="18"/>
        <v>0.57681770997454673</v>
      </c>
      <c r="O43" s="11"/>
      <c r="P43" s="6">
        <v>20922.669999999998</v>
      </c>
      <c r="Q43" s="2"/>
      <c r="R43" s="7">
        <f t="shared" si="19"/>
        <v>3.5583943716242079E-2</v>
      </c>
      <c r="S43" s="2"/>
      <c r="T43" s="6">
        <v>14900.2924</v>
      </c>
      <c r="U43" s="2"/>
      <c r="V43" s="7">
        <f t="shared" si="20"/>
        <v>1.7609433271012134E-2</v>
      </c>
      <c r="W43" s="2"/>
      <c r="X43" s="6">
        <f t="shared" si="21"/>
        <v>6022.377599999998</v>
      </c>
      <c r="Y43" s="2"/>
      <c r="Z43" s="7">
        <f t="shared" si="22"/>
        <v>0.40417848444370114</v>
      </c>
    </row>
    <row r="44" spans="1:26" s="24" customFormat="1" hidden="1" outlineLevel="2" x14ac:dyDescent="0.25">
      <c r="A44" s="26"/>
      <c r="B44" s="11" t="str">
        <f>CONCATENATE("          ", "6156", " - ", "EMPLOYEE MEALS")</f>
        <v xml:space="preserve">          6156 - EMPLOYEE MEALS</v>
      </c>
      <c r="C44" s="11"/>
      <c r="D44" s="6">
        <v>741.76</v>
      </c>
      <c r="E44" s="2"/>
      <c r="F44" s="7">
        <f t="shared" si="15"/>
        <v>1.111606317285556E-2</v>
      </c>
      <c r="G44" s="2"/>
      <c r="H44" s="6">
        <v>525</v>
      </c>
      <c r="I44" s="2"/>
      <c r="J44" s="7">
        <f t="shared" si="16"/>
        <v>2.2692889561270801E-2</v>
      </c>
      <c r="K44" s="2"/>
      <c r="L44" s="6">
        <f t="shared" si="17"/>
        <v>216.76</v>
      </c>
      <c r="M44" s="2"/>
      <c r="N44" s="7">
        <f t="shared" si="18"/>
        <v>0.41287619047619045</v>
      </c>
      <c r="O44" s="11"/>
      <c r="P44" s="6">
        <v>7163.55</v>
      </c>
      <c r="Q44" s="2"/>
      <c r="R44" s="7">
        <f t="shared" si="19"/>
        <v>1.2183309300796027E-2</v>
      </c>
      <c r="S44" s="2"/>
      <c r="T44" s="6">
        <v>6300</v>
      </c>
      <c r="U44" s="2"/>
      <c r="V44" s="7">
        <f t="shared" si="20"/>
        <v>7.4454531917357829E-3</v>
      </c>
      <c r="W44" s="2"/>
      <c r="X44" s="6">
        <f t="shared" si="21"/>
        <v>863.55000000000018</v>
      </c>
      <c r="Y44" s="2"/>
      <c r="Z44" s="7">
        <f t="shared" si="22"/>
        <v>0.13707142857142859</v>
      </c>
    </row>
    <row r="45" spans="1:26" s="27" customFormat="1" outlineLevel="1" collapsed="1" x14ac:dyDescent="0.25">
      <c r="A45" s="25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29816.31</v>
      </c>
      <c r="E45" s="1"/>
      <c r="F45" s="5">
        <f t="shared" ref="F45:F55" si="23">IF(D$12=0,0,D45/D$12)</f>
        <v>0.44682914357938552</v>
      </c>
      <c r="G45" s="1"/>
      <c r="H45" s="1">
        <f>SUM(OSRRefH22_1x_0)</f>
        <v>35005.726892307699</v>
      </c>
      <c r="I45" s="1"/>
      <c r="J45" s="5">
        <f t="shared" ref="J45:J55" si="24">IF(H$12=0,0,H45/H$12)</f>
        <v>1.5131068464364685</v>
      </c>
      <c r="K45" s="1"/>
      <c r="L45" s="1">
        <f t="shared" ref="L45:L55" si="25">+D45-H45</f>
        <v>-5189.4168923076977</v>
      </c>
      <c r="M45" s="1"/>
      <c r="N45" s="5">
        <f t="shared" ref="N45:N55" si="26">IF(H45=0,0,L45/H45)</f>
        <v>-0.1482447974376456</v>
      </c>
      <c r="O45" s="13"/>
      <c r="P45" s="1">
        <f>SUM(OSRRefP22_1x_0)</f>
        <v>391291.29000000004</v>
      </c>
      <c r="Q45" s="1"/>
      <c r="R45" s="5">
        <f t="shared" ref="R45:R55" si="27">IF(P$12=0,0,P45/P$12)</f>
        <v>0.66548328870147844</v>
      </c>
      <c r="S45" s="1"/>
      <c r="T45" s="1">
        <f>SUM(OSRRefT22_1x_0)</f>
        <v>579405.04880000011</v>
      </c>
      <c r="U45" s="1"/>
      <c r="V45" s="5">
        <f t="shared" ref="V45:V55" si="28">IF(T$12=0,0,T45/T$12)</f>
        <v>0.68475129680885527</v>
      </c>
      <c r="W45" s="1"/>
      <c r="X45" s="1">
        <f t="shared" ref="X45:X55" si="29">+P45-T45</f>
        <v>-188113.75880000007</v>
      </c>
      <c r="Y45" s="1"/>
      <c r="Z45" s="5">
        <f t="shared" ref="Z45:Z55" si="30">IF(T45=0,0,X45/T45)</f>
        <v>-0.3246671032459944</v>
      </c>
    </row>
    <row r="46" spans="1:26" s="24" customFormat="1" hidden="1" outlineLevel="2" x14ac:dyDescent="0.25">
      <c r="A46" s="26"/>
      <c r="B46" s="11" t="str">
        <f>CONCATENATE("          ", "6001", " - ", "ADMINISTRATIVE SALARIES")</f>
        <v xml:space="preserve">          6001 - ADMINISTRATIVE SALARIES</v>
      </c>
      <c r="C46" s="11"/>
      <c r="D46" s="6">
        <v>11069.28</v>
      </c>
      <c r="E46" s="2"/>
      <c r="F46" s="7">
        <f t="shared" si="23"/>
        <v>0.16588494359095476</v>
      </c>
      <c r="G46" s="2"/>
      <c r="H46" s="6">
        <v>15250.007692307699</v>
      </c>
      <c r="I46" s="2"/>
      <c r="J46" s="7">
        <f t="shared" si="24"/>
        <v>0.65917474356203587</v>
      </c>
      <c r="K46" s="2"/>
      <c r="L46" s="6">
        <f t="shared" si="25"/>
        <v>-4180.7276923076988</v>
      </c>
      <c r="M46" s="2"/>
      <c r="N46" s="7">
        <f t="shared" si="26"/>
        <v>-0.27414593990116554</v>
      </c>
      <c r="O46" s="11"/>
      <c r="P46" s="6">
        <v>130427.41</v>
      </c>
      <c r="Q46" s="2"/>
      <c r="R46" s="7">
        <f t="shared" si="27"/>
        <v>0.22182262667695998</v>
      </c>
      <c r="S46" s="2"/>
      <c r="T46" s="6">
        <v>198250.1</v>
      </c>
      <c r="U46" s="2"/>
      <c r="V46" s="7">
        <f t="shared" si="28"/>
        <v>0.23429553012808543</v>
      </c>
      <c r="W46" s="2"/>
      <c r="X46" s="6">
        <f t="shared" si="29"/>
        <v>-67822.69</v>
      </c>
      <c r="Y46" s="2"/>
      <c r="Z46" s="7">
        <f t="shared" si="30"/>
        <v>-0.34210671268261655</v>
      </c>
    </row>
    <row r="47" spans="1:26" s="24" customFormat="1" hidden="1" outlineLevel="2" x14ac:dyDescent="0.25">
      <c r="A47" s="26"/>
      <c r="B47" s="11" t="str">
        <f>CONCATENATE("          ", "6002", " - ", "STAFF SALARIES")</f>
        <v xml:space="preserve">          6002 - STAFF SALARIES</v>
      </c>
      <c r="C47" s="11"/>
      <c r="D47" s="6">
        <v>12905.62</v>
      </c>
      <c r="E47" s="2"/>
      <c r="F47" s="7">
        <f t="shared" si="23"/>
        <v>0.19340445319897029</v>
      </c>
      <c r="G47" s="2"/>
      <c r="H47" s="6">
        <v>8587.2420000000002</v>
      </c>
      <c r="I47" s="2"/>
      <c r="J47" s="7">
        <f t="shared" si="24"/>
        <v>0.37117968446077371</v>
      </c>
      <c r="K47" s="2"/>
      <c r="L47" s="6">
        <f t="shared" si="25"/>
        <v>4318.3780000000006</v>
      </c>
      <c r="M47" s="2"/>
      <c r="N47" s="7">
        <f t="shared" si="26"/>
        <v>0.50288299782398127</v>
      </c>
      <c r="O47" s="11"/>
      <c r="P47" s="6">
        <v>216948.39</v>
      </c>
      <c r="Q47" s="2"/>
      <c r="R47" s="7">
        <f t="shared" si="27"/>
        <v>0.36897199540447456</v>
      </c>
      <c r="S47" s="2"/>
      <c r="T47" s="6">
        <v>109687.266</v>
      </c>
      <c r="U47" s="2"/>
      <c r="V47" s="7">
        <f t="shared" si="28"/>
        <v>0.12963038170356697</v>
      </c>
      <c r="W47" s="2"/>
      <c r="X47" s="6">
        <f t="shared" si="29"/>
        <v>107261.12400000001</v>
      </c>
      <c r="Y47" s="2"/>
      <c r="Z47" s="7">
        <f t="shared" si="30"/>
        <v>0.97788127930912239</v>
      </c>
    </row>
    <row r="48" spans="1:26" s="24" customFormat="1" hidden="1" outlineLevel="2" x14ac:dyDescent="0.25">
      <c r="A48" s="26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3"/>
        <v>0</v>
      </c>
      <c r="G48" s="2"/>
      <c r="H48" s="6">
        <v>0</v>
      </c>
      <c r="I48" s="2"/>
      <c r="J48" s="7">
        <f t="shared" si="24"/>
        <v>0</v>
      </c>
      <c r="K48" s="2"/>
      <c r="L48" s="6">
        <f t="shared" si="25"/>
        <v>0</v>
      </c>
      <c r="M48" s="2"/>
      <c r="N48" s="7">
        <f t="shared" si="26"/>
        <v>0</v>
      </c>
      <c r="O48" s="11"/>
      <c r="P48" s="6"/>
      <c r="Q48" s="2"/>
      <c r="R48" s="7">
        <f t="shared" si="27"/>
        <v>0</v>
      </c>
      <c r="S48" s="2"/>
      <c r="T48" s="6">
        <v>0</v>
      </c>
      <c r="U48" s="2"/>
      <c r="V48" s="7">
        <f t="shared" si="28"/>
        <v>0</v>
      </c>
      <c r="W48" s="2"/>
      <c r="X48" s="6">
        <f t="shared" si="29"/>
        <v>0</v>
      </c>
      <c r="Y48" s="2"/>
      <c r="Z48" s="7">
        <f t="shared" si="30"/>
        <v>0</v>
      </c>
    </row>
    <row r="49" spans="1:26" s="24" customFormat="1" hidden="1" outlineLevel="2" x14ac:dyDescent="0.25">
      <c r="A49" s="26"/>
      <c r="B49" s="11" t="str">
        <f>CONCATENATE("          ", "6004", " - ", "STAFF HOURLY")</f>
        <v xml:space="preserve">          6004 - STAFF HOURLY</v>
      </c>
      <c r="C49" s="11"/>
      <c r="D49" s="6">
        <v>4444.6899999999996</v>
      </c>
      <c r="E49" s="2"/>
      <c r="F49" s="7">
        <f t="shared" si="23"/>
        <v>6.6608410838761026E-2</v>
      </c>
      <c r="G49" s="2"/>
      <c r="H49" s="6">
        <v>3760.34</v>
      </c>
      <c r="I49" s="2"/>
      <c r="J49" s="7">
        <f t="shared" si="24"/>
        <v>0.16253901015776961</v>
      </c>
      <c r="K49" s="2"/>
      <c r="L49" s="6">
        <f t="shared" si="25"/>
        <v>684.34999999999945</v>
      </c>
      <c r="M49" s="2"/>
      <c r="N49" s="7">
        <f t="shared" si="26"/>
        <v>0.18199152204321933</v>
      </c>
      <c r="O49" s="11"/>
      <c r="P49" s="6">
        <v>35907.72</v>
      </c>
      <c r="Q49" s="2"/>
      <c r="R49" s="7">
        <f t="shared" si="27"/>
        <v>6.1069561746114637E-2</v>
      </c>
      <c r="S49" s="2"/>
      <c r="T49" s="6">
        <v>80529.66</v>
      </c>
      <c r="U49" s="2"/>
      <c r="V49" s="7">
        <f t="shared" si="28"/>
        <v>9.5171399059745629E-2</v>
      </c>
      <c r="W49" s="2"/>
      <c r="X49" s="6">
        <f t="shared" si="29"/>
        <v>-44621.94</v>
      </c>
      <c r="Y49" s="2"/>
      <c r="Z49" s="7">
        <f t="shared" si="30"/>
        <v>-0.55410565498475961</v>
      </c>
    </row>
    <row r="50" spans="1:26" s="24" customFormat="1" hidden="1" outlineLevel="2" x14ac:dyDescent="0.25">
      <c r="A50" s="26"/>
      <c r="B50" s="11" t="str">
        <f>CONCATENATE("          ", "6005", " - ", "TEMPORARY WAGES-HOURLY")</f>
        <v xml:space="preserve">          6005 - TEMPORARY WAGES-HOURLY</v>
      </c>
      <c r="C50" s="11"/>
      <c r="D50" s="6">
        <v>1311.04</v>
      </c>
      <c r="E50" s="2"/>
      <c r="F50" s="7">
        <f t="shared" si="23"/>
        <v>1.9647329947881462E-2</v>
      </c>
      <c r="G50" s="2"/>
      <c r="H50" s="6">
        <v>4425.62</v>
      </c>
      <c r="I50" s="2"/>
      <c r="J50" s="7">
        <f t="shared" si="24"/>
        <v>0.19129543980981198</v>
      </c>
      <c r="K50" s="2"/>
      <c r="L50" s="6">
        <f t="shared" si="25"/>
        <v>-3114.58</v>
      </c>
      <c r="M50" s="2"/>
      <c r="N50" s="7">
        <f t="shared" si="26"/>
        <v>-0.70376128090527434</v>
      </c>
      <c r="O50" s="11"/>
      <c r="P50" s="6">
        <v>7774.4</v>
      </c>
      <c r="Q50" s="2"/>
      <c r="R50" s="7">
        <f t="shared" si="27"/>
        <v>1.3222204050800039E-2</v>
      </c>
      <c r="S50" s="2"/>
      <c r="T50" s="6">
        <v>88350.618000000002</v>
      </c>
      <c r="U50" s="2"/>
      <c r="V50" s="7">
        <f t="shared" si="28"/>
        <v>0.10441434774284587</v>
      </c>
      <c r="W50" s="2"/>
      <c r="X50" s="6">
        <f t="shared" si="29"/>
        <v>-80576.218000000008</v>
      </c>
      <c r="Y50" s="2"/>
      <c r="Z50" s="7">
        <f t="shared" si="30"/>
        <v>-0.91200514296345958</v>
      </c>
    </row>
    <row r="51" spans="1:26" s="24" customFormat="1" hidden="1" outlineLevel="2" x14ac:dyDescent="0.25">
      <c r="A51" s="26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3"/>
        <v>0</v>
      </c>
      <c r="G51" s="2"/>
      <c r="H51" s="6">
        <v>0</v>
      </c>
      <c r="I51" s="2"/>
      <c r="J51" s="7">
        <f t="shared" si="24"/>
        <v>0</v>
      </c>
      <c r="K51" s="2"/>
      <c r="L51" s="6">
        <f t="shared" si="25"/>
        <v>0</v>
      </c>
      <c r="M51" s="2"/>
      <c r="N51" s="7">
        <f t="shared" si="26"/>
        <v>0</v>
      </c>
      <c r="O51" s="11"/>
      <c r="P51" s="6"/>
      <c r="Q51" s="2"/>
      <c r="R51" s="7">
        <f t="shared" si="27"/>
        <v>0</v>
      </c>
      <c r="S51" s="2"/>
      <c r="T51" s="6">
        <v>0</v>
      </c>
      <c r="U51" s="2"/>
      <c r="V51" s="7">
        <f t="shared" si="28"/>
        <v>0</v>
      </c>
      <c r="W51" s="2"/>
      <c r="X51" s="6">
        <f t="shared" si="29"/>
        <v>0</v>
      </c>
      <c r="Y51" s="2"/>
      <c r="Z51" s="7">
        <f t="shared" si="30"/>
        <v>0</v>
      </c>
    </row>
    <row r="52" spans="1:26" s="24" customFormat="1" hidden="1" outlineLevel="2" x14ac:dyDescent="0.25">
      <c r="A52" s="26"/>
      <c r="B52" s="11" t="str">
        <f>CONCATENATE("          ", "6007", " - ", "STUDENT HOURLY")</f>
        <v xml:space="preserve">          6007 - STUDENT HOURLY</v>
      </c>
      <c r="C52" s="11"/>
      <c r="D52" s="6">
        <v>85.68</v>
      </c>
      <c r="E52" s="2"/>
      <c r="F52" s="7">
        <f t="shared" si="23"/>
        <v>1.2840060028179797E-3</v>
      </c>
      <c r="G52" s="2"/>
      <c r="H52" s="6">
        <v>2982.5171999999998</v>
      </c>
      <c r="I52" s="2"/>
      <c r="J52" s="7">
        <f t="shared" si="24"/>
        <v>0.12891796844607736</v>
      </c>
      <c r="K52" s="2"/>
      <c r="L52" s="6">
        <f t="shared" si="25"/>
        <v>-2896.8371999999999</v>
      </c>
      <c r="M52" s="2"/>
      <c r="N52" s="7">
        <f t="shared" si="26"/>
        <v>-0.97127258813461337</v>
      </c>
      <c r="O52" s="11"/>
      <c r="P52" s="6">
        <v>233.37</v>
      </c>
      <c r="Q52" s="2"/>
      <c r="R52" s="7">
        <f t="shared" si="27"/>
        <v>3.9690082312914248E-4</v>
      </c>
      <c r="S52" s="2"/>
      <c r="T52" s="6">
        <v>7193.2484000000004</v>
      </c>
      <c r="U52" s="2"/>
      <c r="V52" s="7">
        <f t="shared" si="28"/>
        <v>8.501110199798146E-3</v>
      </c>
      <c r="W52" s="2"/>
      <c r="X52" s="6">
        <f t="shared" si="29"/>
        <v>-6959.8784000000005</v>
      </c>
      <c r="Y52" s="2"/>
      <c r="Z52" s="7">
        <f t="shared" si="30"/>
        <v>-0.96755707755066545</v>
      </c>
    </row>
    <row r="53" spans="1:26" s="24" customFormat="1" hidden="1" outlineLevel="2" x14ac:dyDescent="0.25">
      <c r="A53" s="26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3"/>
        <v>0</v>
      </c>
      <c r="G53" s="2"/>
      <c r="H53" s="6">
        <v>0</v>
      </c>
      <c r="I53" s="2"/>
      <c r="J53" s="7">
        <f t="shared" si="24"/>
        <v>0</v>
      </c>
      <c r="K53" s="2"/>
      <c r="L53" s="6">
        <f t="shared" si="25"/>
        <v>0</v>
      </c>
      <c r="M53" s="2"/>
      <c r="N53" s="7">
        <f t="shared" si="26"/>
        <v>0</v>
      </c>
      <c r="O53" s="11"/>
      <c r="P53" s="6"/>
      <c r="Q53" s="2"/>
      <c r="R53" s="7">
        <f t="shared" si="27"/>
        <v>0</v>
      </c>
      <c r="S53" s="2"/>
      <c r="T53" s="6">
        <v>95394.156400000007</v>
      </c>
      <c r="U53" s="2"/>
      <c r="V53" s="7">
        <f t="shared" si="28"/>
        <v>0.11273852797481311</v>
      </c>
      <c r="W53" s="2"/>
      <c r="X53" s="6">
        <f t="shared" si="29"/>
        <v>-95394.156400000007</v>
      </c>
      <c r="Y53" s="2"/>
      <c r="Z53" s="7">
        <f t="shared" si="30"/>
        <v>-1</v>
      </c>
    </row>
    <row r="54" spans="1:26" s="24" customFormat="1" hidden="1" outlineLevel="2" x14ac:dyDescent="0.25">
      <c r="A54" s="26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3"/>
        <v>0</v>
      </c>
      <c r="G54" s="2"/>
      <c r="H54" s="6">
        <v>0</v>
      </c>
      <c r="I54" s="2"/>
      <c r="J54" s="7">
        <f t="shared" si="24"/>
        <v>0</v>
      </c>
      <c r="K54" s="2"/>
      <c r="L54" s="6">
        <f t="shared" si="25"/>
        <v>0</v>
      </c>
      <c r="M54" s="2"/>
      <c r="N54" s="7">
        <f t="shared" si="26"/>
        <v>0</v>
      </c>
      <c r="O54" s="11"/>
      <c r="P54" s="6"/>
      <c r="Q54" s="2"/>
      <c r="R54" s="7">
        <f t="shared" si="27"/>
        <v>0</v>
      </c>
      <c r="S54" s="2"/>
      <c r="T54" s="6">
        <v>0</v>
      </c>
      <c r="U54" s="2"/>
      <c r="V54" s="7">
        <f t="shared" si="28"/>
        <v>0</v>
      </c>
      <c r="W54" s="2"/>
      <c r="X54" s="6">
        <f t="shared" si="29"/>
        <v>0</v>
      </c>
      <c r="Y54" s="2"/>
      <c r="Z54" s="7">
        <f t="shared" si="30"/>
        <v>0</v>
      </c>
    </row>
    <row r="55" spans="1:26" s="24" customFormat="1" hidden="1" outlineLevel="2" x14ac:dyDescent="0.25">
      <c r="A55" s="26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3"/>
        <v>0</v>
      </c>
      <c r="G55" s="2"/>
      <c r="H55" s="6">
        <v>0</v>
      </c>
      <c r="I55" s="2"/>
      <c r="J55" s="7">
        <f t="shared" si="24"/>
        <v>0</v>
      </c>
      <c r="K55" s="2"/>
      <c r="L55" s="6">
        <f t="shared" si="25"/>
        <v>0</v>
      </c>
      <c r="M55" s="2"/>
      <c r="N55" s="7">
        <f t="shared" si="26"/>
        <v>0</v>
      </c>
      <c r="O55" s="11"/>
      <c r="P55" s="6"/>
      <c r="Q55" s="2"/>
      <c r="R55" s="7">
        <f t="shared" si="27"/>
        <v>0</v>
      </c>
      <c r="S55" s="2"/>
      <c r="T55" s="6">
        <v>0</v>
      </c>
      <c r="U55" s="2"/>
      <c r="V55" s="7">
        <f t="shared" si="28"/>
        <v>0</v>
      </c>
      <c r="W55" s="2"/>
      <c r="X55" s="6">
        <f t="shared" si="29"/>
        <v>0</v>
      </c>
      <c r="Y55" s="2"/>
      <c r="Z55" s="7">
        <f t="shared" si="30"/>
        <v>0</v>
      </c>
    </row>
    <row r="56" spans="1:26" s="27" customFormat="1" outlineLevel="1" collapsed="1" x14ac:dyDescent="0.25">
      <c r="A56" s="25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38.29</v>
      </c>
      <c r="E56" s="1"/>
      <c r="F56" s="5">
        <f t="shared" ref="F56:F65" si="31">IF(D$12=0,0,D56/D$12)</f>
        <v>5.7381640812208723E-4</v>
      </c>
      <c r="G56" s="1"/>
      <c r="H56" s="1">
        <f>SUM(OSRRefH22_2x_0)</f>
        <v>400</v>
      </c>
      <c r="I56" s="1"/>
      <c r="J56" s="5">
        <f t="shared" ref="J56:J65" si="32">IF(H$12=0,0,H56/H$12)</f>
        <v>1.7289820618111088E-2</v>
      </c>
      <c r="K56" s="1"/>
      <c r="L56" s="1">
        <f t="shared" ref="L56:L65" si="33">+D56-H56</f>
        <v>-361.71</v>
      </c>
      <c r="M56" s="1"/>
      <c r="N56" s="5">
        <f t="shared" ref="N56:N65" si="34">IF(H56=0,0,L56/H56)</f>
        <v>-0.90427499999999994</v>
      </c>
      <c r="O56" s="13"/>
      <c r="P56" s="1">
        <f>SUM(OSRRefP22_2x_0)</f>
        <v>485.74</v>
      </c>
      <c r="Q56" s="1"/>
      <c r="R56" s="5">
        <f t="shared" ref="R56:R65" si="35">IF(P$12=0,0,P56/P$12)</f>
        <v>8.2611563537194016E-4</v>
      </c>
      <c r="S56" s="1"/>
      <c r="T56" s="1">
        <f>SUM(OSRRefT22_2x_0)</f>
        <v>10128</v>
      </c>
      <c r="U56" s="1"/>
      <c r="V56" s="5">
        <f t="shared" ref="V56:V65" si="36">IF(T$12=0,0,T56/T$12)</f>
        <v>1.1969452369190479E-2</v>
      </c>
      <c r="W56" s="1"/>
      <c r="X56" s="1">
        <f t="shared" ref="X56:X65" si="37">+P56-T56</f>
        <v>-9642.26</v>
      </c>
      <c r="Y56" s="1"/>
      <c r="Z56" s="5">
        <f t="shared" ref="Z56:Z65" si="38">IF(T56=0,0,X56/T56)</f>
        <v>-0.9520398894154819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6">
        <v>38.29</v>
      </c>
      <c r="E57" s="2"/>
      <c r="F57" s="7">
        <f t="shared" si="31"/>
        <v>5.7381640812208723E-4</v>
      </c>
      <c r="G57" s="2"/>
      <c r="H57" s="6">
        <v>400</v>
      </c>
      <c r="I57" s="2"/>
      <c r="J57" s="7">
        <f t="shared" si="32"/>
        <v>1.7289820618111088E-2</v>
      </c>
      <c r="K57" s="2"/>
      <c r="L57" s="6">
        <f t="shared" si="33"/>
        <v>-361.71</v>
      </c>
      <c r="M57" s="2"/>
      <c r="N57" s="7">
        <f t="shared" si="34"/>
        <v>-0.90427499999999994</v>
      </c>
      <c r="O57" s="11"/>
      <c r="P57" s="6">
        <v>485.74</v>
      </c>
      <c r="Q57" s="2"/>
      <c r="R57" s="7">
        <f t="shared" si="35"/>
        <v>8.2611563537194016E-4</v>
      </c>
      <c r="S57" s="2"/>
      <c r="T57" s="6">
        <v>10128</v>
      </c>
      <c r="U57" s="2"/>
      <c r="V57" s="7">
        <f t="shared" si="36"/>
        <v>1.1969452369190479E-2</v>
      </c>
      <c r="W57" s="2"/>
      <c r="X57" s="6">
        <f t="shared" si="37"/>
        <v>-9642.26</v>
      </c>
      <c r="Y57" s="2"/>
      <c r="Z57" s="7">
        <f t="shared" si="38"/>
        <v>-0.9520398894154819</v>
      </c>
    </row>
    <row r="58" spans="1:26" s="27" customFormat="1" outlineLevel="1" collapsed="1" x14ac:dyDescent="0.25">
      <c r="A58" s="25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-2.67</v>
      </c>
      <c r="E58" s="1"/>
      <c r="F58" s="5">
        <f t="shared" si="31"/>
        <v>-4.0012792104621907E-5</v>
      </c>
      <c r="G58" s="1"/>
      <c r="H58" s="1">
        <f>SUM(OSRRefH22_3x_0)</f>
        <v>10</v>
      </c>
      <c r="I58" s="1"/>
      <c r="J58" s="5">
        <f t="shared" si="32"/>
        <v>4.3224551545277719E-4</v>
      </c>
      <c r="K58" s="1"/>
      <c r="L58" s="1">
        <f t="shared" si="33"/>
        <v>-12.67</v>
      </c>
      <c r="M58" s="1"/>
      <c r="N58" s="5">
        <f t="shared" si="34"/>
        <v>-1.2669999999999999</v>
      </c>
      <c r="O58" s="13"/>
      <c r="P58" s="1">
        <f>SUM(OSRRefP22_3x_0)</f>
        <v>16.84</v>
      </c>
      <c r="Q58" s="1"/>
      <c r="R58" s="5">
        <f t="shared" si="35"/>
        <v>2.8640398772313317E-5</v>
      </c>
      <c r="S58" s="1"/>
      <c r="T58" s="1">
        <f>SUM(OSRRefT22_3x_0)</f>
        <v>179</v>
      </c>
      <c r="U58" s="1"/>
      <c r="V58" s="5">
        <f t="shared" si="36"/>
        <v>2.1154541608265162E-4</v>
      </c>
      <c r="W58" s="1"/>
      <c r="X58" s="1">
        <f t="shared" si="37"/>
        <v>-162.16</v>
      </c>
      <c r="Y58" s="1"/>
      <c r="Z58" s="5">
        <f t="shared" si="38"/>
        <v>-0.90592178770949716</v>
      </c>
    </row>
    <row r="59" spans="1:26" s="24" customFormat="1" hidden="1" outlineLevel="2" x14ac:dyDescent="0.25">
      <c r="A59" s="26"/>
      <c r="B59" s="11" t="str">
        <f>CONCATENATE("          ", "6272", " - ", "CASH (OVER/SHORT)")</f>
        <v xml:space="preserve">          6272 - CASH (OVER/SHORT)</v>
      </c>
      <c r="C59" s="11"/>
      <c r="D59" s="6">
        <v>-2.67</v>
      </c>
      <c r="E59" s="2"/>
      <c r="F59" s="7">
        <f t="shared" si="31"/>
        <v>-4.0012792104621907E-5</v>
      </c>
      <c r="G59" s="2"/>
      <c r="H59" s="6">
        <v>10</v>
      </c>
      <c r="I59" s="2"/>
      <c r="J59" s="7">
        <f t="shared" si="32"/>
        <v>4.3224551545277719E-4</v>
      </c>
      <c r="K59" s="2"/>
      <c r="L59" s="6">
        <f t="shared" si="33"/>
        <v>-12.67</v>
      </c>
      <c r="M59" s="2"/>
      <c r="N59" s="7">
        <f t="shared" si="34"/>
        <v>-1.2669999999999999</v>
      </c>
      <c r="O59" s="11"/>
      <c r="P59" s="6">
        <v>16.84</v>
      </c>
      <c r="Q59" s="2"/>
      <c r="R59" s="7">
        <f t="shared" si="35"/>
        <v>2.8640398772313317E-5</v>
      </c>
      <c r="S59" s="2"/>
      <c r="T59" s="6">
        <v>179</v>
      </c>
      <c r="U59" s="2"/>
      <c r="V59" s="7">
        <f t="shared" si="36"/>
        <v>2.1154541608265162E-4</v>
      </c>
      <c r="W59" s="2"/>
      <c r="X59" s="6">
        <f t="shared" si="37"/>
        <v>-162.16</v>
      </c>
      <c r="Y59" s="2"/>
      <c r="Z59" s="7">
        <f t="shared" si="38"/>
        <v>-0.90592178770949716</v>
      </c>
    </row>
    <row r="60" spans="1:26" s="27" customFormat="1" outlineLevel="1" collapsed="1" x14ac:dyDescent="0.25">
      <c r="A60" s="25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929.58</v>
      </c>
      <c r="E60" s="1"/>
      <c r="F60" s="5">
        <f t="shared" si="31"/>
        <v>1.3930745799481063E-2</v>
      </c>
      <c r="G60" s="1"/>
      <c r="H60" s="1">
        <f>SUM(OSRRefH22_4x_0)</f>
        <v>2318</v>
      </c>
      <c r="I60" s="1"/>
      <c r="J60" s="5">
        <f t="shared" si="32"/>
        <v>0.10019451048195376</v>
      </c>
      <c r="K60" s="1"/>
      <c r="L60" s="1">
        <f t="shared" si="33"/>
        <v>-1388.42</v>
      </c>
      <c r="M60" s="1"/>
      <c r="N60" s="5">
        <f t="shared" si="34"/>
        <v>-0.59897325280414149</v>
      </c>
      <c r="O60" s="13"/>
      <c r="P60" s="1">
        <f>SUM(OSRRefP22_4x_0)</f>
        <v>10415.42</v>
      </c>
      <c r="Q60" s="1"/>
      <c r="R60" s="5">
        <f t="shared" si="35"/>
        <v>1.7713882552323493E-2</v>
      </c>
      <c r="S60" s="1"/>
      <c r="T60" s="1">
        <f>SUM(OSRRefT22_4x_0)</f>
        <v>76386</v>
      </c>
      <c r="U60" s="1"/>
      <c r="V60" s="5">
        <f t="shared" si="36"/>
        <v>9.0274347222845955E-2</v>
      </c>
      <c r="W60" s="1"/>
      <c r="X60" s="1">
        <f t="shared" si="37"/>
        <v>-65970.58</v>
      </c>
      <c r="Y60" s="1"/>
      <c r="Z60" s="5">
        <f t="shared" si="38"/>
        <v>-0.8636475270337497</v>
      </c>
    </row>
    <row r="61" spans="1:26" s="24" customFormat="1" hidden="1" outlineLevel="2" x14ac:dyDescent="0.25">
      <c r="A61" s="26"/>
      <c r="B61" s="11" t="str">
        <f>CONCATENATE("          ", "6381", " - ", "BANK/CREDIT CARD FEES")</f>
        <v xml:space="preserve">          6381 - BANK/CREDIT CARD FEES</v>
      </c>
      <c r="C61" s="11"/>
      <c r="D61" s="6">
        <v>929.58</v>
      </c>
      <c r="E61" s="2"/>
      <c r="F61" s="7">
        <f t="shared" si="31"/>
        <v>1.3930745799481063E-2</v>
      </c>
      <c r="G61" s="2"/>
      <c r="H61" s="6">
        <v>2318</v>
      </c>
      <c r="I61" s="2"/>
      <c r="J61" s="7">
        <f t="shared" si="32"/>
        <v>0.10019451048195376</v>
      </c>
      <c r="K61" s="2"/>
      <c r="L61" s="6">
        <f t="shared" si="33"/>
        <v>-1388.42</v>
      </c>
      <c r="M61" s="2"/>
      <c r="N61" s="7">
        <f t="shared" si="34"/>
        <v>-0.59897325280414149</v>
      </c>
      <c r="O61" s="11"/>
      <c r="P61" s="6">
        <v>10415.42</v>
      </c>
      <c r="Q61" s="2"/>
      <c r="R61" s="7">
        <f t="shared" si="35"/>
        <v>1.7713882552323493E-2</v>
      </c>
      <c r="S61" s="2"/>
      <c r="T61" s="6">
        <v>76386</v>
      </c>
      <c r="U61" s="2"/>
      <c r="V61" s="7">
        <f t="shared" si="36"/>
        <v>9.0274347222845955E-2</v>
      </c>
      <c r="W61" s="2"/>
      <c r="X61" s="6">
        <f t="shared" si="37"/>
        <v>-65970.58</v>
      </c>
      <c r="Y61" s="2"/>
      <c r="Z61" s="7">
        <f t="shared" si="38"/>
        <v>-0.8636475270337497</v>
      </c>
    </row>
    <row r="62" spans="1:26" s="27" customFormat="1" outlineLevel="1" collapsed="1" x14ac:dyDescent="0.25">
      <c r="A62" s="25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38304.71</v>
      </c>
      <c r="E62" s="1"/>
      <c r="F62" s="5">
        <f t="shared" si="31"/>
        <v>0.57403685313027408</v>
      </c>
      <c r="G62" s="1"/>
      <c r="H62" s="1">
        <f>SUM(OSRRefH22_5x_0)</f>
        <v>44140</v>
      </c>
      <c r="I62" s="1"/>
      <c r="J62" s="5">
        <f t="shared" si="32"/>
        <v>1.9079317052085585</v>
      </c>
      <c r="K62" s="1"/>
      <c r="L62" s="1">
        <f t="shared" si="33"/>
        <v>-5835.2900000000009</v>
      </c>
      <c r="M62" s="1"/>
      <c r="N62" s="5">
        <f t="shared" si="34"/>
        <v>-0.13219959220661534</v>
      </c>
      <c r="O62" s="13"/>
      <c r="P62" s="1">
        <f>SUM(OSRRefP22_5x_0)</f>
        <v>545910.83000000007</v>
      </c>
      <c r="Q62" s="1"/>
      <c r="R62" s="5">
        <f t="shared" si="35"/>
        <v>0.92845034829718209</v>
      </c>
      <c r="S62" s="1"/>
      <c r="T62" s="1">
        <f>SUM(OSRRefT22_5x_0)</f>
        <v>556272</v>
      </c>
      <c r="U62" s="1"/>
      <c r="V62" s="5">
        <f t="shared" si="36"/>
        <v>0.65741224410686472</v>
      </c>
      <c r="W62" s="1"/>
      <c r="X62" s="1">
        <f t="shared" si="37"/>
        <v>-10361.169999999925</v>
      </c>
      <c r="Y62" s="1"/>
      <c r="Z62" s="5">
        <f t="shared" si="38"/>
        <v>-1.8626085799752504E-2</v>
      </c>
    </row>
    <row r="63" spans="1:26" s="24" customFormat="1" hidden="1" outlineLevel="2" x14ac:dyDescent="0.25">
      <c r="A63" s="26"/>
      <c r="B63" s="11" t="str">
        <f>CONCATENATE("          ", "6321", " - ", "BUILDING DEPRECIATION")</f>
        <v xml:space="preserve">          6321 - BUILDING DEPRECIATION</v>
      </c>
      <c r="C63" s="11"/>
      <c r="D63" s="6">
        <v>28664.01</v>
      </c>
      <c r="E63" s="2"/>
      <c r="F63" s="7">
        <f t="shared" si="31"/>
        <v>0.4295607015036717</v>
      </c>
      <c r="G63" s="2"/>
      <c r="H63" s="6"/>
      <c r="I63" s="2"/>
      <c r="J63" s="7">
        <f t="shared" si="32"/>
        <v>0</v>
      </c>
      <c r="K63" s="2"/>
      <c r="L63" s="6">
        <f t="shared" si="33"/>
        <v>28664.01</v>
      </c>
      <c r="M63" s="2"/>
      <c r="N63" s="7">
        <f t="shared" si="34"/>
        <v>0</v>
      </c>
      <c r="O63" s="11"/>
      <c r="P63" s="6">
        <v>344752.2</v>
      </c>
      <c r="Q63" s="2"/>
      <c r="R63" s="7">
        <f t="shared" si="35"/>
        <v>0.58633257040571951</v>
      </c>
      <c r="S63" s="2"/>
      <c r="T63" s="6"/>
      <c r="U63" s="2"/>
      <c r="V63" s="7">
        <f t="shared" si="36"/>
        <v>0</v>
      </c>
      <c r="W63" s="2"/>
      <c r="X63" s="6">
        <f t="shared" si="37"/>
        <v>344752.2</v>
      </c>
      <c r="Y63" s="2"/>
      <c r="Z63" s="7">
        <f t="shared" si="38"/>
        <v>0</v>
      </c>
    </row>
    <row r="64" spans="1:26" s="24" customFormat="1" hidden="1" outlineLevel="2" x14ac:dyDescent="0.25">
      <c r="A64" s="26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9640.7000000000007</v>
      </c>
      <c r="E64" s="2"/>
      <c r="F64" s="7">
        <f t="shared" si="31"/>
        <v>0.14447615162660243</v>
      </c>
      <c r="G64" s="2"/>
      <c r="H64" s="6">
        <v>43590</v>
      </c>
      <c r="I64" s="2"/>
      <c r="J64" s="7">
        <f t="shared" si="32"/>
        <v>1.8841582018586558</v>
      </c>
      <c r="K64" s="2"/>
      <c r="L64" s="6">
        <f t="shared" si="33"/>
        <v>-33949.300000000003</v>
      </c>
      <c r="M64" s="2"/>
      <c r="N64" s="7">
        <f t="shared" si="34"/>
        <v>-0.77883230098646483</v>
      </c>
      <c r="O64" s="11"/>
      <c r="P64" s="6">
        <v>201158.63</v>
      </c>
      <c r="Q64" s="2"/>
      <c r="R64" s="7">
        <f t="shared" si="35"/>
        <v>0.34211777789146253</v>
      </c>
      <c r="S64" s="2"/>
      <c r="T64" s="6">
        <v>549672</v>
      </c>
      <c r="U64" s="2"/>
      <c r="V64" s="7">
        <f t="shared" si="36"/>
        <v>0.64961224552504626</v>
      </c>
      <c r="W64" s="2"/>
      <c r="X64" s="6">
        <f t="shared" si="37"/>
        <v>-348513.37</v>
      </c>
      <c r="Y64" s="2"/>
      <c r="Z64" s="7">
        <f t="shared" si="38"/>
        <v>-0.63403879040591482</v>
      </c>
    </row>
    <row r="65" spans="1:26" s="24" customFormat="1" hidden="1" outlineLevel="2" x14ac:dyDescent="0.25">
      <c r="A65" s="26"/>
      <c r="B65" s="11" t="str">
        <f>CONCATENATE("          ", "6326", " - ", "VEHICLES DEPRECIATION EXPENSE")</f>
        <v xml:space="preserve">          6326 - VEHICLES DEPRECIATION EXPENSE</v>
      </c>
      <c r="C65" s="11"/>
      <c r="D65" s="6"/>
      <c r="E65" s="2"/>
      <c r="F65" s="7">
        <f t="shared" si="31"/>
        <v>0</v>
      </c>
      <c r="G65" s="2"/>
      <c r="H65" s="6">
        <v>550</v>
      </c>
      <c r="I65" s="2"/>
      <c r="J65" s="7">
        <f t="shared" si="32"/>
        <v>2.3773503349902744E-2</v>
      </c>
      <c r="K65" s="2"/>
      <c r="L65" s="6">
        <f t="shared" si="33"/>
        <v>-550</v>
      </c>
      <c r="M65" s="2"/>
      <c r="N65" s="7">
        <f t="shared" si="34"/>
        <v>-1</v>
      </c>
      <c r="O65" s="11"/>
      <c r="P65" s="6"/>
      <c r="Q65" s="2"/>
      <c r="R65" s="7">
        <f t="shared" si="35"/>
        <v>0</v>
      </c>
      <c r="S65" s="2"/>
      <c r="T65" s="6">
        <v>6600</v>
      </c>
      <c r="U65" s="2"/>
      <c r="V65" s="7">
        <f t="shared" si="36"/>
        <v>7.7999985818184396E-3</v>
      </c>
      <c r="W65" s="2"/>
      <c r="X65" s="6">
        <f t="shared" si="37"/>
        <v>-6600</v>
      </c>
      <c r="Y65" s="2"/>
      <c r="Z65" s="7">
        <f t="shared" si="38"/>
        <v>-1</v>
      </c>
    </row>
    <row r="66" spans="1:26" s="27" customFormat="1" outlineLevel="1" collapsed="1" x14ac:dyDescent="0.25">
      <c r="A66" s="25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SUM(OSRRefD22_6x_0)</f>
        <v>0</v>
      </c>
      <c r="E66" s="1"/>
      <c r="F66" s="5">
        <f t="shared" ref="F66:F72" si="39">IF(D$12=0,0,D66/D$12)</f>
        <v>0</v>
      </c>
      <c r="G66" s="1"/>
      <c r="H66" s="1">
        <f>SUM(OSRRefH22_6x_0)</f>
        <v>0</v>
      </c>
      <c r="I66" s="1"/>
      <c r="J66" s="5">
        <f t="shared" ref="J66:J72" si="40">IF(H$12=0,0,H66/H$12)</f>
        <v>0</v>
      </c>
      <c r="K66" s="1"/>
      <c r="L66" s="1">
        <f t="shared" ref="L66:L72" si="41">+D66-H66</f>
        <v>0</v>
      </c>
      <c r="M66" s="1"/>
      <c r="N66" s="5">
        <f t="shared" ref="N66:N72" si="42">IF(H66=0,0,L66/H66)</f>
        <v>0</v>
      </c>
      <c r="O66" s="13"/>
      <c r="P66" s="1">
        <f>SUM(OSRRefP22_6x_0)</f>
        <v>10</v>
      </c>
      <c r="Q66" s="1"/>
      <c r="R66" s="5">
        <f t="shared" ref="R66:R72" si="43">IF(P$12=0,0,P66/P$12)</f>
        <v>1.7007362691397459E-5</v>
      </c>
      <c r="S66" s="1"/>
      <c r="T66" s="1">
        <f>SUM(OSRRefT22_6x_0)</f>
        <v>350</v>
      </c>
      <c r="U66" s="1"/>
      <c r="V66" s="5">
        <f t="shared" ref="V66:V72" si="44">IF(T$12=0,0,T66/T$12)</f>
        <v>4.1363628842976574E-4</v>
      </c>
      <c r="W66" s="1"/>
      <c r="X66" s="1">
        <f t="shared" ref="X66:X72" si="45">+P66-T66</f>
        <v>-340</v>
      </c>
      <c r="Y66" s="1"/>
      <c r="Z66" s="5">
        <f t="shared" ref="Z66:Z72" si="46">IF(T66=0,0,X66/T66)</f>
        <v>-0.97142857142857142</v>
      </c>
    </row>
    <row r="67" spans="1:26" s="24" customFormat="1" hidden="1" outlineLevel="2" x14ac:dyDescent="0.25">
      <c r="A67" s="26"/>
      <c r="B67" s="11" t="str">
        <f>CONCATENATE("          ", "6277", " - ", "EMPLOYEE APPRECIATION")</f>
        <v xml:space="preserve">          6277 - EMPLOYEE APPRECIATION</v>
      </c>
      <c r="C67" s="11"/>
      <c r="D67" s="6"/>
      <c r="E67" s="2"/>
      <c r="F67" s="7">
        <f t="shared" si="39"/>
        <v>0</v>
      </c>
      <c r="G67" s="2"/>
      <c r="H67" s="6">
        <v>0</v>
      </c>
      <c r="I67" s="2"/>
      <c r="J67" s="7">
        <f t="shared" si="40"/>
        <v>0</v>
      </c>
      <c r="K67" s="2"/>
      <c r="L67" s="6">
        <f t="shared" si="41"/>
        <v>0</v>
      </c>
      <c r="M67" s="2"/>
      <c r="N67" s="7">
        <f t="shared" si="42"/>
        <v>0</v>
      </c>
      <c r="O67" s="11"/>
      <c r="P67" s="6">
        <v>10</v>
      </c>
      <c r="Q67" s="2"/>
      <c r="R67" s="7">
        <f t="shared" si="43"/>
        <v>1.7007362691397459E-5</v>
      </c>
      <c r="S67" s="2"/>
      <c r="T67" s="6">
        <v>350</v>
      </c>
      <c r="U67" s="2"/>
      <c r="V67" s="7">
        <f t="shared" si="44"/>
        <v>4.1363628842976574E-4</v>
      </c>
      <c r="W67" s="2"/>
      <c r="X67" s="6">
        <f t="shared" si="45"/>
        <v>-340</v>
      </c>
      <c r="Y67" s="2"/>
      <c r="Z67" s="7">
        <f t="shared" si="46"/>
        <v>-0.97142857142857142</v>
      </c>
    </row>
    <row r="68" spans="1:26" s="27" customFormat="1" outlineLevel="1" collapsed="1" x14ac:dyDescent="0.25">
      <c r="A68" s="25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SUM(OSRRefD22_7x_0)</f>
        <v>1075.32</v>
      </c>
      <c r="E68" s="1"/>
      <c r="F68" s="5">
        <f t="shared" si="39"/>
        <v>1.6114814833686153E-2</v>
      </c>
      <c r="G68" s="1"/>
      <c r="H68" s="1">
        <f>SUM(OSRRefH22_7x_0)</f>
        <v>449.33333333333297</v>
      </c>
      <c r="I68" s="1"/>
      <c r="J68" s="5">
        <f t="shared" si="40"/>
        <v>1.9422231827678105E-2</v>
      </c>
      <c r="K68" s="1"/>
      <c r="L68" s="1">
        <f t="shared" si="41"/>
        <v>625.98666666666691</v>
      </c>
      <c r="M68" s="1"/>
      <c r="N68" s="5">
        <f t="shared" si="42"/>
        <v>1.3931454005934734</v>
      </c>
      <c r="O68" s="13"/>
      <c r="P68" s="1">
        <f>SUM(OSRRefP22_7x_0)</f>
        <v>8209.1</v>
      </c>
      <c r="Q68" s="1"/>
      <c r="R68" s="5">
        <f t="shared" si="43"/>
        <v>1.3961514106995088E-2</v>
      </c>
      <c r="S68" s="1"/>
      <c r="T68" s="1">
        <f>SUM(OSRRefT22_7x_0)</f>
        <v>5259</v>
      </c>
      <c r="U68" s="1"/>
      <c r="V68" s="5">
        <f t="shared" si="44"/>
        <v>6.2151806881489656E-3</v>
      </c>
      <c r="W68" s="1"/>
      <c r="X68" s="1">
        <f t="shared" si="45"/>
        <v>2950.1000000000004</v>
      </c>
      <c r="Y68" s="1"/>
      <c r="Z68" s="5">
        <f t="shared" si="46"/>
        <v>0.56096216010648414</v>
      </c>
    </row>
    <row r="69" spans="1:26" s="24" customFormat="1" hidden="1" outlineLevel="2" x14ac:dyDescent="0.25">
      <c r="A69" s="26"/>
      <c r="B69" s="11" t="str">
        <f>CONCATENATE("          ", "6351", " - ", "EQUIPMENT RENTAL")</f>
        <v xml:space="preserve">          6351 - EQUIPMENT RENTAL</v>
      </c>
      <c r="C69" s="11"/>
      <c r="D69" s="6">
        <v>1075.32</v>
      </c>
      <c r="E69" s="2"/>
      <c r="F69" s="7">
        <f t="shared" si="39"/>
        <v>1.6114814833686153E-2</v>
      </c>
      <c r="G69" s="2"/>
      <c r="H69" s="6">
        <v>449.33333333333297</v>
      </c>
      <c r="I69" s="2"/>
      <c r="J69" s="7">
        <f t="shared" si="40"/>
        <v>1.9422231827678105E-2</v>
      </c>
      <c r="K69" s="2"/>
      <c r="L69" s="6">
        <f t="shared" si="41"/>
        <v>625.98666666666691</v>
      </c>
      <c r="M69" s="2"/>
      <c r="N69" s="7">
        <f t="shared" si="42"/>
        <v>1.3931454005934734</v>
      </c>
      <c r="O69" s="11"/>
      <c r="P69" s="6">
        <v>8209.1</v>
      </c>
      <c r="Q69" s="2"/>
      <c r="R69" s="7">
        <f t="shared" si="43"/>
        <v>1.3961514106995088E-2</v>
      </c>
      <c r="S69" s="2"/>
      <c r="T69" s="6">
        <v>5259</v>
      </c>
      <c r="U69" s="2"/>
      <c r="V69" s="7">
        <f t="shared" si="44"/>
        <v>6.2151806881489656E-3</v>
      </c>
      <c r="W69" s="2"/>
      <c r="X69" s="6">
        <f t="shared" si="45"/>
        <v>2950.1000000000004</v>
      </c>
      <c r="Y69" s="2"/>
      <c r="Z69" s="7">
        <f t="shared" si="46"/>
        <v>0.56096216010648414</v>
      </c>
    </row>
    <row r="70" spans="1:26" s="27" customFormat="1" outlineLevel="1" collapsed="1" x14ac:dyDescent="0.25">
      <c r="A70" s="25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SUM(OSRRefD22_8x_0)</f>
        <v>0</v>
      </c>
      <c r="E70" s="1"/>
      <c r="F70" s="5">
        <f t="shared" si="39"/>
        <v>0</v>
      </c>
      <c r="G70" s="1"/>
      <c r="H70" s="1">
        <f>SUM(OSRRefH22_8x_0)</f>
        <v>0</v>
      </c>
      <c r="I70" s="1"/>
      <c r="J70" s="5">
        <f t="shared" si="40"/>
        <v>0</v>
      </c>
      <c r="K70" s="1"/>
      <c r="L70" s="1">
        <f t="shared" si="41"/>
        <v>0</v>
      </c>
      <c r="M70" s="1"/>
      <c r="N70" s="5">
        <f t="shared" si="42"/>
        <v>0</v>
      </c>
      <c r="O70" s="13"/>
      <c r="P70" s="1">
        <f>SUM(OSRRefP22_8x_0)</f>
        <v>277.65000000000003</v>
      </c>
      <c r="Q70" s="1"/>
      <c r="R70" s="5">
        <f t="shared" si="43"/>
        <v>4.7220942512665048E-4</v>
      </c>
      <c r="S70" s="1"/>
      <c r="T70" s="1">
        <f>SUM(OSRRefT22_8x_0)</f>
        <v>0</v>
      </c>
      <c r="U70" s="1"/>
      <c r="V70" s="5">
        <f t="shared" si="44"/>
        <v>0</v>
      </c>
      <c r="W70" s="1"/>
      <c r="X70" s="1">
        <f t="shared" si="45"/>
        <v>277.65000000000003</v>
      </c>
      <c r="Y70" s="1"/>
      <c r="Z70" s="5">
        <f t="shared" si="46"/>
        <v>0</v>
      </c>
    </row>
    <row r="71" spans="1:26" s="24" customFormat="1" hidden="1" outlineLevel="2" x14ac:dyDescent="0.25">
      <c r="A71" s="26"/>
      <c r="B71" s="11" t="str">
        <f>CONCATENATE("          ", "6305", " - ", "FREIGHT OUT")</f>
        <v xml:space="preserve">          6305 - FREIGHT OUT</v>
      </c>
      <c r="C71" s="11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1"/>
      <c r="P71" s="6">
        <v>280.10000000000002</v>
      </c>
      <c r="Q71" s="2"/>
      <c r="R71" s="7">
        <f t="shared" si="43"/>
        <v>4.7637622898604284E-4</v>
      </c>
      <c r="S71" s="2"/>
      <c r="T71" s="6"/>
      <c r="U71" s="2"/>
      <c r="V71" s="7">
        <f t="shared" si="44"/>
        <v>0</v>
      </c>
      <c r="W71" s="2"/>
      <c r="X71" s="6">
        <f t="shared" si="45"/>
        <v>280.10000000000002</v>
      </c>
      <c r="Y71" s="2"/>
      <c r="Z71" s="7">
        <f t="shared" si="46"/>
        <v>0</v>
      </c>
    </row>
    <row r="72" spans="1:26" s="24" customFormat="1" hidden="1" outlineLevel="2" x14ac:dyDescent="0.25">
      <c r="A72" s="26"/>
      <c r="B72" s="11" t="str">
        <f>CONCATENATE("          ", "6307", " - ", "POSTAGE")</f>
        <v xml:space="preserve">          6307 - POSTAGE</v>
      </c>
      <c r="C72" s="11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1"/>
      <c r="P72" s="6">
        <v>-2.4500000000000002</v>
      </c>
      <c r="Q72" s="2"/>
      <c r="R72" s="7">
        <f t="shared" si="43"/>
        <v>-4.1668038593923772E-6</v>
      </c>
      <c r="S72" s="2"/>
      <c r="T72" s="6"/>
      <c r="U72" s="2"/>
      <c r="V72" s="7">
        <f t="shared" si="44"/>
        <v>0</v>
      </c>
      <c r="W72" s="2"/>
      <c r="X72" s="6">
        <f t="shared" si="45"/>
        <v>-2.4500000000000002</v>
      </c>
      <c r="Y72" s="2"/>
      <c r="Z72" s="7">
        <f t="shared" si="46"/>
        <v>0</v>
      </c>
    </row>
    <row r="73" spans="1:26" s="27" customFormat="1" outlineLevel="1" collapsed="1" x14ac:dyDescent="0.25">
      <c r="A73" s="25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SUM(OSRRefD22_9x_0)</f>
        <v>0</v>
      </c>
      <c r="E73" s="1"/>
      <c r="F73" s="5">
        <f t="shared" ref="F73:F87" si="47">IF(D$12=0,0,D73/D$12)</f>
        <v>0</v>
      </c>
      <c r="G73" s="1"/>
      <c r="H73" s="1">
        <f>SUM(OSRRefH22_9x_0)</f>
        <v>0</v>
      </c>
      <c r="I73" s="1"/>
      <c r="J73" s="5">
        <f t="shared" ref="J73:J87" si="48">IF(H$12=0,0,H73/H$12)</f>
        <v>0</v>
      </c>
      <c r="K73" s="1"/>
      <c r="L73" s="1">
        <f t="shared" ref="L73:L87" si="49">+D73-H73</f>
        <v>0</v>
      </c>
      <c r="M73" s="1"/>
      <c r="N73" s="5">
        <f t="shared" ref="N73:N87" si="50">IF(H73=0,0,L73/H73)</f>
        <v>0</v>
      </c>
      <c r="O73" s="13"/>
      <c r="P73" s="1">
        <f>SUM(OSRRefP22_9x_0)</f>
        <v>10538.97</v>
      </c>
      <c r="Q73" s="1"/>
      <c r="R73" s="5">
        <f t="shared" ref="R73:R87" si="51">IF(P$12=0,0,P73/P$12)</f>
        <v>1.7924008518375705E-2</v>
      </c>
      <c r="S73" s="1"/>
      <c r="T73" s="1">
        <f>SUM(OSRRefT22_9x_0)</f>
        <v>9760</v>
      </c>
      <c r="U73" s="1"/>
      <c r="V73" s="5">
        <f t="shared" ref="V73:V87" si="52">IF(T$12=0,0,T73/T$12)</f>
        <v>1.1534543357355754E-2</v>
      </c>
      <c r="W73" s="1"/>
      <c r="X73" s="1">
        <f t="shared" ref="X73:X87" si="53">+P73-T73</f>
        <v>778.96999999999935</v>
      </c>
      <c r="Y73" s="1"/>
      <c r="Z73" s="5">
        <f t="shared" ref="Z73:Z87" si="54">IF(T73=0,0,X73/T73)</f>
        <v>7.9812499999999939E-2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6"/>
      <c r="E74" s="2"/>
      <c r="F74" s="7">
        <f t="shared" si="47"/>
        <v>0</v>
      </c>
      <c r="G74" s="2"/>
      <c r="H74" s="6">
        <v>0</v>
      </c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1"/>
      <c r="P74" s="6">
        <v>10538.97</v>
      </c>
      <c r="Q74" s="2"/>
      <c r="R74" s="7">
        <f t="shared" si="51"/>
        <v>1.7924008518375705E-2</v>
      </c>
      <c r="S74" s="2"/>
      <c r="T74" s="6">
        <v>9760</v>
      </c>
      <c r="U74" s="2"/>
      <c r="V74" s="7">
        <f t="shared" si="52"/>
        <v>1.1534543357355754E-2</v>
      </c>
      <c r="W74" s="2"/>
      <c r="X74" s="6">
        <f t="shared" si="53"/>
        <v>778.96999999999935</v>
      </c>
      <c r="Y74" s="2"/>
      <c r="Z74" s="7">
        <f t="shared" si="54"/>
        <v>7.9812499999999939E-2</v>
      </c>
    </row>
    <row r="75" spans="1:26" s="27" customFormat="1" outlineLevel="1" collapsed="1" x14ac:dyDescent="0.25">
      <c r="A75" s="25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9577.66</v>
      </c>
      <c r="E75" s="1"/>
      <c r="F75" s="5">
        <f t="shared" si="47"/>
        <v>0.1435314301231285</v>
      </c>
      <c r="G75" s="1"/>
      <c r="H75" s="1">
        <f>SUM(OSRRefH22_10x_0)</f>
        <v>4835</v>
      </c>
      <c r="I75" s="1"/>
      <c r="J75" s="5">
        <f t="shared" si="48"/>
        <v>0.20899070672141776</v>
      </c>
      <c r="K75" s="1"/>
      <c r="L75" s="1">
        <f t="shared" si="49"/>
        <v>4742.66</v>
      </c>
      <c r="M75" s="1"/>
      <c r="N75" s="5">
        <f t="shared" si="50"/>
        <v>0.98090175801447776</v>
      </c>
      <c r="O75" s="13"/>
      <c r="P75" s="1">
        <f>SUM(OSRRefP22_10x_0)</f>
        <v>65010.03</v>
      </c>
      <c r="Q75" s="1"/>
      <c r="R75" s="5">
        <f t="shared" si="51"/>
        <v>0.11056491587886294</v>
      </c>
      <c r="S75" s="1"/>
      <c r="T75" s="1">
        <f>SUM(OSRRefT22_10x_0)</f>
        <v>58020</v>
      </c>
      <c r="U75" s="1"/>
      <c r="V75" s="5">
        <f t="shared" si="52"/>
        <v>6.8569078441985731E-2</v>
      </c>
      <c r="W75" s="1"/>
      <c r="X75" s="1">
        <f t="shared" si="53"/>
        <v>6990.0299999999988</v>
      </c>
      <c r="Y75" s="1"/>
      <c r="Z75" s="5">
        <f t="shared" si="54"/>
        <v>0.12047621509824197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6">
        <v>9577.66</v>
      </c>
      <c r="E76" s="2"/>
      <c r="F76" s="7">
        <f t="shared" si="47"/>
        <v>0.1435314301231285</v>
      </c>
      <c r="G76" s="2"/>
      <c r="H76" s="6">
        <v>4835</v>
      </c>
      <c r="I76" s="2"/>
      <c r="J76" s="7">
        <f t="shared" si="48"/>
        <v>0.20899070672141776</v>
      </c>
      <c r="K76" s="2"/>
      <c r="L76" s="6">
        <f t="shared" si="49"/>
        <v>4742.66</v>
      </c>
      <c r="M76" s="2"/>
      <c r="N76" s="7">
        <f t="shared" si="50"/>
        <v>0.98090175801447776</v>
      </c>
      <c r="O76" s="11"/>
      <c r="P76" s="6">
        <v>65010.03</v>
      </c>
      <c r="Q76" s="2"/>
      <c r="R76" s="7">
        <f t="shared" si="51"/>
        <v>0.11056491587886294</v>
      </c>
      <c r="S76" s="2"/>
      <c r="T76" s="6">
        <v>58020</v>
      </c>
      <c r="U76" s="2"/>
      <c r="V76" s="7">
        <f t="shared" si="52"/>
        <v>6.8569078441985731E-2</v>
      </c>
      <c r="W76" s="2"/>
      <c r="X76" s="6">
        <f t="shared" si="53"/>
        <v>6990.0299999999988</v>
      </c>
      <c r="Y76" s="2"/>
      <c r="Z76" s="7">
        <f t="shared" si="54"/>
        <v>0.12047621509824197</v>
      </c>
    </row>
    <row r="77" spans="1:26" s="27" customFormat="1" outlineLevel="1" collapsed="1" x14ac:dyDescent="0.25">
      <c r="A77" s="25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-1254.77</v>
      </c>
      <c r="E77" s="1"/>
      <c r="F77" s="5">
        <f t="shared" si="47"/>
        <v>-1.8804064100792672E-2</v>
      </c>
      <c r="G77" s="1"/>
      <c r="H77" s="1">
        <f>SUM(OSRRefH22_11x_0)</f>
        <v>11158</v>
      </c>
      <c r="I77" s="1"/>
      <c r="J77" s="5">
        <f t="shared" si="48"/>
        <v>0.48229954614220877</v>
      </c>
      <c r="K77" s="1"/>
      <c r="L77" s="1">
        <f t="shared" si="49"/>
        <v>-12412.77</v>
      </c>
      <c r="M77" s="1"/>
      <c r="N77" s="5">
        <f t="shared" si="50"/>
        <v>-1.1124547409930094</v>
      </c>
      <c r="O77" s="13"/>
      <c r="P77" s="1">
        <f>SUM(OSRRefP22_11x_0)</f>
        <v>122716.23</v>
      </c>
      <c r="Q77" s="1"/>
      <c r="R77" s="5">
        <f t="shared" si="51"/>
        <v>0.20870794317309493</v>
      </c>
      <c r="S77" s="1"/>
      <c r="T77" s="1">
        <f>SUM(OSRRefT22_11x_0)</f>
        <v>137856</v>
      </c>
      <c r="U77" s="1"/>
      <c r="V77" s="5">
        <f t="shared" si="52"/>
        <v>0.16292069765078224</v>
      </c>
      <c r="W77" s="1"/>
      <c r="X77" s="1">
        <f t="shared" si="53"/>
        <v>-15139.770000000004</v>
      </c>
      <c r="Y77" s="1"/>
      <c r="Z77" s="5">
        <f t="shared" si="54"/>
        <v>-0.10982307625348192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6">
        <v>-1254.77</v>
      </c>
      <c r="E78" s="2"/>
      <c r="F78" s="7">
        <f t="shared" si="47"/>
        <v>-1.8804064100792672E-2</v>
      </c>
      <c r="G78" s="2"/>
      <c r="H78" s="6">
        <v>11158</v>
      </c>
      <c r="I78" s="2"/>
      <c r="J78" s="7">
        <f t="shared" si="48"/>
        <v>0.48229954614220877</v>
      </c>
      <c r="K78" s="2"/>
      <c r="L78" s="6">
        <f t="shared" si="49"/>
        <v>-12412.77</v>
      </c>
      <c r="M78" s="2"/>
      <c r="N78" s="7">
        <f t="shared" si="50"/>
        <v>-1.1124547409930094</v>
      </c>
      <c r="O78" s="11"/>
      <c r="P78" s="6">
        <v>122716.23</v>
      </c>
      <c r="Q78" s="2"/>
      <c r="R78" s="7">
        <f t="shared" si="51"/>
        <v>0.20870794317309493</v>
      </c>
      <c r="S78" s="2"/>
      <c r="T78" s="6">
        <v>137856</v>
      </c>
      <c r="U78" s="2"/>
      <c r="V78" s="7">
        <f t="shared" si="52"/>
        <v>0.16292069765078224</v>
      </c>
      <c r="W78" s="2"/>
      <c r="X78" s="6">
        <f t="shared" si="53"/>
        <v>-15139.770000000004</v>
      </c>
      <c r="Y78" s="2"/>
      <c r="Z78" s="7">
        <f t="shared" si="54"/>
        <v>-0.10982307625348192</v>
      </c>
    </row>
    <row r="79" spans="1:26" s="27" customFormat="1" outlineLevel="1" collapsed="1" x14ac:dyDescent="0.25">
      <c r="A79" s="25"/>
      <c r="B79" s="13" t="str">
        <f>CONCATENATE("     ","R/H Commissions                                   ")</f>
        <v xml:space="preserve">     R/H Commissions                                   </v>
      </c>
      <c r="C79" s="13"/>
      <c r="D79" s="1">
        <f>SUM(OSRRefD22_12x_0)</f>
        <v>0</v>
      </c>
      <c r="E79" s="1"/>
      <c r="F79" s="5">
        <f t="shared" si="47"/>
        <v>0</v>
      </c>
      <c r="G79" s="1"/>
      <c r="H79" s="1">
        <f>SUM(OSRRefH22_12x_0)</f>
        <v>2000</v>
      </c>
      <c r="I79" s="1"/>
      <c r="J79" s="5">
        <f t="shared" si="48"/>
        <v>8.6449103090555438E-2</v>
      </c>
      <c r="K79" s="1"/>
      <c r="L79" s="1">
        <f t="shared" si="49"/>
        <v>-2000</v>
      </c>
      <c r="M79" s="1"/>
      <c r="N79" s="5">
        <f t="shared" si="50"/>
        <v>-1</v>
      </c>
      <c r="O79" s="13"/>
      <c r="P79" s="1">
        <f>SUM(OSRRefP22_12x_0)</f>
        <v>0</v>
      </c>
      <c r="Q79" s="1"/>
      <c r="R79" s="5">
        <f t="shared" si="51"/>
        <v>0</v>
      </c>
      <c r="S79" s="1"/>
      <c r="T79" s="1">
        <f>SUM(OSRRefT22_12x_0)</f>
        <v>2000</v>
      </c>
      <c r="U79" s="1"/>
      <c r="V79" s="5">
        <f t="shared" si="52"/>
        <v>2.3636359338843759E-3</v>
      </c>
      <c r="W79" s="1"/>
      <c r="X79" s="1">
        <f t="shared" si="53"/>
        <v>-2000</v>
      </c>
      <c r="Y79" s="1"/>
      <c r="Z79" s="5">
        <f t="shared" si="54"/>
        <v>-1</v>
      </c>
    </row>
    <row r="80" spans="1:26" s="24" customFormat="1" hidden="1" outlineLevel="2" x14ac:dyDescent="0.25">
      <c r="A80" s="26"/>
      <c r="B80" s="11" t="str">
        <f>CONCATENATE("          ", "6387", " - ", "COMMISSION DUE HOUSING")</f>
        <v xml:space="preserve">          6387 - COMMISSION DUE HOUSING</v>
      </c>
      <c r="C80" s="11"/>
      <c r="D80" s="6"/>
      <c r="E80" s="2"/>
      <c r="F80" s="7">
        <f t="shared" si="47"/>
        <v>0</v>
      </c>
      <c r="G80" s="2"/>
      <c r="H80" s="6">
        <v>2000</v>
      </c>
      <c r="I80" s="2"/>
      <c r="J80" s="7">
        <f t="shared" si="48"/>
        <v>8.6449103090555438E-2</v>
      </c>
      <c r="K80" s="2"/>
      <c r="L80" s="6">
        <f t="shared" si="49"/>
        <v>-2000</v>
      </c>
      <c r="M80" s="2"/>
      <c r="N80" s="7">
        <f t="shared" si="50"/>
        <v>-1</v>
      </c>
      <c r="O80" s="11"/>
      <c r="P80" s="6"/>
      <c r="Q80" s="2"/>
      <c r="R80" s="7">
        <f t="shared" si="51"/>
        <v>0</v>
      </c>
      <c r="S80" s="2"/>
      <c r="T80" s="6">
        <v>2000</v>
      </c>
      <c r="U80" s="2"/>
      <c r="V80" s="7">
        <f t="shared" si="52"/>
        <v>2.3636359338843759E-3</v>
      </c>
      <c r="W80" s="2"/>
      <c r="X80" s="6">
        <f t="shared" si="53"/>
        <v>-2000</v>
      </c>
      <c r="Y80" s="2"/>
      <c r="Z80" s="7">
        <f t="shared" si="54"/>
        <v>-1</v>
      </c>
    </row>
    <row r="81" spans="1:26" s="27" customFormat="1" outlineLevel="1" collapsed="1" x14ac:dyDescent="0.25">
      <c r="A81" s="25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7400</v>
      </c>
      <c r="E81" s="1"/>
      <c r="F81" s="5">
        <f t="shared" si="47"/>
        <v>0.1108968769940832</v>
      </c>
      <c r="G81" s="1"/>
      <c r="H81" s="1">
        <f>SUM(OSRRefH22_13x_0)</f>
        <v>1943</v>
      </c>
      <c r="I81" s="1"/>
      <c r="J81" s="5">
        <f t="shared" si="48"/>
        <v>8.3985303652474599E-2</v>
      </c>
      <c r="K81" s="1"/>
      <c r="L81" s="1">
        <f t="shared" si="49"/>
        <v>5457</v>
      </c>
      <c r="M81" s="1"/>
      <c r="N81" s="5">
        <f t="shared" si="50"/>
        <v>2.8085434894493053</v>
      </c>
      <c r="O81" s="13"/>
      <c r="P81" s="1">
        <f>SUM(OSRRefP22_13x_0)</f>
        <v>22200</v>
      </c>
      <c r="Q81" s="1"/>
      <c r="R81" s="5">
        <f t="shared" si="51"/>
        <v>3.7756345174902353E-2</v>
      </c>
      <c r="S81" s="1"/>
      <c r="T81" s="1">
        <f>SUM(OSRRefT22_13x_0)</f>
        <v>23316</v>
      </c>
      <c r="U81" s="1"/>
      <c r="V81" s="5">
        <f t="shared" si="52"/>
        <v>2.7555267717224052E-2</v>
      </c>
      <c r="W81" s="1"/>
      <c r="X81" s="1">
        <f t="shared" si="53"/>
        <v>-1116</v>
      </c>
      <c r="Y81" s="1"/>
      <c r="Z81" s="5">
        <f t="shared" si="54"/>
        <v>-4.7864127637673698E-2</v>
      </c>
    </row>
    <row r="82" spans="1:26" s="24" customFormat="1" hidden="1" outlineLevel="2" x14ac:dyDescent="0.25">
      <c r="A82" s="26"/>
      <c r="B82" s="11" t="str">
        <f>CONCATENATE("          ", "6273", " - ", "RENT")</f>
        <v xml:space="preserve">          6273 - RENT</v>
      </c>
      <c r="C82" s="11"/>
      <c r="D82" s="6">
        <v>7400</v>
      </c>
      <c r="E82" s="2"/>
      <c r="F82" s="7">
        <f t="shared" si="47"/>
        <v>0.1108968769940832</v>
      </c>
      <c r="G82" s="2"/>
      <c r="H82" s="6">
        <v>1943</v>
      </c>
      <c r="I82" s="2"/>
      <c r="J82" s="7">
        <f t="shared" si="48"/>
        <v>8.3985303652474599E-2</v>
      </c>
      <c r="K82" s="2"/>
      <c r="L82" s="6">
        <f t="shared" si="49"/>
        <v>5457</v>
      </c>
      <c r="M82" s="2"/>
      <c r="N82" s="7">
        <f t="shared" si="50"/>
        <v>2.8085434894493053</v>
      </c>
      <c r="O82" s="11"/>
      <c r="P82" s="6">
        <v>22200</v>
      </c>
      <c r="Q82" s="2"/>
      <c r="R82" s="7">
        <f t="shared" si="51"/>
        <v>3.7756345174902353E-2</v>
      </c>
      <c r="S82" s="2"/>
      <c r="T82" s="6">
        <v>23316</v>
      </c>
      <c r="U82" s="2"/>
      <c r="V82" s="7">
        <f t="shared" si="52"/>
        <v>2.7555267717224052E-2</v>
      </c>
      <c r="W82" s="2"/>
      <c r="X82" s="6">
        <f t="shared" si="53"/>
        <v>-1116</v>
      </c>
      <c r="Y82" s="2"/>
      <c r="Z82" s="7">
        <f t="shared" si="54"/>
        <v>-4.7864127637673698E-2</v>
      </c>
    </row>
    <row r="83" spans="1:26" s="27" customFormat="1" outlineLevel="1" collapsed="1" x14ac:dyDescent="0.25">
      <c r="A83" s="25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29773.040000000001</v>
      </c>
      <c r="E83" s="1"/>
      <c r="F83" s="5">
        <f t="shared" si="47"/>
        <v>0.44618069657025933</v>
      </c>
      <c r="G83" s="1"/>
      <c r="H83" s="1">
        <f>SUM(OSRRefH22_14x_0)</f>
        <v>285</v>
      </c>
      <c r="I83" s="1"/>
      <c r="J83" s="5">
        <f t="shared" si="48"/>
        <v>1.2318997190404149E-2</v>
      </c>
      <c r="K83" s="1"/>
      <c r="L83" s="1">
        <f t="shared" si="49"/>
        <v>29488.04</v>
      </c>
      <c r="M83" s="1"/>
      <c r="N83" s="5">
        <f t="shared" si="50"/>
        <v>103.46680701754386</v>
      </c>
      <c r="O83" s="13"/>
      <c r="P83" s="1">
        <f>SUM(OSRRefP22_14x_0)</f>
        <v>85122.180000000008</v>
      </c>
      <c r="Q83" s="1"/>
      <c r="R83" s="5">
        <f t="shared" si="51"/>
        <v>0.1447703788342419</v>
      </c>
      <c r="S83" s="1"/>
      <c r="T83" s="1">
        <f>SUM(OSRRefT22_14x_0)</f>
        <v>28445</v>
      </c>
      <c r="U83" s="1"/>
      <c r="V83" s="5">
        <f t="shared" si="52"/>
        <v>3.3616812069670536E-2</v>
      </c>
      <c r="W83" s="1"/>
      <c r="X83" s="1">
        <f t="shared" si="53"/>
        <v>56677.180000000008</v>
      </c>
      <c r="Y83" s="1"/>
      <c r="Z83" s="5">
        <f t="shared" si="54"/>
        <v>1.9925181930040432</v>
      </c>
    </row>
    <row r="84" spans="1:26" s="24" customFormat="1" hidden="1" outlineLevel="2" x14ac:dyDescent="0.25">
      <c r="A84" s="26"/>
      <c r="B84" s="11" t="str">
        <f>CONCATENATE("          ", "6371", " - ", "COMPUTER SOFTWARE MAINTENANCE")</f>
        <v xml:space="preserve">          6371 - COMPUTER SOFTWARE MAINTENANCE</v>
      </c>
      <c r="C84" s="11"/>
      <c r="D84" s="6">
        <v>30321</v>
      </c>
      <c r="E84" s="2"/>
      <c r="F84" s="7">
        <f t="shared" si="47"/>
        <v>0.45439246045102655</v>
      </c>
      <c r="G84" s="2"/>
      <c r="H84" s="6"/>
      <c r="I84" s="2"/>
      <c r="J84" s="7">
        <f t="shared" si="48"/>
        <v>0</v>
      </c>
      <c r="K84" s="2"/>
      <c r="L84" s="6">
        <f t="shared" si="49"/>
        <v>30321</v>
      </c>
      <c r="M84" s="2"/>
      <c r="N84" s="7">
        <f t="shared" si="50"/>
        <v>0</v>
      </c>
      <c r="O84" s="11"/>
      <c r="P84" s="6">
        <v>39280.47</v>
      </c>
      <c r="Q84" s="2"/>
      <c r="R84" s="7">
        <f t="shared" si="51"/>
        <v>6.6805719997855714E-2</v>
      </c>
      <c r="S84" s="2"/>
      <c r="T84" s="6">
        <v>43</v>
      </c>
      <c r="U84" s="2"/>
      <c r="V84" s="7">
        <f t="shared" si="52"/>
        <v>5.0818172578514075E-5</v>
      </c>
      <c r="W84" s="2"/>
      <c r="X84" s="6">
        <f t="shared" si="53"/>
        <v>39237.47</v>
      </c>
      <c r="Y84" s="2"/>
      <c r="Z84" s="7">
        <f t="shared" si="54"/>
        <v>912.49930232558143</v>
      </c>
    </row>
    <row r="85" spans="1:26" s="24" customFormat="1" hidden="1" outlineLevel="2" x14ac:dyDescent="0.25">
      <c r="A85" s="26"/>
      <c r="B85" s="11" t="str">
        <f>CONCATENATE("          ", "6372", " - ", "COMPUTER HARDWARE MAINTENANCE")</f>
        <v xml:space="preserve">          6372 - COMPUTER HARDWARE MAINTENANCE</v>
      </c>
      <c r="C85" s="11"/>
      <c r="D85" s="6">
        <v>10.039999999999999</v>
      </c>
      <c r="E85" s="2"/>
      <c r="F85" s="7">
        <f t="shared" si="47"/>
        <v>1.5046008716494528E-4</v>
      </c>
      <c r="G85" s="2"/>
      <c r="H85" s="6"/>
      <c r="I85" s="2"/>
      <c r="J85" s="7">
        <f t="shared" si="48"/>
        <v>0</v>
      </c>
      <c r="K85" s="2"/>
      <c r="L85" s="6">
        <f t="shared" si="49"/>
        <v>10.039999999999999</v>
      </c>
      <c r="M85" s="2"/>
      <c r="N85" s="7">
        <f t="shared" si="50"/>
        <v>0</v>
      </c>
      <c r="O85" s="11"/>
      <c r="P85" s="6">
        <v>110.04</v>
      </c>
      <c r="Q85" s="2"/>
      <c r="R85" s="7">
        <f t="shared" si="51"/>
        <v>1.8714901905613764E-4</v>
      </c>
      <c r="S85" s="2"/>
      <c r="T85" s="6">
        <v>437</v>
      </c>
      <c r="U85" s="2"/>
      <c r="V85" s="7">
        <f t="shared" si="52"/>
        <v>5.1645445155373609E-4</v>
      </c>
      <c r="W85" s="2"/>
      <c r="X85" s="6">
        <f t="shared" si="53"/>
        <v>-326.95999999999998</v>
      </c>
      <c r="Y85" s="2"/>
      <c r="Z85" s="7">
        <f t="shared" si="54"/>
        <v>-0.74819221967963379</v>
      </c>
    </row>
    <row r="86" spans="1:26" s="24" customFormat="1" hidden="1" outlineLevel="2" x14ac:dyDescent="0.25">
      <c r="A86" s="26"/>
      <c r="B86" s="11" t="str">
        <f>CONCATENATE("          ", "6373", " - ", "MAINTENANCE CONTRACTS")</f>
        <v xml:space="preserve">          6373 - MAINTENANCE CONTRACTS</v>
      </c>
      <c r="C86" s="11"/>
      <c r="D86" s="6">
        <v>-4364.7</v>
      </c>
      <c r="E86" s="2"/>
      <c r="F86" s="7">
        <f t="shared" si="47"/>
        <v>-6.540967554271282E-2</v>
      </c>
      <c r="G86" s="2"/>
      <c r="H86" s="6">
        <v>0</v>
      </c>
      <c r="I86" s="2"/>
      <c r="J86" s="7">
        <f t="shared" si="48"/>
        <v>0</v>
      </c>
      <c r="K86" s="2"/>
      <c r="L86" s="6">
        <f t="shared" si="49"/>
        <v>-4364.7</v>
      </c>
      <c r="M86" s="2"/>
      <c r="N86" s="7">
        <f t="shared" si="50"/>
        <v>0</v>
      </c>
      <c r="O86" s="11"/>
      <c r="P86" s="6">
        <v>15117.15</v>
      </c>
      <c r="Q86" s="2"/>
      <c r="R86" s="7">
        <f t="shared" si="51"/>
        <v>2.5710285291025908E-2</v>
      </c>
      <c r="S86" s="2"/>
      <c r="T86" s="6">
        <v>4000</v>
      </c>
      <c r="U86" s="2"/>
      <c r="V86" s="7">
        <f t="shared" si="52"/>
        <v>4.7272718677687517E-3</v>
      </c>
      <c r="W86" s="2"/>
      <c r="X86" s="6">
        <f t="shared" si="53"/>
        <v>11117.15</v>
      </c>
      <c r="Y86" s="2"/>
      <c r="Z86" s="7">
        <f t="shared" si="54"/>
        <v>2.7792874999999997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3806.7</v>
      </c>
      <c r="E87" s="2"/>
      <c r="F87" s="7">
        <f t="shared" si="47"/>
        <v>5.7047451574780604E-2</v>
      </c>
      <c r="G87" s="2"/>
      <c r="H87" s="6">
        <v>285</v>
      </c>
      <c r="I87" s="2"/>
      <c r="J87" s="7">
        <f t="shared" si="48"/>
        <v>1.2318997190404149E-2</v>
      </c>
      <c r="K87" s="2"/>
      <c r="L87" s="6">
        <f t="shared" si="49"/>
        <v>3521.7</v>
      </c>
      <c r="M87" s="2"/>
      <c r="N87" s="7">
        <f t="shared" si="50"/>
        <v>12.356842105263157</v>
      </c>
      <c r="O87" s="11"/>
      <c r="P87" s="6">
        <v>30614.52</v>
      </c>
      <c r="Q87" s="2"/>
      <c r="R87" s="7">
        <f t="shared" si="51"/>
        <v>5.2067224526304128E-2</v>
      </c>
      <c r="S87" s="2"/>
      <c r="T87" s="6">
        <v>23965</v>
      </c>
      <c r="U87" s="2"/>
      <c r="V87" s="7">
        <f t="shared" si="52"/>
        <v>2.8322267577769532E-2</v>
      </c>
      <c r="W87" s="2"/>
      <c r="X87" s="6">
        <f t="shared" si="53"/>
        <v>6649.52</v>
      </c>
      <c r="Y87" s="2"/>
      <c r="Z87" s="7">
        <f t="shared" si="54"/>
        <v>0.27746797412893803</v>
      </c>
    </row>
    <row r="88" spans="1:26" s="27" customFormat="1" outlineLevel="1" collapsed="1" x14ac:dyDescent="0.25">
      <c r="A88" s="25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0</v>
      </c>
      <c r="E88" s="1"/>
      <c r="F88" s="5">
        <f t="shared" ref="F88:F90" si="55">IF(D$12=0,0,D88/D$12)</f>
        <v>0</v>
      </c>
      <c r="G88" s="1"/>
      <c r="H88" s="1">
        <f>SUM(OSRRefH22_15x_0)</f>
        <v>0</v>
      </c>
      <c r="I88" s="1"/>
      <c r="J88" s="5">
        <f t="shared" ref="J88:J90" si="56">IF(H$12=0,0,H88/H$12)</f>
        <v>0</v>
      </c>
      <c r="K88" s="1"/>
      <c r="L88" s="1">
        <f t="shared" ref="L88:L90" si="57">+D88-H88</f>
        <v>0</v>
      </c>
      <c r="M88" s="1"/>
      <c r="N88" s="5">
        <f t="shared" ref="N88:N90" si="58">IF(H88=0,0,L88/H88)</f>
        <v>0</v>
      </c>
      <c r="O88" s="13"/>
      <c r="P88" s="1">
        <f>SUM(OSRRefP22_15x_0)</f>
        <v>185.7</v>
      </c>
      <c r="Q88" s="1"/>
      <c r="R88" s="5">
        <f t="shared" ref="R88:R90" si="59">IF(P$12=0,0,P88/P$12)</f>
        <v>3.1582672517925075E-4</v>
      </c>
      <c r="S88" s="1"/>
      <c r="T88" s="1">
        <f>SUM(OSRRefT22_15x_0)</f>
        <v>10320</v>
      </c>
      <c r="U88" s="1"/>
      <c r="V88" s="5">
        <f t="shared" ref="V88:V90" si="60">IF(T$12=0,0,T88/T$12)</f>
        <v>1.2196361418843378E-2</v>
      </c>
      <c r="W88" s="1"/>
      <c r="X88" s="1">
        <f t="shared" ref="X88:X90" si="61">+P88-T88</f>
        <v>-10134.299999999999</v>
      </c>
      <c r="Y88" s="1"/>
      <c r="Z88" s="5">
        <f t="shared" ref="Z88:Z90" si="62">IF(T88=0,0,X88/T88)</f>
        <v>-0.98200581395348829</v>
      </c>
    </row>
    <row r="89" spans="1:26" s="24" customFormat="1" hidden="1" outlineLevel="2" x14ac:dyDescent="0.25">
      <c r="A89" s="26"/>
      <c r="B89" s="11" t="str">
        <f>CONCATENATE("          ", "6254", " - ", "ROYALTY &amp; COMMISSIONS")</f>
        <v xml:space="preserve">          6254 - ROYALTY &amp; COMMISSIONS</v>
      </c>
      <c r="C89" s="11"/>
      <c r="D89" s="6"/>
      <c r="E89" s="2"/>
      <c r="F89" s="7">
        <f t="shared" si="55"/>
        <v>0</v>
      </c>
      <c r="G89" s="2"/>
      <c r="H89" s="6">
        <v>0</v>
      </c>
      <c r="I89" s="2"/>
      <c r="J89" s="7">
        <f t="shared" si="56"/>
        <v>0</v>
      </c>
      <c r="K89" s="2"/>
      <c r="L89" s="6">
        <f t="shared" si="57"/>
        <v>0</v>
      </c>
      <c r="M89" s="2"/>
      <c r="N89" s="7">
        <f t="shared" si="58"/>
        <v>0</v>
      </c>
      <c r="O89" s="11"/>
      <c r="P89" s="6">
        <v>185.7</v>
      </c>
      <c r="Q89" s="2"/>
      <c r="R89" s="7">
        <f t="shared" si="59"/>
        <v>3.1582672517925075E-4</v>
      </c>
      <c r="S89" s="2"/>
      <c r="T89" s="6">
        <v>0</v>
      </c>
      <c r="U89" s="2"/>
      <c r="V89" s="7">
        <f t="shared" si="60"/>
        <v>0</v>
      </c>
      <c r="W89" s="2"/>
      <c r="X89" s="6">
        <f t="shared" si="61"/>
        <v>185.7</v>
      </c>
      <c r="Y89" s="2"/>
      <c r="Z89" s="7">
        <f t="shared" si="62"/>
        <v>0</v>
      </c>
    </row>
    <row r="90" spans="1:26" s="24" customFormat="1" hidden="1" outlineLevel="2" x14ac:dyDescent="0.25">
      <c r="A90" s="26"/>
      <c r="B90" s="11" t="str">
        <f>CONCATENATE("          ", "6259", " - ", "ROYALTY &amp; COMMISSIONS")</f>
        <v xml:space="preserve">          6259 - ROYALTY &amp; COMMISSIONS</v>
      </c>
      <c r="C90" s="11"/>
      <c r="D90" s="6"/>
      <c r="E90" s="2"/>
      <c r="F90" s="7">
        <f t="shared" si="55"/>
        <v>0</v>
      </c>
      <c r="G90" s="2"/>
      <c r="H90" s="6">
        <v>0</v>
      </c>
      <c r="I90" s="2"/>
      <c r="J90" s="7">
        <f t="shared" si="56"/>
        <v>0</v>
      </c>
      <c r="K90" s="2"/>
      <c r="L90" s="6">
        <f t="shared" si="57"/>
        <v>0</v>
      </c>
      <c r="M90" s="2"/>
      <c r="N90" s="7">
        <f t="shared" si="58"/>
        <v>0</v>
      </c>
      <c r="O90" s="11"/>
      <c r="P90" s="6"/>
      <c r="Q90" s="2"/>
      <c r="R90" s="7">
        <f t="shared" si="59"/>
        <v>0</v>
      </c>
      <c r="S90" s="2"/>
      <c r="T90" s="6">
        <v>10320</v>
      </c>
      <c r="U90" s="2"/>
      <c r="V90" s="7">
        <f t="shared" si="60"/>
        <v>1.2196361418843378E-2</v>
      </c>
      <c r="W90" s="2"/>
      <c r="X90" s="6">
        <f t="shared" si="61"/>
        <v>-10320</v>
      </c>
      <c r="Y90" s="2"/>
      <c r="Z90" s="7">
        <f t="shared" si="62"/>
        <v>-1</v>
      </c>
    </row>
    <row r="91" spans="1:26" s="27" customFormat="1" outlineLevel="1" collapsed="1" x14ac:dyDescent="0.25">
      <c r="A91" s="25"/>
      <c r="B91" s="13" t="str">
        <f>CONCATENATE("     ","Services                                          ")</f>
        <v xml:space="preserve">     Services                                          </v>
      </c>
      <c r="C91" s="13"/>
      <c r="D91" s="1">
        <f>SUM(OSRRefD22_16x_0)</f>
        <v>1336.2299999999998</v>
      </c>
      <c r="E91" s="1"/>
      <c r="F91" s="5">
        <f t="shared" ref="F91:F96" si="63">IF(D$12=0,0,D91/D$12)</f>
        <v>2.0024828911595103E-2</v>
      </c>
      <c r="G91" s="1"/>
      <c r="H91" s="1">
        <f>SUM(OSRRefH22_16x_0)</f>
        <v>8346</v>
      </c>
      <c r="I91" s="1"/>
      <c r="J91" s="5">
        <f t="shared" ref="J91:J96" si="64">IF(H$12=0,0,H91/H$12)</f>
        <v>0.36075210719688783</v>
      </c>
      <c r="K91" s="1"/>
      <c r="L91" s="1">
        <f t="shared" ref="L91:L96" si="65">+D91-H91</f>
        <v>-7009.77</v>
      </c>
      <c r="M91" s="1"/>
      <c r="N91" s="5">
        <f t="shared" ref="N91:N96" si="66">IF(H91=0,0,L91/H91)</f>
        <v>-0.83989575844716036</v>
      </c>
      <c r="O91" s="13"/>
      <c r="P91" s="1">
        <f>SUM(OSRRefP22_16x_0)</f>
        <v>68438.540000000008</v>
      </c>
      <c r="Q91" s="1"/>
      <c r="R91" s="5">
        <f t="shared" ref="R91:R96" si="67">IF(P$12=0,0,P91/P$12)</f>
        <v>0.11639590718497127</v>
      </c>
      <c r="S91" s="1"/>
      <c r="T91" s="1">
        <f>SUM(OSRRefT22_16x_0)</f>
        <v>98425</v>
      </c>
      <c r="U91" s="1"/>
      <c r="V91" s="5">
        <f t="shared" ref="V91:V96" si="68">IF(T$12=0,0,T91/T$12)</f>
        <v>0.11632043339628484</v>
      </c>
      <c r="W91" s="1"/>
      <c r="X91" s="1">
        <f t="shared" ref="X91:X96" si="69">+P91-T91</f>
        <v>-29986.459999999992</v>
      </c>
      <c r="Y91" s="1"/>
      <c r="Z91" s="5">
        <f t="shared" ref="Z91:Z96" si="70">IF(T91=0,0,X91/T91)</f>
        <v>-0.30466304292608576</v>
      </c>
    </row>
    <row r="92" spans="1:26" s="24" customFormat="1" hidden="1" outlineLevel="2" x14ac:dyDescent="0.25">
      <c r="A92" s="26"/>
      <c r="B92" s="11" t="str">
        <f>CONCATENATE("          ", "6282", " - ", "JANITORIAL/EXTERMINATOR EXPENS")</f>
        <v xml:space="preserve">          6282 - JANITORIAL/EXTERMINATOR EXPENS</v>
      </c>
      <c r="C92" s="11"/>
      <c r="D92" s="6">
        <v>1881.85</v>
      </c>
      <c r="E92" s="2"/>
      <c r="F92" s="7">
        <f t="shared" si="63"/>
        <v>2.8201525401529114E-2</v>
      </c>
      <c r="G92" s="2"/>
      <c r="H92" s="6">
        <v>1253</v>
      </c>
      <c r="I92" s="2"/>
      <c r="J92" s="7">
        <f t="shared" si="64"/>
        <v>5.4160363086232982E-2</v>
      </c>
      <c r="K92" s="2"/>
      <c r="L92" s="6">
        <f t="shared" si="65"/>
        <v>628.84999999999991</v>
      </c>
      <c r="M92" s="2"/>
      <c r="N92" s="7">
        <f t="shared" si="66"/>
        <v>0.50187549880287308</v>
      </c>
      <c r="O92" s="11"/>
      <c r="P92" s="6">
        <v>15054.44</v>
      </c>
      <c r="Q92" s="2"/>
      <c r="R92" s="7">
        <f t="shared" si="67"/>
        <v>2.5603632119588157E-2</v>
      </c>
      <c r="S92" s="2"/>
      <c r="T92" s="6">
        <v>14220</v>
      </c>
      <c r="U92" s="2"/>
      <c r="V92" s="7">
        <f t="shared" si="68"/>
        <v>1.6805451489917911E-2</v>
      </c>
      <c r="W92" s="2"/>
      <c r="X92" s="6">
        <f t="shared" si="69"/>
        <v>834.44000000000051</v>
      </c>
      <c r="Y92" s="2"/>
      <c r="Z92" s="7">
        <f t="shared" si="70"/>
        <v>5.8680731364275707E-2</v>
      </c>
    </row>
    <row r="93" spans="1:26" s="24" customFormat="1" hidden="1" outlineLevel="2" x14ac:dyDescent="0.25">
      <c r="A93" s="26"/>
      <c r="B93" s="11" t="str">
        <f>CONCATENATE("          ", "6283", " - ", "PLANT SERVICE")</f>
        <v xml:space="preserve">          6283 - PLANT SERVICE</v>
      </c>
      <c r="C93" s="11"/>
      <c r="D93" s="6"/>
      <c r="E93" s="2"/>
      <c r="F93" s="7">
        <f t="shared" si="63"/>
        <v>0</v>
      </c>
      <c r="G93" s="2"/>
      <c r="H93" s="6">
        <v>0</v>
      </c>
      <c r="I93" s="2"/>
      <c r="J93" s="7">
        <f t="shared" si="64"/>
        <v>0</v>
      </c>
      <c r="K93" s="2"/>
      <c r="L93" s="6">
        <f t="shared" si="65"/>
        <v>0</v>
      </c>
      <c r="M93" s="2"/>
      <c r="N93" s="7">
        <f t="shared" si="66"/>
        <v>0</v>
      </c>
      <c r="O93" s="11"/>
      <c r="P93" s="6"/>
      <c r="Q93" s="2"/>
      <c r="R93" s="7">
        <f t="shared" si="67"/>
        <v>0</v>
      </c>
      <c r="S93" s="2"/>
      <c r="T93" s="6">
        <v>310</v>
      </c>
      <c r="U93" s="2"/>
      <c r="V93" s="7">
        <f t="shared" si="68"/>
        <v>3.6636356975207823E-4</v>
      </c>
      <c r="W93" s="2"/>
      <c r="X93" s="6">
        <f t="shared" si="69"/>
        <v>-310</v>
      </c>
      <c r="Y93" s="2"/>
      <c r="Z93" s="7">
        <f t="shared" si="70"/>
        <v>-1</v>
      </c>
    </row>
    <row r="94" spans="1:26" s="24" customFormat="1" hidden="1" outlineLevel="2" x14ac:dyDescent="0.25">
      <c r="A94" s="26"/>
      <c r="B94" s="11" t="str">
        <f>CONCATENATE("          ", "6284", " - ", "TRASH REMOVAL EXPENSE")</f>
        <v xml:space="preserve">          6284 - TRASH REMOVAL EXPENSE</v>
      </c>
      <c r="C94" s="11"/>
      <c r="D94" s="6">
        <v>-4050</v>
      </c>
      <c r="E94" s="2"/>
      <c r="F94" s="7">
        <f t="shared" si="63"/>
        <v>-6.0693561057572558E-2</v>
      </c>
      <c r="G94" s="2"/>
      <c r="H94" s="6">
        <v>3498</v>
      </c>
      <c r="I94" s="2"/>
      <c r="J94" s="7">
        <f t="shared" si="64"/>
        <v>0.15119948130538147</v>
      </c>
      <c r="K94" s="2"/>
      <c r="L94" s="6">
        <f t="shared" si="65"/>
        <v>-7548</v>
      </c>
      <c r="M94" s="2"/>
      <c r="N94" s="7">
        <f t="shared" si="66"/>
        <v>-2.1578044596912522</v>
      </c>
      <c r="O94" s="11"/>
      <c r="P94" s="6">
        <v>28545</v>
      </c>
      <c r="Q94" s="2"/>
      <c r="R94" s="7">
        <f t="shared" si="67"/>
        <v>4.8547516802594046E-2</v>
      </c>
      <c r="S94" s="2"/>
      <c r="T94" s="6">
        <v>39526</v>
      </c>
      <c r="U94" s="2"/>
      <c r="V94" s="7">
        <f t="shared" si="68"/>
        <v>4.6712536961356917E-2</v>
      </c>
      <c r="W94" s="2"/>
      <c r="X94" s="6">
        <f t="shared" si="69"/>
        <v>-10981</v>
      </c>
      <c r="Y94" s="2"/>
      <c r="Z94" s="7">
        <f t="shared" si="70"/>
        <v>-0.27781713302636241</v>
      </c>
    </row>
    <row r="95" spans="1:26" s="24" customFormat="1" hidden="1" outlineLevel="2" x14ac:dyDescent="0.25">
      <c r="A95" s="26"/>
      <c r="B95" s="11" t="str">
        <f>CONCATENATE("          ", "6285", " - ", "JANITORIAL SERVICES")</f>
        <v xml:space="preserve">          6285 - JANITORIAL SERVICES</v>
      </c>
      <c r="C95" s="11"/>
      <c r="D95" s="6">
        <v>3385.52</v>
      </c>
      <c r="E95" s="2"/>
      <c r="F95" s="7">
        <f t="shared" si="63"/>
        <v>5.0735620946082235E-2</v>
      </c>
      <c r="G95" s="2"/>
      <c r="H95" s="6">
        <v>3491</v>
      </c>
      <c r="I95" s="2"/>
      <c r="J95" s="7">
        <f t="shared" si="64"/>
        <v>0.15089690944456452</v>
      </c>
      <c r="K95" s="2"/>
      <c r="L95" s="6">
        <f t="shared" si="65"/>
        <v>-105.48000000000002</v>
      </c>
      <c r="M95" s="2"/>
      <c r="N95" s="7">
        <f t="shared" si="66"/>
        <v>-3.0214838155256378E-2</v>
      </c>
      <c r="O95" s="11"/>
      <c r="P95" s="6">
        <v>23815.53</v>
      </c>
      <c r="Q95" s="2"/>
      <c r="R95" s="7">
        <f t="shared" si="67"/>
        <v>4.0503935639785688E-2</v>
      </c>
      <c r="S95" s="2"/>
      <c r="T95" s="6">
        <v>43128</v>
      </c>
      <c r="U95" s="2"/>
      <c r="V95" s="7">
        <f t="shared" si="68"/>
        <v>5.0969445278282677E-2</v>
      </c>
      <c r="W95" s="2"/>
      <c r="X95" s="6">
        <f t="shared" si="69"/>
        <v>-19312.47</v>
      </c>
      <c r="Y95" s="2"/>
      <c r="Z95" s="7">
        <f t="shared" si="70"/>
        <v>-0.44779424040066779</v>
      </c>
    </row>
    <row r="96" spans="1:26" s="24" customFormat="1" hidden="1" outlineLevel="2" x14ac:dyDescent="0.25">
      <c r="A96" s="26"/>
      <c r="B96" s="11" t="str">
        <f>CONCATENATE("          ", "6286", " - ", "LAUNDRY EXPENSE")</f>
        <v xml:space="preserve">          6286 - LAUNDRY EXPENSE</v>
      </c>
      <c r="C96" s="11"/>
      <c r="D96" s="6">
        <v>118.86</v>
      </c>
      <c r="E96" s="2"/>
      <c r="F96" s="7">
        <f t="shared" si="63"/>
        <v>1.7812436215563147E-3</v>
      </c>
      <c r="G96" s="2"/>
      <c r="H96" s="6">
        <v>104</v>
      </c>
      <c r="I96" s="2"/>
      <c r="J96" s="7">
        <f t="shared" si="64"/>
        <v>4.4953533607088826E-3</v>
      </c>
      <c r="K96" s="2"/>
      <c r="L96" s="6">
        <f t="shared" si="65"/>
        <v>14.86</v>
      </c>
      <c r="M96" s="2"/>
      <c r="N96" s="7">
        <f t="shared" si="66"/>
        <v>0.14288461538461539</v>
      </c>
      <c r="O96" s="11"/>
      <c r="P96" s="6">
        <v>1023.57</v>
      </c>
      <c r="Q96" s="2"/>
      <c r="R96" s="7">
        <f t="shared" si="67"/>
        <v>1.7408226230033698E-3</v>
      </c>
      <c r="S96" s="2"/>
      <c r="T96" s="6">
        <v>1241</v>
      </c>
      <c r="U96" s="2"/>
      <c r="V96" s="7">
        <f t="shared" si="68"/>
        <v>1.4666360969752552E-3</v>
      </c>
      <c r="W96" s="2"/>
      <c r="X96" s="6">
        <f t="shared" si="69"/>
        <v>-217.42999999999995</v>
      </c>
      <c r="Y96" s="2"/>
      <c r="Z96" s="7">
        <f t="shared" si="70"/>
        <v>-0.17520547945205475</v>
      </c>
    </row>
    <row r="97" spans="1:26" s="27" customFormat="1" outlineLevel="1" collapsed="1" x14ac:dyDescent="0.25">
      <c r="A97" s="25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SUM(OSRRefD22_17x_0)</f>
        <v>130.66999999999999</v>
      </c>
      <c r="E97" s="1"/>
      <c r="F97" s="5">
        <f t="shared" ref="F97:F99" si="71">IF(D$12=0,0,D97/D$12)</f>
        <v>1.9582290428130878E-3</v>
      </c>
      <c r="G97" s="1"/>
      <c r="H97" s="1">
        <f>SUM(OSRRefH22_17x_0)</f>
        <v>376</v>
      </c>
      <c r="I97" s="1"/>
      <c r="J97" s="5">
        <f t="shared" ref="J97:J99" si="72">IF(H$12=0,0,H97/H$12)</f>
        <v>1.6252431381024422E-2</v>
      </c>
      <c r="K97" s="1"/>
      <c r="L97" s="1">
        <f t="shared" ref="L97:L99" si="73">+D97-H97</f>
        <v>-245.33</v>
      </c>
      <c r="M97" s="1"/>
      <c r="N97" s="5">
        <f t="shared" ref="N97:N99" si="74">IF(H97=0,0,L97/H97)</f>
        <v>-0.65247340425531919</v>
      </c>
      <c r="O97" s="13"/>
      <c r="P97" s="1">
        <f>SUM(OSRRefP22_17x_0)</f>
        <v>1178.92</v>
      </c>
      <c r="Q97" s="1"/>
      <c r="R97" s="5">
        <f t="shared" ref="R97:R99" si="75">IF(P$12=0,0,P97/P$12)</f>
        <v>2.0050320024142293E-3</v>
      </c>
      <c r="S97" s="1"/>
      <c r="T97" s="1">
        <f>SUM(OSRRefT22_17x_0)</f>
        <v>5393</v>
      </c>
      <c r="U97" s="1"/>
      <c r="V97" s="5">
        <f t="shared" ref="V97:V99" si="76">IF(T$12=0,0,T97/T$12)</f>
        <v>6.3735442957192192E-3</v>
      </c>
      <c r="W97" s="1"/>
      <c r="X97" s="1">
        <f t="shared" ref="X97:X99" si="77">+P97-T97</f>
        <v>-4214.08</v>
      </c>
      <c r="Y97" s="1"/>
      <c r="Z97" s="5">
        <f t="shared" ref="Z97:Z99" si="78">IF(T97=0,0,X97/T97)</f>
        <v>-0.7813981086593732</v>
      </c>
    </row>
    <row r="98" spans="1:26" s="24" customFormat="1" hidden="1" outlineLevel="2" x14ac:dyDescent="0.25">
      <c r="A98" s="26"/>
      <c r="B98" s="11" t="str">
        <f>CONCATENATE("          ", "6258", " - ", "MEMBERSHIP DUES")</f>
        <v xml:space="preserve">          6258 - MEMBERSHIP DUES</v>
      </c>
      <c r="C98" s="11"/>
      <c r="D98" s="6"/>
      <c r="E98" s="2"/>
      <c r="F98" s="7">
        <f t="shared" si="71"/>
        <v>0</v>
      </c>
      <c r="G98" s="2"/>
      <c r="H98" s="6"/>
      <c r="I98" s="2"/>
      <c r="J98" s="7">
        <f t="shared" si="72"/>
        <v>0</v>
      </c>
      <c r="K98" s="2"/>
      <c r="L98" s="6">
        <f t="shared" si="73"/>
        <v>0</v>
      </c>
      <c r="M98" s="2"/>
      <c r="N98" s="7">
        <f t="shared" si="74"/>
        <v>0</v>
      </c>
      <c r="O98" s="11"/>
      <c r="P98" s="6"/>
      <c r="Q98" s="2"/>
      <c r="R98" s="7">
        <f t="shared" si="75"/>
        <v>0</v>
      </c>
      <c r="S98" s="2"/>
      <c r="T98" s="6">
        <v>900</v>
      </c>
      <c r="U98" s="2"/>
      <c r="V98" s="7">
        <f t="shared" si="76"/>
        <v>1.0636361702479691E-3</v>
      </c>
      <c r="W98" s="2"/>
      <c r="X98" s="6">
        <f t="shared" si="77"/>
        <v>-900</v>
      </c>
      <c r="Y98" s="2"/>
      <c r="Z98" s="7">
        <f t="shared" si="78"/>
        <v>-1</v>
      </c>
    </row>
    <row r="99" spans="1:26" s="24" customFormat="1" hidden="1" outlineLevel="2" x14ac:dyDescent="0.25">
      <c r="A99" s="26"/>
      <c r="B99" s="11" t="str">
        <f>CONCATENATE("          ", "6275", " - ", "SUBSCRIPTIONS")</f>
        <v xml:space="preserve">          6275 - SUBSCRIPTIONS</v>
      </c>
      <c r="C99" s="11"/>
      <c r="D99" s="6">
        <v>130.66999999999999</v>
      </c>
      <c r="E99" s="2"/>
      <c r="F99" s="7">
        <f t="shared" si="71"/>
        <v>1.9582290428130878E-3</v>
      </c>
      <c r="G99" s="2"/>
      <c r="H99" s="6">
        <v>376</v>
      </c>
      <c r="I99" s="2"/>
      <c r="J99" s="7">
        <f t="shared" si="72"/>
        <v>1.6252431381024422E-2</v>
      </c>
      <c r="K99" s="2"/>
      <c r="L99" s="6">
        <f t="shared" si="73"/>
        <v>-245.33</v>
      </c>
      <c r="M99" s="2"/>
      <c r="N99" s="7">
        <f t="shared" si="74"/>
        <v>-0.65247340425531919</v>
      </c>
      <c r="O99" s="11"/>
      <c r="P99" s="6">
        <v>1178.92</v>
      </c>
      <c r="Q99" s="2"/>
      <c r="R99" s="7">
        <f t="shared" si="75"/>
        <v>2.0050320024142293E-3</v>
      </c>
      <c r="S99" s="2"/>
      <c r="T99" s="6">
        <v>4493</v>
      </c>
      <c r="U99" s="2"/>
      <c r="V99" s="7">
        <f t="shared" si="76"/>
        <v>5.30990812547125E-3</v>
      </c>
      <c r="W99" s="2"/>
      <c r="X99" s="6">
        <f t="shared" si="77"/>
        <v>-3314.08</v>
      </c>
      <c r="Y99" s="2"/>
      <c r="Z99" s="7">
        <f t="shared" si="78"/>
        <v>-0.73760961495659916</v>
      </c>
    </row>
    <row r="100" spans="1:26" s="27" customFormat="1" outlineLevel="1" collapsed="1" x14ac:dyDescent="0.25">
      <c r="A100" s="25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SUM(OSRRefD22_18x_0)</f>
        <v>1120.47</v>
      </c>
      <c r="E100" s="1"/>
      <c r="F100" s="5">
        <f t="shared" ref="F100:F111" si="79">IF(D$12=0,0,D100/D$12)</f>
        <v>1.679143564399465E-2</v>
      </c>
      <c r="G100" s="1"/>
      <c r="H100" s="1">
        <f>SUM(OSRRefH22_18x_0)</f>
        <v>1385</v>
      </c>
      <c r="I100" s="1"/>
      <c r="J100" s="5">
        <f t="shared" ref="J100:J111" si="80">IF(H$12=0,0,H100/H$12)</f>
        <v>5.9866003890209636E-2</v>
      </c>
      <c r="K100" s="1"/>
      <c r="L100" s="1">
        <f t="shared" ref="L100:L111" si="81">+D100-H100</f>
        <v>-264.52999999999997</v>
      </c>
      <c r="M100" s="1"/>
      <c r="N100" s="5">
        <f t="shared" ref="N100:N111" si="82">IF(H100=0,0,L100/H100)</f>
        <v>-0.19099638989169673</v>
      </c>
      <c r="O100" s="13"/>
      <c r="P100" s="1">
        <f>SUM(OSRRefP22_18x_0)</f>
        <v>-18437.830000000002</v>
      </c>
      <c r="Q100" s="1"/>
      <c r="R100" s="5">
        <f t="shared" ref="R100:R111" si="83">IF(P$12=0,0,P100/P$12)</f>
        <v>-3.1357886205232881E-2</v>
      </c>
      <c r="S100" s="1"/>
      <c r="T100" s="1">
        <f>SUM(OSRRefT22_18x_0)</f>
        <v>48318</v>
      </c>
      <c r="U100" s="1"/>
      <c r="V100" s="5">
        <f t="shared" ref="V100:V111" si="84">IF(T$12=0,0,T100/T$12)</f>
        <v>5.7103080526712632E-2</v>
      </c>
      <c r="W100" s="1"/>
      <c r="X100" s="1">
        <f t="shared" ref="X100:X111" si="85">+P100-T100</f>
        <v>-66755.83</v>
      </c>
      <c r="Y100" s="1"/>
      <c r="Z100" s="5">
        <f t="shared" ref="Z100:Z111" si="86">IF(T100=0,0,X100/T100)</f>
        <v>-1.3815934020447866</v>
      </c>
    </row>
    <row r="101" spans="1:26" s="24" customFormat="1" hidden="1" outlineLevel="2" x14ac:dyDescent="0.25">
      <c r="A101" s="26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>
        <v>-1048.8</v>
      </c>
      <c r="E101" s="2"/>
      <c r="F101" s="7">
        <f t="shared" si="79"/>
        <v>-1.5717384404242495E-2</v>
      </c>
      <c r="G101" s="2"/>
      <c r="H101" s="6"/>
      <c r="I101" s="2"/>
      <c r="J101" s="7">
        <f t="shared" si="80"/>
        <v>0</v>
      </c>
      <c r="K101" s="2"/>
      <c r="L101" s="6">
        <f t="shared" si="81"/>
        <v>-1048.8</v>
      </c>
      <c r="M101" s="2"/>
      <c r="N101" s="7">
        <f t="shared" si="82"/>
        <v>0</v>
      </c>
      <c r="O101" s="11"/>
      <c r="P101" s="6">
        <v>-394.97</v>
      </c>
      <c r="Q101" s="2"/>
      <c r="R101" s="7">
        <f t="shared" si="83"/>
        <v>-6.7173980422212539E-4</v>
      </c>
      <c r="S101" s="2"/>
      <c r="T101" s="6">
        <v>1104</v>
      </c>
      <c r="U101" s="2"/>
      <c r="V101" s="7">
        <f t="shared" si="84"/>
        <v>1.3047270355041754E-3</v>
      </c>
      <c r="W101" s="2"/>
      <c r="X101" s="6">
        <f t="shared" si="85"/>
        <v>-1498.97</v>
      </c>
      <c r="Y101" s="2"/>
      <c r="Z101" s="7">
        <f t="shared" si="86"/>
        <v>-1.3577626811594203</v>
      </c>
    </row>
    <row r="102" spans="1:26" s="24" customFormat="1" hidden="1" outlineLevel="2" x14ac:dyDescent="0.25">
      <c r="A102" s="26"/>
      <c r="B102" s="11" t="str">
        <f>CONCATENATE("          ", "6235", " - ", "COVID-19 EXPENSES")</f>
        <v xml:space="preserve">          6235 - COVID-19 EXPENSES</v>
      </c>
      <c r="C102" s="11"/>
      <c r="D102" s="6"/>
      <c r="E102" s="2"/>
      <c r="F102" s="7">
        <f t="shared" si="79"/>
        <v>0</v>
      </c>
      <c r="G102" s="2"/>
      <c r="H102" s="6">
        <v>300</v>
      </c>
      <c r="I102" s="2"/>
      <c r="J102" s="7">
        <f t="shared" si="80"/>
        <v>1.2967365463583316E-2</v>
      </c>
      <c r="K102" s="2"/>
      <c r="L102" s="6">
        <f t="shared" si="81"/>
        <v>-300</v>
      </c>
      <c r="M102" s="2"/>
      <c r="N102" s="7">
        <f t="shared" si="82"/>
        <v>-1</v>
      </c>
      <c r="O102" s="11"/>
      <c r="P102" s="6">
        <v>7154.58</v>
      </c>
      <c r="Q102" s="2"/>
      <c r="R102" s="7">
        <f t="shared" si="83"/>
        <v>1.2168053696461843E-2</v>
      </c>
      <c r="S102" s="2"/>
      <c r="T102" s="6">
        <v>5100</v>
      </c>
      <c r="U102" s="2"/>
      <c r="V102" s="7">
        <f t="shared" si="84"/>
        <v>6.027271631405158E-3</v>
      </c>
      <c r="W102" s="2"/>
      <c r="X102" s="6">
        <f t="shared" si="85"/>
        <v>2054.58</v>
      </c>
      <c r="Y102" s="2"/>
      <c r="Z102" s="7">
        <f t="shared" si="86"/>
        <v>0.40285882352941177</v>
      </c>
    </row>
    <row r="103" spans="1:26" s="24" customFormat="1" hidden="1" outlineLevel="2" x14ac:dyDescent="0.25">
      <c r="A103" s="26"/>
      <c r="B103" s="11" t="str">
        <f>CONCATENATE("          ", "6237", " - ", "JANITORIAL SUPPLIES")</f>
        <v xml:space="preserve">          6237 - JANITORIAL SUPPLIES</v>
      </c>
      <c r="C103" s="11"/>
      <c r="D103" s="6">
        <v>363.7</v>
      </c>
      <c r="E103" s="2"/>
      <c r="F103" s="7">
        <f t="shared" si="79"/>
        <v>5.4504316436146021E-3</v>
      </c>
      <c r="G103" s="2"/>
      <c r="H103" s="6">
        <v>500</v>
      </c>
      <c r="I103" s="2"/>
      <c r="J103" s="7">
        <f t="shared" si="80"/>
        <v>2.1612275772638859E-2</v>
      </c>
      <c r="K103" s="2"/>
      <c r="L103" s="6">
        <f t="shared" si="81"/>
        <v>-136.30000000000001</v>
      </c>
      <c r="M103" s="2"/>
      <c r="N103" s="7">
        <f t="shared" si="82"/>
        <v>-0.27260000000000001</v>
      </c>
      <c r="O103" s="11"/>
      <c r="P103" s="6">
        <v>1010.18</v>
      </c>
      <c r="Q103" s="2"/>
      <c r="R103" s="7">
        <f t="shared" si="83"/>
        <v>1.7180497643595883E-3</v>
      </c>
      <c r="S103" s="2"/>
      <c r="T103" s="6">
        <v>11673</v>
      </c>
      <c r="U103" s="2"/>
      <c r="V103" s="7">
        <f t="shared" si="84"/>
        <v>1.3795361128116159E-2</v>
      </c>
      <c r="W103" s="2"/>
      <c r="X103" s="6">
        <f t="shared" si="85"/>
        <v>-10662.82</v>
      </c>
      <c r="Y103" s="2"/>
      <c r="Z103" s="7">
        <f t="shared" si="86"/>
        <v>-0.91346012164824808</v>
      </c>
    </row>
    <row r="104" spans="1:26" s="24" customFormat="1" hidden="1" outlineLevel="2" x14ac:dyDescent="0.25">
      <c r="A104" s="26"/>
      <c r="B104" s="11" t="str">
        <f>CONCATENATE("          ", "6239", " - ", "KITCHEN SUPPLIES")</f>
        <v xml:space="preserve">          6239 - KITCHEN SUPPLIES</v>
      </c>
      <c r="C104" s="11"/>
      <c r="D104" s="6">
        <v>1798.78</v>
      </c>
      <c r="E104" s="2"/>
      <c r="F104" s="7">
        <f t="shared" si="79"/>
        <v>2.6956633026948239E-2</v>
      </c>
      <c r="G104" s="2"/>
      <c r="H104" s="6">
        <v>50</v>
      </c>
      <c r="I104" s="2"/>
      <c r="J104" s="7">
        <f t="shared" si="80"/>
        <v>2.1612275772638859E-3</v>
      </c>
      <c r="K104" s="2"/>
      <c r="L104" s="6">
        <f t="shared" si="81"/>
        <v>1748.78</v>
      </c>
      <c r="M104" s="2"/>
      <c r="N104" s="7">
        <f t="shared" si="82"/>
        <v>34.9756</v>
      </c>
      <c r="O104" s="11"/>
      <c r="P104" s="6">
        <v>1818.61</v>
      </c>
      <c r="Q104" s="2"/>
      <c r="R104" s="7">
        <f t="shared" si="83"/>
        <v>3.0929759864202328E-3</v>
      </c>
      <c r="S104" s="2"/>
      <c r="T104" s="6">
        <v>543</v>
      </c>
      <c r="U104" s="2"/>
      <c r="V104" s="7">
        <f t="shared" si="84"/>
        <v>6.4172715604960795E-4</v>
      </c>
      <c r="W104" s="2"/>
      <c r="X104" s="6">
        <f t="shared" si="85"/>
        <v>1275.6099999999999</v>
      </c>
      <c r="Y104" s="2"/>
      <c r="Z104" s="7">
        <f t="shared" si="86"/>
        <v>2.3491896869244933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6.79</v>
      </c>
      <c r="E105" s="2"/>
      <c r="F105" s="7">
        <f t="shared" si="79"/>
        <v>1.0175537767430066E-4</v>
      </c>
      <c r="G105" s="2"/>
      <c r="H105" s="6">
        <v>125</v>
      </c>
      <c r="I105" s="2"/>
      <c r="J105" s="7">
        <f t="shared" si="80"/>
        <v>5.4030689431597148E-3</v>
      </c>
      <c r="K105" s="2"/>
      <c r="L105" s="6">
        <f t="shared" si="81"/>
        <v>-118.21</v>
      </c>
      <c r="M105" s="2"/>
      <c r="N105" s="7">
        <f t="shared" si="82"/>
        <v>-0.94567999999999997</v>
      </c>
      <c r="O105" s="11"/>
      <c r="P105" s="6">
        <v>-28402.84</v>
      </c>
      <c r="Q105" s="2"/>
      <c r="R105" s="7">
        <f t="shared" si="83"/>
        <v>-4.8305740134573137E-2</v>
      </c>
      <c r="S105" s="2"/>
      <c r="T105" s="6">
        <v>5862</v>
      </c>
      <c r="U105" s="2"/>
      <c r="V105" s="7">
        <f t="shared" si="84"/>
        <v>6.9278169222151053E-3</v>
      </c>
      <c r="W105" s="2"/>
      <c r="X105" s="6">
        <f t="shared" si="85"/>
        <v>-34264.839999999997</v>
      </c>
      <c r="Y105" s="2"/>
      <c r="Z105" s="7">
        <f t="shared" si="86"/>
        <v>-5.845247355851245</v>
      </c>
    </row>
    <row r="106" spans="1:26" s="24" customFormat="1" hidden="1" outlineLevel="2" x14ac:dyDescent="0.25">
      <c r="A106" s="26"/>
      <c r="B106" s="11" t="str">
        <f>CONCATENATE("          ", "6243", " - ", "PAPER SUPPLIES")</f>
        <v xml:space="preserve">          6243 - PAPER SUPPLIES</v>
      </c>
      <c r="C106" s="11"/>
      <c r="D106" s="6"/>
      <c r="E106" s="2"/>
      <c r="F106" s="7">
        <f t="shared" si="79"/>
        <v>0</v>
      </c>
      <c r="G106" s="2"/>
      <c r="H106" s="6">
        <v>0</v>
      </c>
      <c r="I106" s="2"/>
      <c r="J106" s="7">
        <f t="shared" si="80"/>
        <v>0</v>
      </c>
      <c r="K106" s="2"/>
      <c r="L106" s="6">
        <f t="shared" si="81"/>
        <v>0</v>
      </c>
      <c r="M106" s="2"/>
      <c r="N106" s="7">
        <f t="shared" si="82"/>
        <v>0</v>
      </c>
      <c r="O106" s="11"/>
      <c r="P106" s="6">
        <v>255.33</v>
      </c>
      <c r="Q106" s="2"/>
      <c r="R106" s="7">
        <f t="shared" si="83"/>
        <v>4.3424899159945129E-4</v>
      </c>
      <c r="S106" s="2"/>
      <c r="T106" s="6">
        <v>7826</v>
      </c>
      <c r="U106" s="2"/>
      <c r="V106" s="7">
        <f t="shared" si="84"/>
        <v>9.2489074092895612E-3</v>
      </c>
      <c r="W106" s="2"/>
      <c r="X106" s="6">
        <f t="shared" si="85"/>
        <v>-7570.67</v>
      </c>
      <c r="Y106" s="2"/>
      <c r="Z106" s="7">
        <f t="shared" si="86"/>
        <v>-0.96737413749041656</v>
      </c>
    </row>
    <row r="107" spans="1:26" s="24" customFormat="1" hidden="1" outlineLevel="2" x14ac:dyDescent="0.25">
      <c r="A107" s="26"/>
      <c r="B107" s="11" t="str">
        <f>CONCATENATE("          ", "6244", " - ", "SAFETY SUPPLY EXPENSE")</f>
        <v xml:space="preserve">          6244 - SAFETY SUPPLY EXPENSE</v>
      </c>
      <c r="C107" s="11"/>
      <c r="D107" s="6"/>
      <c r="E107" s="2"/>
      <c r="F107" s="7">
        <f t="shared" si="79"/>
        <v>0</v>
      </c>
      <c r="G107" s="2"/>
      <c r="H107" s="6">
        <v>0</v>
      </c>
      <c r="I107" s="2"/>
      <c r="J107" s="7">
        <f t="shared" si="80"/>
        <v>0</v>
      </c>
      <c r="K107" s="2"/>
      <c r="L107" s="6">
        <f t="shared" si="81"/>
        <v>0</v>
      </c>
      <c r="M107" s="2"/>
      <c r="N107" s="7">
        <f t="shared" si="82"/>
        <v>0</v>
      </c>
      <c r="O107" s="11"/>
      <c r="P107" s="6"/>
      <c r="Q107" s="2"/>
      <c r="R107" s="7">
        <f t="shared" si="83"/>
        <v>0</v>
      </c>
      <c r="S107" s="2"/>
      <c r="T107" s="6">
        <v>0</v>
      </c>
      <c r="U107" s="2"/>
      <c r="V107" s="7">
        <f t="shared" si="84"/>
        <v>0</v>
      </c>
      <c r="W107" s="2"/>
      <c r="X107" s="6">
        <f t="shared" si="85"/>
        <v>0</v>
      </c>
      <c r="Y107" s="2"/>
      <c r="Z107" s="7">
        <f t="shared" si="86"/>
        <v>0</v>
      </c>
    </row>
    <row r="108" spans="1:26" s="24" customFormat="1" hidden="1" outlineLevel="2" x14ac:dyDescent="0.25">
      <c r="A108" s="26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79"/>
        <v>0</v>
      </c>
      <c r="G108" s="2"/>
      <c r="H108" s="6">
        <v>0</v>
      </c>
      <c r="I108" s="2"/>
      <c r="J108" s="7">
        <f t="shared" si="80"/>
        <v>0</v>
      </c>
      <c r="K108" s="2"/>
      <c r="L108" s="6">
        <f t="shared" si="81"/>
        <v>0</v>
      </c>
      <c r="M108" s="2"/>
      <c r="N108" s="7">
        <f t="shared" si="82"/>
        <v>0</v>
      </c>
      <c r="O108" s="11"/>
      <c r="P108" s="6"/>
      <c r="Q108" s="2"/>
      <c r="R108" s="7">
        <f t="shared" si="83"/>
        <v>0</v>
      </c>
      <c r="S108" s="2"/>
      <c r="T108" s="6">
        <v>0</v>
      </c>
      <c r="U108" s="2"/>
      <c r="V108" s="7">
        <f t="shared" si="84"/>
        <v>0</v>
      </c>
      <c r="W108" s="2"/>
      <c r="X108" s="6">
        <f t="shared" si="85"/>
        <v>0</v>
      </c>
      <c r="Y108" s="2"/>
      <c r="Z108" s="7">
        <f t="shared" si="86"/>
        <v>0</v>
      </c>
    </row>
    <row r="109" spans="1:26" s="24" customFormat="1" hidden="1" outlineLevel="2" x14ac:dyDescent="0.25">
      <c r="A109" s="26"/>
      <c r="B109" s="11" t="str">
        <f>CONCATENATE("          ", "6246", " - ", "REPLACEMENTS")</f>
        <v xml:space="preserve">          6246 - REPLACEMENTS</v>
      </c>
      <c r="C109" s="11"/>
      <c r="D109" s="6"/>
      <c r="E109" s="2"/>
      <c r="F109" s="7">
        <f t="shared" si="79"/>
        <v>0</v>
      </c>
      <c r="G109" s="2"/>
      <c r="H109" s="6">
        <v>0</v>
      </c>
      <c r="I109" s="2"/>
      <c r="J109" s="7">
        <f t="shared" si="80"/>
        <v>0</v>
      </c>
      <c r="K109" s="2"/>
      <c r="L109" s="6">
        <f t="shared" si="81"/>
        <v>0</v>
      </c>
      <c r="M109" s="2"/>
      <c r="N109" s="7">
        <f t="shared" si="82"/>
        <v>0</v>
      </c>
      <c r="O109" s="11"/>
      <c r="P109" s="6"/>
      <c r="Q109" s="2"/>
      <c r="R109" s="7">
        <f t="shared" si="83"/>
        <v>0</v>
      </c>
      <c r="S109" s="2"/>
      <c r="T109" s="6">
        <v>0</v>
      </c>
      <c r="U109" s="2"/>
      <c r="V109" s="7">
        <f t="shared" si="84"/>
        <v>0</v>
      </c>
      <c r="W109" s="2"/>
      <c r="X109" s="6">
        <f t="shared" si="85"/>
        <v>0</v>
      </c>
      <c r="Y109" s="2"/>
      <c r="Z109" s="7">
        <f t="shared" si="86"/>
        <v>0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79"/>
        <v>0</v>
      </c>
      <c r="G110" s="2"/>
      <c r="H110" s="6">
        <v>410</v>
      </c>
      <c r="I110" s="2"/>
      <c r="J110" s="7">
        <f t="shared" si="80"/>
        <v>1.7722066133563863E-2</v>
      </c>
      <c r="K110" s="2"/>
      <c r="L110" s="6">
        <f t="shared" si="81"/>
        <v>-410</v>
      </c>
      <c r="M110" s="2"/>
      <c r="N110" s="7">
        <f t="shared" si="82"/>
        <v>-1</v>
      </c>
      <c r="O110" s="11"/>
      <c r="P110" s="6">
        <v>121.28</v>
      </c>
      <c r="Q110" s="2"/>
      <c r="R110" s="7">
        <f t="shared" si="83"/>
        <v>2.0626529472126838E-4</v>
      </c>
      <c r="S110" s="2"/>
      <c r="T110" s="6">
        <v>15995</v>
      </c>
      <c r="U110" s="2"/>
      <c r="V110" s="7">
        <f t="shared" si="84"/>
        <v>1.8903178381240296E-2</v>
      </c>
      <c r="W110" s="2"/>
      <c r="X110" s="6">
        <f t="shared" si="85"/>
        <v>-15873.72</v>
      </c>
      <c r="Y110" s="2"/>
      <c r="Z110" s="7">
        <f t="shared" si="86"/>
        <v>-0.99241763050953424</v>
      </c>
    </row>
    <row r="111" spans="1:26" s="24" customFormat="1" hidden="1" outlineLevel="2" x14ac:dyDescent="0.25">
      <c r="A111" s="26"/>
      <c r="B111" s="11" t="str">
        <f>CONCATENATE("          ", "6248", " - ", "UNIFORMS")</f>
        <v xml:space="preserve">          6248 - UNIFORMS</v>
      </c>
      <c r="C111" s="11"/>
      <c r="D111" s="6"/>
      <c r="E111" s="2"/>
      <c r="F111" s="7">
        <f t="shared" si="79"/>
        <v>0</v>
      </c>
      <c r="G111" s="2"/>
      <c r="H111" s="6"/>
      <c r="I111" s="2"/>
      <c r="J111" s="7">
        <f t="shared" si="80"/>
        <v>0</v>
      </c>
      <c r="K111" s="2"/>
      <c r="L111" s="6">
        <f t="shared" si="81"/>
        <v>0</v>
      </c>
      <c r="M111" s="2"/>
      <c r="N111" s="7">
        <f t="shared" si="82"/>
        <v>0</v>
      </c>
      <c r="O111" s="11"/>
      <c r="P111" s="6"/>
      <c r="Q111" s="2"/>
      <c r="R111" s="7">
        <f t="shared" si="83"/>
        <v>0</v>
      </c>
      <c r="S111" s="2"/>
      <c r="T111" s="6">
        <v>215</v>
      </c>
      <c r="U111" s="2"/>
      <c r="V111" s="7">
        <f t="shared" si="84"/>
        <v>2.5409086289257039E-4</v>
      </c>
      <c r="W111" s="2"/>
      <c r="X111" s="6">
        <f t="shared" si="85"/>
        <v>-215</v>
      </c>
      <c r="Y111" s="2"/>
      <c r="Z111" s="7">
        <f t="shared" si="86"/>
        <v>-1</v>
      </c>
    </row>
    <row r="112" spans="1:26" s="27" customFormat="1" outlineLevel="1" collapsed="1" x14ac:dyDescent="0.25">
      <c r="A112" s="25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SUM(OSRRefD22_19x_0)</f>
        <v>1175.05</v>
      </c>
      <c r="E112" s="1"/>
      <c r="F112" s="5">
        <f t="shared" ref="F112:F114" si="87">IF(D$12=0,0,D112/D$12)</f>
        <v>1.7609375042148306E-2</v>
      </c>
      <c r="G112" s="1"/>
      <c r="H112" s="1">
        <f>SUM(OSRRefH22_19x_0)</f>
        <v>620</v>
      </c>
      <c r="I112" s="1"/>
      <c r="J112" s="5">
        <f t="shared" ref="J112:J114" si="88">IF(H$12=0,0,H112/H$12)</f>
        <v>2.6799221958072186E-2</v>
      </c>
      <c r="K112" s="1"/>
      <c r="L112" s="1">
        <f t="shared" ref="L112:L114" si="89">+D112-H112</f>
        <v>555.04999999999995</v>
      </c>
      <c r="M112" s="1"/>
      <c r="N112" s="5">
        <f t="shared" ref="N112:N114" si="90">IF(H112=0,0,L112/H112)</f>
        <v>0.89524193548387088</v>
      </c>
      <c r="O112" s="13"/>
      <c r="P112" s="1">
        <f>SUM(OSRRefP22_19x_0)</f>
        <v>10975.25</v>
      </c>
      <c r="Q112" s="1"/>
      <c r="R112" s="5">
        <f t="shared" ref="R112:R114" si="91">IF(P$12=0,0,P112/P$12)</f>
        <v>1.8666005737875996E-2</v>
      </c>
      <c r="S112" s="1"/>
      <c r="T112" s="1">
        <f>SUM(OSRRefT22_19x_0)</f>
        <v>7477</v>
      </c>
      <c r="U112" s="1"/>
      <c r="V112" s="5">
        <f t="shared" ref="V112:V114" si="92">IF(T$12=0,0,T112/T$12)</f>
        <v>8.8364529388267384E-3</v>
      </c>
      <c r="W112" s="1"/>
      <c r="X112" s="1">
        <f t="shared" ref="X112:X114" si="93">+P112-T112</f>
        <v>3498.25</v>
      </c>
      <c r="Y112" s="1"/>
      <c r="Z112" s="5">
        <f t="shared" ref="Z112:Z114" si="94">IF(T112=0,0,X112/T112)</f>
        <v>0.46786812892871471</v>
      </c>
    </row>
    <row r="113" spans="1:26" s="24" customFormat="1" hidden="1" outlineLevel="2" x14ac:dyDescent="0.25">
      <c r="A113" s="26"/>
      <c r="B113" s="11" t="str">
        <f>CONCATENATE("          ", "6303", " - ", "DATA PHONE LINES")</f>
        <v xml:space="preserve">          6303 - DATA PHONE LINES</v>
      </c>
      <c r="C113" s="11"/>
      <c r="D113" s="6"/>
      <c r="E113" s="2"/>
      <c r="F113" s="7">
        <f t="shared" si="87"/>
        <v>0</v>
      </c>
      <c r="G113" s="2"/>
      <c r="H113" s="6">
        <v>370</v>
      </c>
      <c r="I113" s="2"/>
      <c r="J113" s="7">
        <f t="shared" si="88"/>
        <v>1.5993084071752754E-2</v>
      </c>
      <c r="K113" s="2"/>
      <c r="L113" s="6">
        <f t="shared" si="89"/>
        <v>-370</v>
      </c>
      <c r="M113" s="2"/>
      <c r="N113" s="7">
        <f t="shared" si="90"/>
        <v>-1</v>
      </c>
      <c r="O113" s="11"/>
      <c r="P113" s="6"/>
      <c r="Q113" s="2"/>
      <c r="R113" s="7">
        <f t="shared" si="91"/>
        <v>0</v>
      </c>
      <c r="S113" s="2"/>
      <c r="T113" s="6">
        <v>4477</v>
      </c>
      <c r="U113" s="2"/>
      <c r="V113" s="7">
        <f t="shared" si="92"/>
        <v>5.2909990380001753E-3</v>
      </c>
      <c r="W113" s="2"/>
      <c r="X113" s="6">
        <f t="shared" si="93"/>
        <v>-4477</v>
      </c>
      <c r="Y113" s="2"/>
      <c r="Z113" s="7">
        <f t="shared" si="94"/>
        <v>-1</v>
      </c>
    </row>
    <row r="114" spans="1:26" s="24" customFormat="1" hidden="1" outlineLevel="2" x14ac:dyDescent="0.25">
      <c r="A114" s="26"/>
      <c r="B114" s="11" t="str">
        <f>CONCATENATE("          ", "6309", " - ", "TELEPHONE")</f>
        <v xml:space="preserve">          6309 - TELEPHONE</v>
      </c>
      <c r="C114" s="11"/>
      <c r="D114" s="6">
        <v>1175.05</v>
      </c>
      <c r="E114" s="2"/>
      <c r="F114" s="7">
        <f t="shared" si="87"/>
        <v>1.7609375042148306E-2</v>
      </c>
      <c r="G114" s="2"/>
      <c r="H114" s="6">
        <v>250</v>
      </c>
      <c r="I114" s="2"/>
      <c r="J114" s="7">
        <f t="shared" si="88"/>
        <v>1.080613788631943E-2</v>
      </c>
      <c r="K114" s="2"/>
      <c r="L114" s="6">
        <f t="shared" si="89"/>
        <v>925.05</v>
      </c>
      <c r="M114" s="2"/>
      <c r="N114" s="7">
        <f t="shared" si="90"/>
        <v>3.7001999999999997</v>
      </c>
      <c r="O114" s="11"/>
      <c r="P114" s="6">
        <v>10975.25</v>
      </c>
      <c r="Q114" s="2"/>
      <c r="R114" s="7">
        <f t="shared" si="91"/>
        <v>1.8666005737875996E-2</v>
      </c>
      <c r="S114" s="2"/>
      <c r="T114" s="6">
        <v>3000</v>
      </c>
      <c r="U114" s="2"/>
      <c r="V114" s="7">
        <f t="shared" si="92"/>
        <v>3.5454539008265636E-3</v>
      </c>
      <c r="W114" s="2"/>
      <c r="X114" s="6">
        <f t="shared" si="93"/>
        <v>7975.25</v>
      </c>
      <c r="Y114" s="2"/>
      <c r="Z114" s="7">
        <f t="shared" si="94"/>
        <v>2.6584166666666667</v>
      </c>
    </row>
    <row r="115" spans="1:26" s="27" customFormat="1" outlineLevel="1" collapsed="1" x14ac:dyDescent="0.25">
      <c r="A115" s="25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SUM(OSRRefD22_20x_0)</f>
        <v>12.99</v>
      </c>
      <c r="E115" s="1"/>
      <c r="F115" s="5">
        <f t="shared" ref="F115:F120" si="95">IF(D$12=0,0,D115/D$12)</f>
        <v>1.94668977317992E-4</v>
      </c>
      <c r="G115" s="1"/>
      <c r="H115" s="1">
        <f>SUM(OSRRefH22_20x_0)</f>
        <v>0</v>
      </c>
      <c r="I115" s="1"/>
      <c r="J115" s="5">
        <f t="shared" ref="J115:J120" si="96">IF(H$12=0,0,H115/H$12)</f>
        <v>0</v>
      </c>
      <c r="K115" s="1"/>
      <c r="L115" s="1">
        <f t="shared" ref="L115:L120" si="97">+D115-H115</f>
        <v>12.99</v>
      </c>
      <c r="M115" s="1"/>
      <c r="N115" s="5">
        <f t="shared" ref="N115:N120" si="98">IF(H115=0,0,L115/H115)</f>
        <v>0</v>
      </c>
      <c r="O115" s="13"/>
      <c r="P115" s="1">
        <f>SUM(OSRRefP22_20x_0)</f>
        <v>412.99</v>
      </c>
      <c r="Q115" s="1"/>
      <c r="R115" s="5">
        <f t="shared" ref="R115:R120" si="99">IF(P$12=0,0,P115/P$12)</f>
        <v>7.0238707179202367E-4</v>
      </c>
      <c r="S115" s="1"/>
      <c r="T115" s="1">
        <f>SUM(OSRRefT22_20x_0)</f>
        <v>240</v>
      </c>
      <c r="U115" s="1"/>
      <c r="V115" s="5">
        <f t="shared" ref="V115:V120" si="100">IF(T$12=0,0,T115/T$12)</f>
        <v>2.8363631206612509E-4</v>
      </c>
      <c r="W115" s="1"/>
      <c r="X115" s="1">
        <f t="shared" ref="X115:X120" si="101">+P115-T115</f>
        <v>172.99</v>
      </c>
      <c r="Y115" s="1"/>
      <c r="Z115" s="5">
        <f t="shared" ref="Z115:Z120" si="102">IF(T115=0,0,X115/T115)</f>
        <v>0.72079166666666672</v>
      </c>
    </row>
    <row r="116" spans="1:26" s="24" customFormat="1" hidden="1" outlineLevel="2" x14ac:dyDescent="0.25">
      <c r="A116" s="26"/>
      <c r="B116" s="11" t="str">
        <f>CONCATENATE("          ", "6376", " - ", "TRAINING")</f>
        <v xml:space="preserve">          6376 - TRAINING</v>
      </c>
      <c r="C116" s="11"/>
      <c r="D116" s="6">
        <v>12.99</v>
      </c>
      <c r="E116" s="2"/>
      <c r="F116" s="7">
        <f t="shared" si="95"/>
        <v>1.94668977317992E-4</v>
      </c>
      <c r="G116" s="2"/>
      <c r="H116" s="6">
        <v>0</v>
      </c>
      <c r="I116" s="2"/>
      <c r="J116" s="7">
        <f t="shared" si="96"/>
        <v>0</v>
      </c>
      <c r="K116" s="2"/>
      <c r="L116" s="6">
        <f t="shared" si="97"/>
        <v>12.99</v>
      </c>
      <c r="M116" s="2"/>
      <c r="N116" s="7">
        <f t="shared" si="98"/>
        <v>0</v>
      </c>
      <c r="O116" s="11"/>
      <c r="P116" s="6">
        <v>412.99</v>
      </c>
      <c r="Q116" s="2"/>
      <c r="R116" s="7">
        <f t="shared" si="99"/>
        <v>7.0238707179202367E-4</v>
      </c>
      <c r="S116" s="2"/>
      <c r="T116" s="6">
        <v>240</v>
      </c>
      <c r="U116" s="2"/>
      <c r="V116" s="7">
        <f t="shared" si="100"/>
        <v>2.8363631206612509E-4</v>
      </c>
      <c r="W116" s="2"/>
      <c r="X116" s="6">
        <f t="shared" si="101"/>
        <v>172.99</v>
      </c>
      <c r="Y116" s="2"/>
      <c r="Z116" s="7">
        <f t="shared" si="102"/>
        <v>0.72079166666666672</v>
      </c>
    </row>
    <row r="117" spans="1:26" s="27" customFormat="1" outlineLevel="1" collapsed="1" x14ac:dyDescent="0.25">
      <c r="A117" s="25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SUM(OSRRefD22_21x_0)</f>
        <v>0</v>
      </c>
      <c r="E117" s="1"/>
      <c r="F117" s="5">
        <f t="shared" si="95"/>
        <v>0</v>
      </c>
      <c r="G117" s="1"/>
      <c r="H117" s="1">
        <f>SUM(OSRRefH22_21x_0)</f>
        <v>0</v>
      </c>
      <c r="I117" s="1"/>
      <c r="J117" s="5">
        <f t="shared" si="96"/>
        <v>0</v>
      </c>
      <c r="K117" s="1"/>
      <c r="L117" s="1">
        <f t="shared" si="97"/>
        <v>0</v>
      </c>
      <c r="M117" s="1"/>
      <c r="N117" s="5">
        <f t="shared" si="98"/>
        <v>0</v>
      </c>
      <c r="O117" s="13"/>
      <c r="P117" s="1">
        <f>SUM(OSRRefP22_21x_0)</f>
        <v>332.21</v>
      </c>
      <c r="Q117" s="1"/>
      <c r="R117" s="5">
        <f t="shared" si="99"/>
        <v>5.6500159597091496E-4</v>
      </c>
      <c r="S117" s="1"/>
      <c r="T117" s="1">
        <f>SUM(OSRRefT22_21x_0)</f>
        <v>1500</v>
      </c>
      <c r="U117" s="1"/>
      <c r="V117" s="5">
        <f t="shared" si="100"/>
        <v>1.7727269504132818E-3</v>
      </c>
      <c r="W117" s="1"/>
      <c r="X117" s="1">
        <f t="shared" si="101"/>
        <v>-1167.79</v>
      </c>
      <c r="Y117" s="1"/>
      <c r="Z117" s="5">
        <f t="shared" si="102"/>
        <v>-0.77852666666666659</v>
      </c>
    </row>
    <row r="118" spans="1:26" s="24" customFormat="1" hidden="1" outlineLevel="2" x14ac:dyDescent="0.25">
      <c r="A118" s="26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95"/>
        <v>0</v>
      </c>
      <c r="G118" s="2"/>
      <c r="H118" s="6"/>
      <c r="I118" s="2"/>
      <c r="J118" s="7">
        <f t="shared" si="96"/>
        <v>0</v>
      </c>
      <c r="K118" s="2"/>
      <c r="L118" s="6">
        <f t="shared" si="97"/>
        <v>0</v>
      </c>
      <c r="M118" s="2"/>
      <c r="N118" s="7">
        <f t="shared" si="98"/>
        <v>0</v>
      </c>
      <c r="O118" s="11"/>
      <c r="P118" s="6"/>
      <c r="Q118" s="2"/>
      <c r="R118" s="7">
        <f t="shared" si="99"/>
        <v>0</v>
      </c>
      <c r="S118" s="2"/>
      <c r="T118" s="6">
        <v>1500</v>
      </c>
      <c r="U118" s="2"/>
      <c r="V118" s="7">
        <f t="shared" si="100"/>
        <v>1.7727269504132818E-3</v>
      </c>
      <c r="W118" s="2"/>
      <c r="X118" s="6">
        <f t="shared" si="101"/>
        <v>-1500</v>
      </c>
      <c r="Y118" s="2"/>
      <c r="Z118" s="7">
        <f t="shared" si="102"/>
        <v>-1</v>
      </c>
    </row>
    <row r="119" spans="1:26" s="24" customFormat="1" hidden="1" outlineLevel="2" x14ac:dyDescent="0.25">
      <c r="A119" s="26"/>
      <c r="B119" s="11" t="str">
        <f>CONCATENATE("          ", "6294", " - ", "TRAVEL OPERATIONAL")</f>
        <v xml:space="preserve">          6294 - TRAVEL OPERATIONAL</v>
      </c>
      <c r="C119" s="11"/>
      <c r="D119" s="6"/>
      <c r="E119" s="2"/>
      <c r="F119" s="7">
        <f t="shared" si="95"/>
        <v>0</v>
      </c>
      <c r="G119" s="2"/>
      <c r="H119" s="6"/>
      <c r="I119" s="2"/>
      <c r="J119" s="7">
        <f t="shared" si="96"/>
        <v>0</v>
      </c>
      <c r="K119" s="2"/>
      <c r="L119" s="6">
        <f t="shared" si="97"/>
        <v>0</v>
      </c>
      <c r="M119" s="2"/>
      <c r="N119" s="7">
        <f t="shared" si="98"/>
        <v>0</v>
      </c>
      <c r="O119" s="11"/>
      <c r="P119" s="6"/>
      <c r="Q119" s="2"/>
      <c r="R119" s="7">
        <f t="shared" si="99"/>
        <v>0</v>
      </c>
      <c r="S119" s="2"/>
      <c r="T119" s="6">
        <v>0</v>
      </c>
      <c r="U119" s="2"/>
      <c r="V119" s="7">
        <f t="shared" si="100"/>
        <v>0</v>
      </c>
      <c r="W119" s="2"/>
      <c r="X119" s="6">
        <f t="shared" si="101"/>
        <v>0</v>
      </c>
      <c r="Y119" s="2"/>
      <c r="Z119" s="7">
        <f t="shared" si="102"/>
        <v>0</v>
      </c>
    </row>
    <row r="120" spans="1:26" s="24" customFormat="1" hidden="1" outlineLevel="2" x14ac:dyDescent="0.25">
      <c r="A120" s="26"/>
      <c r="B120" s="11" t="str">
        <f>CONCATENATE("          ", "6298", " - ", "VEHICLE MILEAGE")</f>
        <v xml:space="preserve">          6298 - VEHICLE MILEAGE</v>
      </c>
      <c r="C120" s="11"/>
      <c r="D120" s="6"/>
      <c r="E120" s="2"/>
      <c r="F120" s="7">
        <f t="shared" si="95"/>
        <v>0</v>
      </c>
      <c r="G120" s="2"/>
      <c r="H120" s="6"/>
      <c r="I120" s="2"/>
      <c r="J120" s="7">
        <f t="shared" si="96"/>
        <v>0</v>
      </c>
      <c r="K120" s="2"/>
      <c r="L120" s="6">
        <f t="shared" si="97"/>
        <v>0</v>
      </c>
      <c r="M120" s="2"/>
      <c r="N120" s="7">
        <f t="shared" si="98"/>
        <v>0</v>
      </c>
      <c r="O120" s="11"/>
      <c r="P120" s="6">
        <v>332.21</v>
      </c>
      <c r="Q120" s="2"/>
      <c r="R120" s="7">
        <f t="shared" si="99"/>
        <v>5.6500159597091496E-4</v>
      </c>
      <c r="S120" s="2"/>
      <c r="T120" s="6"/>
      <c r="U120" s="2"/>
      <c r="V120" s="7">
        <f t="shared" si="100"/>
        <v>0</v>
      </c>
      <c r="W120" s="2"/>
      <c r="X120" s="6">
        <f t="shared" si="101"/>
        <v>332.21</v>
      </c>
      <c r="Y120" s="2"/>
      <c r="Z120" s="7">
        <f t="shared" si="102"/>
        <v>0</v>
      </c>
    </row>
    <row r="121" spans="1:26" s="27" customFormat="1" outlineLevel="1" collapsed="1" x14ac:dyDescent="0.25">
      <c r="A121" s="25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SUM(OSRRefD22_22x_0)</f>
        <v>39393</v>
      </c>
      <c r="E121" s="1"/>
      <c r="F121" s="5">
        <f t="shared" ref="F121:F122" si="103">IF(D$12=0,0,D121/D$12)</f>
        <v>0.59034603721998913</v>
      </c>
      <c r="G121" s="1"/>
      <c r="H121" s="1">
        <f>SUM(OSRRefH22_22x_0)</f>
        <v>4150</v>
      </c>
      <c r="I121" s="1"/>
      <c r="J121" s="5">
        <f t="shared" ref="J121:J122" si="104">IF(H$12=0,0,H121/H$12)</f>
        <v>0.17938188891290252</v>
      </c>
      <c r="K121" s="1"/>
      <c r="L121" s="1">
        <f t="shared" ref="L121:L122" si="105">+D121-H121</f>
        <v>35243</v>
      </c>
      <c r="M121" s="1"/>
      <c r="N121" s="5">
        <f t="shared" ref="N121:N122" si="106">IF(H121=0,0,L121/H121)</f>
        <v>8.4922891566265069</v>
      </c>
      <c r="O121" s="13"/>
      <c r="P121" s="1">
        <f>SUM(OSRRefP22_22x_0)</f>
        <v>52149</v>
      </c>
      <c r="Q121" s="1"/>
      <c r="R121" s="5">
        <f t="shared" ref="R121:R122" si="107">IF(P$12=0,0,P121/P$12)</f>
        <v>8.8691695699368606E-2</v>
      </c>
      <c r="S121" s="1"/>
      <c r="T121" s="1">
        <f>SUM(OSRRefT22_22x_0)</f>
        <v>50094</v>
      </c>
      <c r="U121" s="1"/>
      <c r="V121" s="5">
        <f t="shared" ref="V121:V122" si="108">IF(T$12=0,0,T121/T$12)</f>
        <v>5.9201989236001958E-2</v>
      </c>
      <c r="W121" s="1"/>
      <c r="X121" s="1">
        <f t="shared" ref="X121:X122" si="109">+P121-T121</f>
        <v>2055</v>
      </c>
      <c r="Y121" s="1"/>
      <c r="Z121" s="5">
        <f t="shared" ref="Z121:Z122" si="110">IF(T121=0,0,X121/T121)</f>
        <v>4.1022876991256438E-2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39393</v>
      </c>
      <c r="E122" s="2"/>
      <c r="F122" s="7">
        <f t="shared" si="103"/>
        <v>0.59034603721998913</v>
      </c>
      <c r="G122" s="2"/>
      <c r="H122" s="6">
        <v>4150</v>
      </c>
      <c r="I122" s="2"/>
      <c r="J122" s="7">
        <f t="shared" si="104"/>
        <v>0.17938188891290252</v>
      </c>
      <c r="K122" s="2"/>
      <c r="L122" s="6">
        <f t="shared" si="105"/>
        <v>35243</v>
      </c>
      <c r="M122" s="2"/>
      <c r="N122" s="7">
        <f t="shared" si="106"/>
        <v>8.4922891566265069</v>
      </c>
      <c r="O122" s="11"/>
      <c r="P122" s="6">
        <v>52149</v>
      </c>
      <c r="Q122" s="2"/>
      <c r="R122" s="7">
        <f t="shared" si="107"/>
        <v>8.8691695699368606E-2</v>
      </c>
      <c r="S122" s="2"/>
      <c r="T122" s="6">
        <v>50094</v>
      </c>
      <c r="U122" s="2"/>
      <c r="V122" s="7">
        <f t="shared" si="108"/>
        <v>5.9201989236001958E-2</v>
      </c>
      <c r="W122" s="2"/>
      <c r="X122" s="6">
        <f t="shared" si="109"/>
        <v>2055</v>
      </c>
      <c r="Y122" s="2"/>
      <c r="Z122" s="7">
        <f t="shared" si="110"/>
        <v>4.1022876991256438E-2</v>
      </c>
    </row>
    <row r="123" spans="1:26" s="61" customFormat="1" x14ac:dyDescent="0.25">
      <c r="A123" s="36"/>
      <c r="B123" s="36"/>
      <c r="C123" s="36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6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9" t="s">
        <v>293</v>
      </c>
      <c r="C124" s="10"/>
      <c r="D124" s="4">
        <f>SUM(OSRRefD25x_0)</f>
        <v>1026.5</v>
      </c>
      <c r="E124" s="4"/>
      <c r="F124" s="12">
        <f t="shared" ref="F124:F128" si="111">IF(D$12=0,0,D124/D$12)</f>
        <v>1.5383195166814379E-2</v>
      </c>
      <c r="G124" s="4"/>
      <c r="H124" s="4">
        <f>SUM(OSRRefH25x_0)</f>
        <v>29608</v>
      </c>
      <c r="I124" s="4"/>
      <c r="J124" s="12">
        <f t="shared" ref="J124:J128" si="112">IF(H$12=0,0,H124/H$12)</f>
        <v>1.2797925221525828</v>
      </c>
      <c r="K124" s="4"/>
      <c r="L124" s="4">
        <f t="shared" ref="L124:L128" si="113">+D124-H124</f>
        <v>-28581.5</v>
      </c>
      <c r="M124" s="4"/>
      <c r="N124" s="12">
        <f t="shared" ref="N124:N128" si="114">IF(H124=0,0,L124/H124)</f>
        <v>-0.96533031613077547</v>
      </c>
      <c r="O124" s="10"/>
      <c r="P124" s="4">
        <f>SUM(OSRRefP25x_0)</f>
        <v>23513.16</v>
      </c>
      <c r="Q124" s="4"/>
      <c r="R124" s="12">
        <f t="shared" ref="R124:R128" si="115">IF(P$12=0,0,P124/P$12)</f>
        <v>3.9989684014085904E-2</v>
      </c>
      <c r="S124" s="4"/>
      <c r="T124" s="4">
        <f>SUM(OSRRefT25x_0)</f>
        <v>108558</v>
      </c>
      <c r="U124" s="4"/>
      <c r="V124" s="12">
        <f t="shared" ref="V124:V128" si="116">IF(T$12=0,0,T124/T$12)</f>
        <v>0.12829579485531004</v>
      </c>
      <c r="W124" s="4"/>
      <c r="X124" s="4">
        <f t="shared" ref="X124:X128" si="117">+P124-T124</f>
        <v>-85044.84</v>
      </c>
      <c r="Y124" s="4"/>
      <c r="Z124" s="12">
        <f t="shared" ref="Z124:Z128" si="118">IF(T124=0,0,X124/T124)</f>
        <v>-0.78340463162549046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--449.64</f>
        <v>449.64</v>
      </c>
      <c r="E125" s="2"/>
      <c r="F125" s="19">
        <f t="shared" si="111"/>
        <v>6.7383340231918333E-3</v>
      </c>
      <c r="G125" s="2"/>
      <c r="H125" s="2">
        <v>15664</v>
      </c>
      <c r="I125" s="2"/>
      <c r="J125" s="19">
        <f t="shared" si="112"/>
        <v>0.67706937540523016</v>
      </c>
      <c r="K125" s="2"/>
      <c r="L125" s="2">
        <f t="shared" si="113"/>
        <v>-15214.36</v>
      </c>
      <c r="M125" s="2"/>
      <c r="N125" s="19">
        <f t="shared" si="114"/>
        <v>-0.9712946884576098</v>
      </c>
      <c r="O125" s="11"/>
      <c r="P125" s="2">
        <f>--5799.56</f>
        <v>5799.56</v>
      </c>
      <c r="Q125" s="2"/>
      <c r="R125" s="19">
        <f t="shared" si="115"/>
        <v>9.863522037052104E-3</v>
      </c>
      <c r="S125" s="2"/>
      <c r="T125" s="2">
        <v>42725</v>
      </c>
      <c r="U125" s="2"/>
      <c r="V125" s="19">
        <f t="shared" si="116"/>
        <v>5.0493172637604972E-2</v>
      </c>
      <c r="W125" s="2"/>
      <c r="X125" s="2">
        <f t="shared" si="117"/>
        <v>-36925.440000000002</v>
      </c>
      <c r="Y125" s="2"/>
      <c r="Z125" s="19">
        <f t="shared" si="118"/>
        <v>-0.86425839672323002</v>
      </c>
    </row>
    <row r="126" spans="1:26" s="24" customFormat="1" hidden="1" outlineLevel="1" x14ac:dyDescent="0.25">
      <c r="A126" s="44"/>
      <c r="B126" s="11" t="str">
        <f>CONCATENATE("          ", "9151", " - ", "MISC. INCOME")</f>
        <v xml:space="preserve">          9151 - MISC. INCOME</v>
      </c>
      <c r="C126" s="11"/>
      <c r="D126" s="2">
        <f t="shared" ref="D126:D127" si="119">0</f>
        <v>0</v>
      </c>
      <c r="E126" s="2"/>
      <c r="F126" s="19">
        <f t="shared" si="111"/>
        <v>0</v>
      </c>
      <c r="G126" s="2"/>
      <c r="H126" s="2">
        <v>6343</v>
      </c>
      <c r="I126" s="2"/>
      <c r="J126" s="19">
        <f t="shared" si="112"/>
        <v>0.27417333045169656</v>
      </c>
      <c r="K126" s="2"/>
      <c r="L126" s="2">
        <f t="shared" si="113"/>
        <v>-6343</v>
      </c>
      <c r="M126" s="2"/>
      <c r="N126" s="19">
        <f t="shared" si="114"/>
        <v>-1</v>
      </c>
      <c r="O126" s="11"/>
      <c r="P126" s="2">
        <f>0</f>
        <v>0</v>
      </c>
      <c r="Q126" s="2"/>
      <c r="R126" s="19">
        <f t="shared" si="115"/>
        <v>0</v>
      </c>
      <c r="S126" s="2"/>
      <c r="T126" s="2">
        <v>41738</v>
      </c>
      <c r="U126" s="2"/>
      <c r="V126" s="19">
        <f t="shared" si="116"/>
        <v>4.9326718304233033E-2</v>
      </c>
      <c r="W126" s="2"/>
      <c r="X126" s="2">
        <f t="shared" si="117"/>
        <v>-41738</v>
      </c>
      <c r="Y126" s="2"/>
      <c r="Z126" s="19">
        <f t="shared" si="118"/>
        <v>-1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 t="shared" si="119"/>
        <v>0</v>
      </c>
      <c r="E127" s="2"/>
      <c r="F127" s="19">
        <f t="shared" si="111"/>
        <v>0</v>
      </c>
      <c r="G127" s="2"/>
      <c r="H127" s="2">
        <v>7601</v>
      </c>
      <c r="I127" s="2"/>
      <c r="J127" s="19">
        <f t="shared" si="112"/>
        <v>0.32854981629565594</v>
      </c>
      <c r="K127" s="2"/>
      <c r="L127" s="2">
        <f t="shared" si="113"/>
        <v>-7601</v>
      </c>
      <c r="M127" s="2"/>
      <c r="N127" s="19">
        <f t="shared" si="114"/>
        <v>-1</v>
      </c>
      <c r="O127" s="11"/>
      <c r="P127" s="2">
        <f>--13615.06</f>
        <v>13615.06</v>
      </c>
      <c r="Q127" s="2"/>
      <c r="R127" s="19">
        <f t="shared" si="115"/>
        <v>2.3155626348513786E-2</v>
      </c>
      <c r="S127" s="2"/>
      <c r="T127" s="2">
        <v>24095</v>
      </c>
      <c r="U127" s="2"/>
      <c r="V127" s="19">
        <f t="shared" si="116"/>
        <v>2.8475903913472017E-2</v>
      </c>
      <c r="W127" s="2"/>
      <c r="X127" s="2">
        <f t="shared" si="117"/>
        <v>-10479.94</v>
      </c>
      <c r="Y127" s="2"/>
      <c r="Z127" s="19">
        <f t="shared" si="118"/>
        <v>-0.43494251919485372</v>
      </c>
    </row>
    <row r="128" spans="1:26" s="24" customFormat="1" hidden="1" outlineLevel="1" x14ac:dyDescent="0.25">
      <c r="A128" s="44"/>
      <c r="B128" s="11" t="str">
        <f>CONCATENATE("          ", "9165", " - ", "OTHER INCOME")</f>
        <v xml:space="preserve">          9165 - OTHER INCOME</v>
      </c>
      <c r="C128" s="11"/>
      <c r="D128" s="2">
        <f>--576.86</f>
        <v>576.86</v>
      </c>
      <c r="E128" s="2"/>
      <c r="F128" s="19">
        <f t="shared" si="111"/>
        <v>8.6448611436225446E-3</v>
      </c>
      <c r="G128" s="2"/>
      <c r="H128" s="2"/>
      <c r="I128" s="2"/>
      <c r="J128" s="19">
        <f t="shared" si="112"/>
        <v>0</v>
      </c>
      <c r="K128" s="2"/>
      <c r="L128" s="2">
        <f t="shared" si="113"/>
        <v>576.86</v>
      </c>
      <c r="M128" s="2"/>
      <c r="N128" s="19">
        <f t="shared" si="114"/>
        <v>0</v>
      </c>
      <c r="O128" s="11"/>
      <c r="P128" s="2">
        <f>--4098.54</f>
        <v>4098.54</v>
      </c>
      <c r="Q128" s="2"/>
      <c r="R128" s="19">
        <f t="shared" si="115"/>
        <v>6.9705356285200137E-3</v>
      </c>
      <c r="S128" s="2"/>
      <c r="T128" s="2"/>
      <c r="U128" s="2"/>
      <c r="V128" s="19">
        <f t="shared" si="116"/>
        <v>0</v>
      </c>
      <c r="W128" s="2"/>
      <c r="X128" s="2">
        <f t="shared" si="117"/>
        <v>4098.54</v>
      </c>
      <c r="Y128" s="2"/>
      <c r="Z128" s="19">
        <f t="shared" si="118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277</v>
      </c>
      <c r="C130" s="28"/>
      <c r="D130" s="20">
        <f>+D32-D34+D124</f>
        <v>-121463.82000000002</v>
      </c>
      <c r="E130" s="14"/>
      <c r="F130" s="22">
        <f>IF(D$12=0,0,D130/D$12)</f>
        <v>-1.8202646359150627</v>
      </c>
      <c r="G130" s="14"/>
      <c r="H130" s="20">
        <f>+H32-H34+H124</f>
        <v>-93685.514623579453</v>
      </c>
      <c r="I130" s="14"/>
      <c r="J130" s="22">
        <f>IF(H$12=0,0,H130/H$12)</f>
        <v>-4.0495143558927795</v>
      </c>
      <c r="K130" s="16"/>
      <c r="L130" s="20">
        <f>+D130-H130</f>
        <v>-27778.305376420569</v>
      </c>
      <c r="M130" s="16"/>
      <c r="N130" s="22">
        <f>IF(H130=0,0,L130/H130)</f>
        <v>0.2965058738059077</v>
      </c>
      <c r="O130" s="29"/>
      <c r="P130" s="20">
        <f>+P32-P34+P124</f>
        <v>-1105639.0300000005</v>
      </c>
      <c r="Q130" s="14"/>
      <c r="R130" s="22">
        <f>IF(P$12=0,0,P130/P$12)</f>
        <v>-1.8804003988974882</v>
      </c>
      <c r="S130" s="14"/>
      <c r="T130" s="20">
        <f>+T32-T34+T124</f>
        <v>-1373326.326152785</v>
      </c>
      <c r="U130" s="14"/>
      <c r="V130" s="22">
        <f>IF(T$12=0,0,T130/T$12)</f>
        <v>-1.6230217267220683</v>
      </c>
      <c r="W130" s="16"/>
      <c r="X130" s="20">
        <f>+P130-T130</f>
        <v>267687.29615278449</v>
      </c>
      <c r="Y130" s="16"/>
      <c r="Z130" s="22">
        <f>IF(T130=0,0,X130/T130)</f>
        <v>-0.1949189286297886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128</v>
      </c>
      <c r="C132" s="10"/>
      <c r="D132" s="4">
        <v>51363.29</v>
      </c>
      <c r="E132" s="4"/>
      <c r="F132" s="12">
        <f>IF(D$12=0,0,D132/D$12)</f>
        <v>0.76973357474884108</v>
      </c>
      <c r="G132" s="4"/>
      <c r="H132" s="4">
        <v>-8960</v>
      </c>
      <c r="I132" s="4"/>
      <c r="J132" s="12">
        <f>IF(H$12=0,0,H132/H$12)</f>
        <v>-0.38729198184568836</v>
      </c>
      <c r="K132" s="4"/>
      <c r="L132" s="4">
        <f>+D132-H132</f>
        <v>60323.29</v>
      </c>
      <c r="M132" s="4"/>
      <c r="N132" s="12">
        <f>IF(H132=0,0,L132/H132)</f>
        <v>-6.732510044642857</v>
      </c>
      <c r="O132" s="10"/>
      <c r="P132" s="4">
        <v>162749.89000000001</v>
      </c>
      <c r="Q132" s="4"/>
      <c r="R132" s="12">
        <f>IF(P$12=0,0,P132/P$12)</f>
        <v>0.27679464072150406</v>
      </c>
      <c r="S132" s="4"/>
      <c r="T132" s="4">
        <v>142980</v>
      </c>
      <c r="U132" s="4"/>
      <c r="V132" s="12">
        <f>IF(T$12=0,0,T132/T$12)</f>
        <v>0.16897633291339401</v>
      </c>
      <c r="W132" s="4"/>
      <c r="X132" s="4">
        <f>+P132-T132</f>
        <v>19769.890000000014</v>
      </c>
      <c r="Y132" s="4"/>
      <c r="Z132" s="12">
        <f>IF(T132=0,0,X132/T132)</f>
        <v>0.13827031752692695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126</v>
      </c>
      <c r="C134" s="28"/>
      <c r="D134" s="34">
        <f>+D130-D132</f>
        <v>-172827.11000000002</v>
      </c>
      <c r="E134" s="14"/>
      <c r="F134" s="35">
        <f>IF(D$12=0,0,D134/D$12)</f>
        <v>-2.5899982106639037</v>
      </c>
      <c r="G134" s="14"/>
      <c r="H134" s="34">
        <f>+H130-H132</f>
        <v>-84725.514623579453</v>
      </c>
      <c r="I134" s="14"/>
      <c r="J134" s="35">
        <f>IF(H$12=0,0,H134/H$12)</f>
        <v>-3.6622223740470909</v>
      </c>
      <c r="K134" s="16"/>
      <c r="L134" s="34">
        <f>D134-H134</f>
        <v>-88101.595376420562</v>
      </c>
      <c r="M134" s="16"/>
      <c r="N134" s="35">
        <f>IF(H134=0,0,L134/H134)</f>
        <v>1.0398472734906414</v>
      </c>
      <c r="O134" s="29"/>
      <c r="P134" s="34">
        <f>+P130-P132</f>
        <v>-1268388.9200000004</v>
      </c>
      <c r="Q134" s="14"/>
      <c r="R134" s="35">
        <f>IF(P$12=0,0,P134/P$12)</f>
        <v>-2.1571950396189923</v>
      </c>
      <c r="S134" s="14"/>
      <c r="T134" s="34">
        <f>+T130-T132</f>
        <v>-1516306.326152785</v>
      </c>
      <c r="U134" s="14"/>
      <c r="V134" s="35">
        <f>IF(T$12=0,0,T134/T$12)</f>
        <v>-1.7919980596354623</v>
      </c>
      <c r="W134" s="16"/>
      <c r="X134" s="34">
        <f>P134-T134</f>
        <v>247917.40615278459</v>
      </c>
      <c r="Y134" s="16"/>
      <c r="Z134" s="35">
        <f>IF(T134=0,0,X134/T134)</f>
        <v>-0.16350087174127118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294</v>
      </c>
      <c r="C137" s="28"/>
      <c r="D137" s="33">
        <f>SUM(D134:D136)</f>
        <v>-172827.11000000002</v>
      </c>
      <c r="E137" s="14"/>
      <c r="F137" s="31">
        <f>IF(D$12=0,0,D137/D$12)</f>
        <v>-2.5899982106639037</v>
      </c>
      <c r="G137" s="14"/>
      <c r="H137" s="33">
        <f>SUM(H134:H136)</f>
        <v>-84725.514623579453</v>
      </c>
      <c r="I137" s="14"/>
      <c r="J137" s="31">
        <f>IF(H$12=0,0,H137/H$12)</f>
        <v>-3.6622223740470909</v>
      </c>
      <c r="K137" s="16"/>
      <c r="L137" s="33">
        <f>+D137-H137</f>
        <v>-88101.595376420562</v>
      </c>
      <c r="M137" s="16"/>
      <c r="N137" s="31">
        <f>IF(H137=0,0,L137/H137)</f>
        <v>1.0398472734906414</v>
      </c>
      <c r="O137" s="29"/>
      <c r="P137" s="33">
        <f>SUM(P134:P136)</f>
        <v>-1268388.9200000004</v>
      </c>
      <c r="Q137" s="14"/>
      <c r="R137" s="31">
        <f>IF(P$12=0,0,P137/P$12)</f>
        <v>-2.1571950396189923</v>
      </c>
      <c r="S137" s="14"/>
      <c r="T137" s="33">
        <f>SUM(T134:T136)</f>
        <v>-1516306.326152785</v>
      </c>
      <c r="U137" s="14"/>
      <c r="V137" s="31">
        <f>IF(T$12=0,0,T137/T$12)</f>
        <v>-1.7919980596354623</v>
      </c>
      <c r="W137" s="16"/>
      <c r="X137" s="33">
        <f>+P137-T137</f>
        <v>247917.40615278459</v>
      </c>
      <c r="Y137" s="16"/>
      <c r="Z137" s="31">
        <f>IF(T137=0,0,X137/T137)</f>
        <v>-0.16350087174127118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6">
        <v>44454.686057951389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5" t="s">
        <v>56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63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66694.61</v>
      </c>
      <c r="E12" s="4"/>
      <c r="F12" s="12"/>
      <c r="G12" s="4"/>
      <c r="H12" s="4">
        <f>SUM(OSRRefH13x_0)</f>
        <v>10890</v>
      </c>
      <c r="I12" s="4"/>
      <c r="J12" s="12"/>
      <c r="K12" s="4"/>
      <c r="L12" s="4">
        <f t="shared" ref="L12:L19" si="0">+D12-H12</f>
        <v>55804.61</v>
      </c>
      <c r="M12" s="4"/>
      <c r="N12" s="12">
        <f t="shared" ref="N12:N19" si="1">IF(H12=0,0,L12/H12)</f>
        <v>5.1243902662993577</v>
      </c>
      <c r="O12" s="10"/>
      <c r="P12" s="4">
        <f>SUM(OSRRefP13x_0)</f>
        <v>585069.67000000004</v>
      </c>
      <c r="Q12" s="4"/>
      <c r="R12" s="12"/>
      <c r="S12" s="4"/>
      <c r="T12" s="4">
        <f>SUM(OSRRefT13x_0)</f>
        <v>233685</v>
      </c>
      <c r="U12" s="4"/>
      <c r="V12" s="12"/>
      <c r="W12" s="4"/>
      <c r="X12" s="4">
        <f t="shared" ref="X12:X19" si="2">+P12-T12</f>
        <v>351384.67000000004</v>
      </c>
      <c r="Y12" s="4"/>
      <c r="Z12" s="12">
        <f t="shared" ref="Z12:Z19" si="3">IF(T12=0,0,X12/T12)</f>
        <v>1.5036680574277341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3387</v>
      </c>
      <c r="I13" s="2"/>
      <c r="J13" s="19"/>
      <c r="K13" s="2"/>
      <c r="L13" s="2">
        <f t="shared" si="0"/>
        <v>-3387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72679</v>
      </c>
      <c r="U13" s="2"/>
      <c r="V13" s="19"/>
      <c r="W13" s="2"/>
      <c r="X13" s="2">
        <f t="shared" si="2"/>
        <v>-72679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--9799.52</f>
        <v>9799.52</v>
      </c>
      <c r="E14" s="2"/>
      <c r="F14" s="19"/>
      <c r="G14" s="2"/>
      <c r="H14" s="2"/>
      <c r="I14" s="2"/>
      <c r="J14" s="19"/>
      <c r="K14" s="2"/>
      <c r="L14" s="2">
        <f t="shared" si="0"/>
        <v>9799.52</v>
      </c>
      <c r="M14" s="2"/>
      <c r="N14" s="19">
        <f t="shared" si="1"/>
        <v>0</v>
      </c>
      <c r="O14" s="11"/>
      <c r="P14" s="2">
        <f>--49082.44</f>
        <v>49082.44</v>
      </c>
      <c r="Q14" s="2"/>
      <c r="R14" s="19"/>
      <c r="S14" s="2"/>
      <c r="T14" s="2"/>
      <c r="U14" s="2"/>
      <c r="V14" s="19"/>
      <c r="W14" s="2"/>
      <c r="X14" s="2">
        <f t="shared" si="2"/>
        <v>49082.44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--61213.59</f>
        <v>61213.59</v>
      </c>
      <c r="E15" s="2"/>
      <c r="F15" s="19"/>
      <c r="G15" s="2"/>
      <c r="H15" s="2"/>
      <c r="I15" s="2"/>
      <c r="J15" s="19"/>
      <c r="K15" s="2"/>
      <c r="L15" s="2">
        <f t="shared" si="0"/>
        <v>61213.59</v>
      </c>
      <c r="M15" s="2"/>
      <c r="N15" s="19">
        <f t="shared" si="1"/>
        <v>0</v>
      </c>
      <c r="O15" s="11"/>
      <c r="P15" s="2">
        <f>--489866.6</f>
        <v>489866.6</v>
      </c>
      <c r="Q15" s="2"/>
      <c r="R15" s="19"/>
      <c r="S15" s="2"/>
      <c r="T15" s="2"/>
      <c r="U15" s="2"/>
      <c r="V15" s="19"/>
      <c r="W15" s="2"/>
      <c r="X15" s="2">
        <f t="shared" si="2"/>
        <v>489866.6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--974.91</f>
        <v>974.91</v>
      </c>
      <c r="Q16" s="2"/>
      <c r="R16" s="19"/>
      <c r="S16" s="2"/>
      <c r="T16" s="2"/>
      <c r="U16" s="2"/>
      <c r="V16" s="19"/>
      <c r="W16" s="2"/>
      <c r="X16" s="2">
        <f t="shared" si="2"/>
        <v>974.91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7503</v>
      </c>
      <c r="I17" s="2"/>
      <c r="J17" s="19"/>
      <c r="K17" s="2"/>
      <c r="L17" s="2">
        <f t="shared" si="0"/>
        <v>-7503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161006</v>
      </c>
      <c r="U17" s="2"/>
      <c r="V17" s="19"/>
      <c r="W17" s="2"/>
      <c r="X17" s="2">
        <f t="shared" si="2"/>
        <v>-161006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--7262.45</f>
        <v>7262.45</v>
      </c>
      <c r="E18" s="2"/>
      <c r="F18" s="19"/>
      <c r="G18" s="2"/>
      <c r="H18" s="2"/>
      <c r="I18" s="2"/>
      <c r="J18" s="19"/>
      <c r="K18" s="2"/>
      <c r="L18" s="2">
        <f t="shared" si="0"/>
        <v>7262.45</v>
      </c>
      <c r="M18" s="2"/>
      <c r="N18" s="19">
        <f t="shared" si="1"/>
        <v>0</v>
      </c>
      <c r="O18" s="11"/>
      <c r="P18" s="2">
        <f>--45145.72</f>
        <v>45145.72</v>
      </c>
      <c r="Q18" s="2"/>
      <c r="R18" s="19"/>
      <c r="S18" s="2"/>
      <c r="T18" s="2"/>
      <c r="U18" s="2"/>
      <c r="V18" s="19"/>
      <c r="W18" s="2"/>
      <c r="X18" s="2">
        <f t="shared" si="2"/>
        <v>45145.72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-11580.95</f>
        <v>-11580.95</v>
      </c>
      <c r="E19" s="2"/>
      <c r="F19" s="19"/>
      <c r="G19" s="2"/>
      <c r="H19" s="2"/>
      <c r="I19" s="2"/>
      <c r="J19" s="19"/>
      <c r="K19" s="2"/>
      <c r="L19" s="2">
        <f t="shared" si="0"/>
        <v>-11580.95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/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257</v>
      </c>
      <c r="C21" s="10"/>
      <c r="D21" s="4">
        <f>SUM(OSRRefD16x_0)</f>
        <v>5421.68</v>
      </c>
      <c r="E21" s="4"/>
      <c r="F21" s="12">
        <f t="shared" ref="F21:F24" si="5">IF(D$12=0,0,D21/D$12)</f>
        <v>8.1291126824191637E-2</v>
      </c>
      <c r="G21" s="4"/>
      <c r="H21" s="4">
        <f>SUM(OSRRefH16x_0)</f>
        <v>2831</v>
      </c>
      <c r="I21" s="4"/>
      <c r="J21" s="12">
        <f t="shared" ref="J21:J24" si="6">IF(H$12=0,0,H21/H$12)</f>
        <v>0.25996326905417816</v>
      </c>
      <c r="K21" s="4"/>
      <c r="L21" s="4">
        <f t="shared" ref="L21:L24" si="7">+D21-H21</f>
        <v>2590.6800000000003</v>
      </c>
      <c r="M21" s="4"/>
      <c r="N21" s="12">
        <f t="shared" ref="N21:N24" si="8">IF(H21=0,0,L21/H21)</f>
        <v>0.91511126810314392</v>
      </c>
      <c r="O21" s="10"/>
      <c r="P21" s="4">
        <f>SUM(OSRRefP16x_0)</f>
        <v>23185.120000000003</v>
      </c>
      <c r="Q21" s="4"/>
      <c r="R21" s="12">
        <f t="shared" ref="R21:R24" si="9">IF(P$12=0,0,P21/P$12)</f>
        <v>3.9627964307225157E-2</v>
      </c>
      <c r="S21" s="4"/>
      <c r="T21" s="4">
        <f>SUM(OSRRefT16x_0)</f>
        <v>73448</v>
      </c>
      <c r="U21" s="4"/>
      <c r="V21" s="12">
        <f t="shared" ref="V21:V24" si="10">IF(T$12=0,0,T21/T$12)</f>
        <v>0.31430344266854954</v>
      </c>
      <c r="W21" s="4"/>
      <c r="X21" s="4">
        <f t="shared" ref="X21:X24" si="11">+P21-T21</f>
        <v>-50262.879999999997</v>
      </c>
      <c r="Y21" s="4"/>
      <c r="Z21" s="12">
        <f t="shared" ref="Z21:Z24" si="12">IF(T21=0,0,X21/T21)</f>
        <v>-0.68433286134408011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5"/>
        <v>0</v>
      </c>
      <c r="G22" s="2"/>
      <c r="H22" s="2">
        <v>2831</v>
      </c>
      <c r="I22" s="2"/>
      <c r="J22" s="19">
        <f t="shared" si="6"/>
        <v>0.25996326905417816</v>
      </c>
      <c r="K22" s="2"/>
      <c r="L22" s="2">
        <f t="shared" si="7"/>
        <v>-2831</v>
      </c>
      <c r="M22" s="2"/>
      <c r="N22" s="19">
        <f t="shared" si="8"/>
        <v>-1</v>
      </c>
      <c r="O22" s="11"/>
      <c r="P22" s="2"/>
      <c r="Q22" s="2"/>
      <c r="R22" s="19">
        <f t="shared" si="9"/>
        <v>0</v>
      </c>
      <c r="S22" s="2"/>
      <c r="T22" s="2">
        <v>73448</v>
      </c>
      <c r="U22" s="2"/>
      <c r="V22" s="19">
        <f t="shared" si="10"/>
        <v>0.31430344266854954</v>
      </c>
      <c r="W22" s="2"/>
      <c r="X22" s="2">
        <f t="shared" si="11"/>
        <v>-73448</v>
      </c>
      <c r="Y22" s="2"/>
      <c r="Z22" s="19">
        <f t="shared" si="12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5530.68</v>
      </c>
      <c r="E23" s="2"/>
      <c r="F23" s="19">
        <f t="shared" si="5"/>
        <v>8.2925441801069089E-2</v>
      </c>
      <c r="G23" s="2"/>
      <c r="H23" s="2"/>
      <c r="I23" s="2"/>
      <c r="J23" s="19">
        <f t="shared" si="6"/>
        <v>0</v>
      </c>
      <c r="K23" s="2"/>
      <c r="L23" s="2">
        <f t="shared" si="7"/>
        <v>5530.68</v>
      </c>
      <c r="M23" s="2"/>
      <c r="N23" s="19">
        <f t="shared" si="8"/>
        <v>0</v>
      </c>
      <c r="O23" s="11"/>
      <c r="P23" s="2">
        <v>17658.11</v>
      </c>
      <c r="Q23" s="2"/>
      <c r="R23" s="19">
        <f t="shared" si="9"/>
        <v>3.0181209017380785E-2</v>
      </c>
      <c r="S23" s="2"/>
      <c r="T23" s="2"/>
      <c r="U23" s="2"/>
      <c r="V23" s="19">
        <f t="shared" si="10"/>
        <v>0</v>
      </c>
      <c r="W23" s="2"/>
      <c r="X23" s="2">
        <f t="shared" si="11"/>
        <v>17658.11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-109</v>
      </c>
      <c r="E24" s="2"/>
      <c r="F24" s="19">
        <f t="shared" si="5"/>
        <v>-1.6343149768774418E-3</v>
      </c>
      <c r="G24" s="2"/>
      <c r="H24" s="2"/>
      <c r="I24" s="2"/>
      <c r="J24" s="19">
        <f t="shared" si="6"/>
        <v>0</v>
      </c>
      <c r="K24" s="2"/>
      <c r="L24" s="2">
        <f t="shared" si="7"/>
        <v>-109</v>
      </c>
      <c r="M24" s="2"/>
      <c r="N24" s="19">
        <f t="shared" si="8"/>
        <v>0</v>
      </c>
      <c r="O24" s="11"/>
      <c r="P24" s="2">
        <v>5527.01</v>
      </c>
      <c r="Q24" s="2"/>
      <c r="R24" s="19">
        <f t="shared" si="9"/>
        <v>9.4467552898443701E-3</v>
      </c>
      <c r="S24" s="2"/>
      <c r="T24" s="2"/>
      <c r="U24" s="2"/>
      <c r="V24" s="19">
        <f t="shared" si="10"/>
        <v>0</v>
      </c>
      <c r="W24" s="2"/>
      <c r="X24" s="2">
        <f t="shared" si="11"/>
        <v>5527.01</v>
      </c>
      <c r="Y24" s="2"/>
      <c r="Z24" s="19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108</v>
      </c>
      <c r="C26" s="28"/>
      <c r="D26" s="20">
        <f>D12-D21</f>
        <v>61272.93</v>
      </c>
      <c r="E26" s="14"/>
      <c r="F26" s="22">
        <f>IF(D$12=0,0,D26/D$12)</f>
        <v>0.9187088731758084</v>
      </c>
      <c r="G26" s="14"/>
      <c r="H26" s="20">
        <f>H12-H21</f>
        <v>8059</v>
      </c>
      <c r="I26" s="14"/>
      <c r="J26" s="22">
        <f>IF(H$12=0,0,H26/H$12)</f>
        <v>0.7400367309458219</v>
      </c>
      <c r="K26" s="16"/>
      <c r="L26" s="20">
        <f>+D26-H26</f>
        <v>53213.93</v>
      </c>
      <c r="M26" s="16"/>
      <c r="N26" s="22">
        <f>IF(H26=0,0,L26/H26)</f>
        <v>6.6030438019605411</v>
      </c>
      <c r="O26" s="29"/>
      <c r="P26" s="20">
        <f>P12-P21</f>
        <v>561884.55000000005</v>
      </c>
      <c r="Q26" s="14"/>
      <c r="R26" s="22">
        <f>IF(P$12=0,0,P26/P$12)</f>
        <v>0.96037203569277485</v>
      </c>
      <c r="S26" s="14"/>
      <c r="T26" s="20">
        <f>T12-T21</f>
        <v>160237</v>
      </c>
      <c r="U26" s="14"/>
      <c r="V26" s="22">
        <f>IF(T$12=0,0,T26/T$12)</f>
        <v>0.68569655733145041</v>
      </c>
      <c r="W26" s="16"/>
      <c r="X26" s="20">
        <f>+P26-T26</f>
        <v>401647.55000000005</v>
      </c>
      <c r="Y26" s="16"/>
      <c r="Z26" s="22">
        <f>IF(T26=0,0,X26/T26)</f>
        <v>2.5065843094915659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295</v>
      </c>
      <c r="C28" s="10"/>
      <c r="D28" s="21">
        <f>SUM(OSRRefD22x_0)</f>
        <v>172353.82</v>
      </c>
      <c r="E28" s="21"/>
      <c r="F28" s="30">
        <f t="shared" ref="F28:F38" si="13">IF(D$12=0,0,D28/D$12)</f>
        <v>2.5842241224590712</v>
      </c>
      <c r="G28" s="21"/>
      <c r="H28" s="21">
        <f>SUM(OSRRefH22x_0)</f>
        <v>98401.829054579488</v>
      </c>
      <c r="I28" s="21"/>
      <c r="J28" s="30">
        <f t="shared" ref="J28:J38" si="14">IF(H$12=0,0,H28/H$12)</f>
        <v>9.0359806294379688</v>
      </c>
      <c r="K28" s="4"/>
      <c r="L28" s="21">
        <f t="shared" ref="L28:L38" si="15">+D28-H28</f>
        <v>73951.990945420519</v>
      </c>
      <c r="M28" s="4"/>
      <c r="N28" s="30">
        <f t="shared" ref="N28:N38" si="16">IF(H28=0,0,L28/H28)</f>
        <v>0.75153065401256269</v>
      </c>
      <c r="O28" s="10"/>
      <c r="P28" s="21">
        <f>SUM(OSRRefP22x_0)</f>
        <v>1406084.9600000002</v>
      </c>
      <c r="Q28" s="21"/>
      <c r="R28" s="30">
        <f t="shared" ref="R28:R38" si="17">IF(P$12=0,0,P28/P$12)</f>
        <v>2.4032778181784744</v>
      </c>
      <c r="S28" s="21"/>
      <c r="T28" s="21">
        <f>SUM(OSRRefT22x_0)</f>
        <v>1311300.7554583848</v>
      </c>
      <c r="U28" s="21"/>
      <c r="V28" s="30">
        <f t="shared" ref="V28:V38" si="18">IF(T$12=0,0,T28/T$12)</f>
        <v>5.6114031942931071</v>
      </c>
      <c r="W28" s="4"/>
      <c r="X28" s="21">
        <f t="shared" ref="X28:X38" si="19">+P28-T28</f>
        <v>94784.204541615443</v>
      </c>
      <c r="Y28" s="4"/>
      <c r="Z28" s="30">
        <f t="shared" ref="Z28:Z38" si="20">IF(T28=0,0,X28/T28)</f>
        <v>7.228258212089736E-2</v>
      </c>
    </row>
    <row r="29" spans="1:26" s="27" customFormat="1" outlineLevel="1" collapsed="1" x14ac:dyDescent="0.25">
      <c r="A29" s="25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21021.899999999998</v>
      </c>
      <c r="E29" s="1"/>
      <c r="F29" s="5">
        <f t="shared" si="13"/>
        <v>0.31519638543504486</v>
      </c>
      <c r="G29" s="1"/>
      <c r="H29" s="1">
        <f>SUM(OSRRefH22_0x_0)</f>
        <v>13170.81602893847</v>
      </c>
      <c r="I29" s="1"/>
      <c r="J29" s="5">
        <f t="shared" si="14"/>
        <v>1.2094413249713931</v>
      </c>
      <c r="K29" s="1"/>
      <c r="L29" s="1">
        <f t="shared" si="15"/>
        <v>7851.0839710615273</v>
      </c>
      <c r="M29" s="1"/>
      <c r="N29" s="5">
        <f t="shared" si="16"/>
        <v>0.59609700369448571</v>
      </c>
      <c r="O29" s="13"/>
      <c r="P29" s="1">
        <f>SUM(OSRRefP22_0x_0)</f>
        <v>249143.03</v>
      </c>
      <c r="Q29" s="1"/>
      <c r="R29" s="5">
        <f t="shared" si="17"/>
        <v>0.42583480698973847</v>
      </c>
      <c r="S29" s="1"/>
      <c r="T29" s="1">
        <f>SUM(OSRRefT22_0x_0)</f>
        <v>166765.88985838459</v>
      </c>
      <c r="U29" s="1"/>
      <c r="V29" s="5">
        <f t="shared" si="18"/>
        <v>0.71363540603112985</v>
      </c>
      <c r="W29" s="1"/>
      <c r="X29" s="1">
        <f t="shared" si="19"/>
        <v>82377.140141615411</v>
      </c>
      <c r="Y29" s="1"/>
      <c r="Z29" s="5">
        <f t="shared" si="20"/>
        <v>0.49396876190670047</v>
      </c>
    </row>
    <row r="30" spans="1:26" s="24" customFormat="1" hidden="1" outlineLevel="2" x14ac:dyDescent="0.25">
      <c r="A30" s="26"/>
      <c r="B30" s="11" t="str">
        <f>CONCATENATE("          ", "6111", " - ", "F.I.C.A.")</f>
        <v xml:space="preserve">          6111 - F.I.C.A.</v>
      </c>
      <c r="C30" s="11"/>
      <c r="D30" s="6">
        <v>2607.87</v>
      </c>
      <c r="E30" s="2"/>
      <c r="F30" s="7">
        <f t="shared" si="13"/>
        <v>3.9101660538985082E-2</v>
      </c>
      <c r="G30" s="2"/>
      <c r="H30" s="6">
        <v>1566.3250281692301</v>
      </c>
      <c r="I30" s="2"/>
      <c r="J30" s="7">
        <f t="shared" si="14"/>
        <v>0.14383149937274839</v>
      </c>
      <c r="K30" s="2"/>
      <c r="L30" s="6">
        <f t="shared" si="15"/>
        <v>1041.5449718307698</v>
      </c>
      <c r="M30" s="2"/>
      <c r="N30" s="7">
        <f t="shared" si="16"/>
        <v>0.66496094558877106</v>
      </c>
      <c r="O30" s="11"/>
      <c r="P30" s="6">
        <v>30589.38</v>
      </c>
      <c r="Q30" s="2"/>
      <c r="R30" s="7">
        <f t="shared" si="17"/>
        <v>5.2283311831905419E-2</v>
      </c>
      <c r="S30" s="2"/>
      <c r="T30" s="6">
        <v>19495.872093000002</v>
      </c>
      <c r="U30" s="2"/>
      <c r="V30" s="7">
        <f t="shared" si="18"/>
        <v>8.3427999627703975E-2</v>
      </c>
      <c r="W30" s="2"/>
      <c r="X30" s="6">
        <f t="shared" si="19"/>
        <v>11093.507906999999</v>
      </c>
      <c r="Y30" s="2"/>
      <c r="Z30" s="7">
        <f t="shared" si="20"/>
        <v>0.56901829546692229</v>
      </c>
    </row>
    <row r="31" spans="1:26" s="24" customFormat="1" hidden="1" outlineLevel="2" x14ac:dyDescent="0.25">
      <c r="A31" s="26"/>
      <c r="B31" s="11" t="str">
        <f>CONCATENATE("          ", "6112", " - ", "COMPENSATION INSURANCE")</f>
        <v xml:space="preserve">          6112 - COMPENSATION INSURANCE</v>
      </c>
      <c r="C31" s="11"/>
      <c r="D31" s="6">
        <v>748.61</v>
      </c>
      <c r="E31" s="2"/>
      <c r="F31" s="7">
        <f t="shared" si="13"/>
        <v>1.1224445273763503E-2</v>
      </c>
      <c r="G31" s="2"/>
      <c r="H31" s="6">
        <v>519.99344353846197</v>
      </c>
      <c r="I31" s="2"/>
      <c r="J31" s="7">
        <f t="shared" si="14"/>
        <v>4.7749627505827549E-2</v>
      </c>
      <c r="K31" s="2"/>
      <c r="L31" s="6">
        <f t="shared" si="15"/>
        <v>228.61655646153804</v>
      </c>
      <c r="M31" s="2"/>
      <c r="N31" s="7">
        <f t="shared" si="16"/>
        <v>0.4396527673615333</v>
      </c>
      <c r="O31" s="11"/>
      <c r="P31" s="6">
        <v>8683.7000000000007</v>
      </c>
      <c r="Q31" s="2"/>
      <c r="R31" s="7">
        <f t="shared" si="17"/>
        <v>1.4842164010997186E-2</v>
      </c>
      <c r="S31" s="2"/>
      <c r="T31" s="6">
        <v>8077.5573780000004</v>
      </c>
      <c r="U31" s="2"/>
      <c r="V31" s="7">
        <f t="shared" si="18"/>
        <v>3.4566007137813728E-2</v>
      </c>
      <c r="W31" s="2"/>
      <c r="X31" s="6">
        <f t="shared" si="19"/>
        <v>606.1426220000003</v>
      </c>
      <c r="Y31" s="2"/>
      <c r="Z31" s="7">
        <f t="shared" si="20"/>
        <v>7.5040336284194986E-2</v>
      </c>
    </row>
    <row r="32" spans="1:26" s="24" customFormat="1" hidden="1" outlineLevel="2" x14ac:dyDescent="0.25">
      <c r="A32" s="26"/>
      <c r="B32" s="11" t="str">
        <f>CONCATENATE("          ", "6113", " - ", "GROUP INSURANCE")</f>
        <v xml:space="preserve">          6113 - GROUP INSURANCE</v>
      </c>
      <c r="C32" s="11"/>
      <c r="D32" s="6">
        <v>8554.93</v>
      </c>
      <c r="E32" s="2"/>
      <c r="F32" s="7">
        <f t="shared" si="13"/>
        <v>0.12827018555172601</v>
      </c>
      <c r="G32" s="2"/>
      <c r="H32" s="6">
        <v>7261.1538461538503</v>
      </c>
      <c r="I32" s="2"/>
      <c r="J32" s="7">
        <f t="shared" si="14"/>
        <v>0.66677262131807624</v>
      </c>
      <c r="K32" s="2"/>
      <c r="L32" s="6">
        <f t="shared" si="15"/>
        <v>1293.77615384615</v>
      </c>
      <c r="M32" s="2"/>
      <c r="N32" s="7">
        <f t="shared" si="16"/>
        <v>0.17817776365273522</v>
      </c>
      <c r="O32" s="11"/>
      <c r="P32" s="6">
        <v>112261.43</v>
      </c>
      <c r="Q32" s="2"/>
      <c r="R32" s="7">
        <f t="shared" si="17"/>
        <v>0.19187702893571629</v>
      </c>
      <c r="S32" s="2"/>
      <c r="T32" s="6">
        <v>88994.884615384595</v>
      </c>
      <c r="U32" s="2"/>
      <c r="V32" s="7">
        <f t="shared" si="18"/>
        <v>0.38083267909957674</v>
      </c>
      <c r="W32" s="2"/>
      <c r="X32" s="6">
        <f t="shared" si="19"/>
        <v>23266.545384615398</v>
      </c>
      <c r="Y32" s="2"/>
      <c r="Z32" s="7">
        <f t="shared" si="20"/>
        <v>0.26143688466104598</v>
      </c>
    </row>
    <row r="33" spans="1:26" s="24" customFormat="1" hidden="1" outlineLevel="2" x14ac:dyDescent="0.25">
      <c r="A33" s="26"/>
      <c r="B33" s="11" t="str">
        <f>CONCATENATE("          ", "6114", " - ", "STATE UNEMPLOYMENT INSURANCE")</f>
        <v xml:space="preserve">          6114 - STATE UNEMPLOYMENT INSURANCE</v>
      </c>
      <c r="C33" s="11"/>
      <c r="D33" s="6">
        <v>87.06</v>
      </c>
      <c r="E33" s="2"/>
      <c r="F33" s="7">
        <f t="shared" si="13"/>
        <v>1.305352861348166E-3</v>
      </c>
      <c r="G33" s="2"/>
      <c r="H33" s="6">
        <v>58.080908000000001</v>
      </c>
      <c r="I33" s="2"/>
      <c r="J33" s="7">
        <f t="shared" si="14"/>
        <v>5.3334167125803494E-3</v>
      </c>
      <c r="K33" s="2"/>
      <c r="L33" s="6">
        <f t="shared" si="15"/>
        <v>28.979092000000001</v>
      </c>
      <c r="M33" s="2"/>
      <c r="N33" s="7">
        <f t="shared" si="16"/>
        <v>0.49894350825231593</v>
      </c>
      <c r="O33" s="11"/>
      <c r="P33" s="6">
        <v>1117.52</v>
      </c>
      <c r="Q33" s="2"/>
      <c r="R33" s="7">
        <f t="shared" si="17"/>
        <v>1.9100631212005913E-3</v>
      </c>
      <c r="S33" s="2"/>
      <c r="T33" s="6">
        <v>834.90893200000005</v>
      </c>
      <c r="U33" s="2"/>
      <c r="V33" s="7">
        <f t="shared" si="18"/>
        <v>3.5727964225346089E-3</v>
      </c>
      <c r="W33" s="2"/>
      <c r="X33" s="6">
        <f t="shared" si="19"/>
        <v>282.61106799999993</v>
      </c>
      <c r="Y33" s="2"/>
      <c r="Z33" s="7">
        <f t="shared" si="20"/>
        <v>0.33849328611566454</v>
      </c>
    </row>
    <row r="34" spans="1:26" s="24" customFormat="1" hidden="1" outlineLevel="2" x14ac:dyDescent="0.25">
      <c r="A34" s="26"/>
      <c r="B34" s="11" t="str">
        <f>CONCATENATE("          ", "6115", " - ", "P.E.R.S.")</f>
        <v xml:space="preserve">          6115 - P.E.R.S.</v>
      </c>
      <c r="C34" s="11"/>
      <c r="D34" s="6">
        <v>4175.47</v>
      </c>
      <c r="E34" s="2"/>
      <c r="F34" s="7">
        <f t="shared" si="13"/>
        <v>6.2605808775251862E-2</v>
      </c>
      <c r="G34" s="2"/>
      <c r="H34" s="6">
        <v>1386.13172615385</v>
      </c>
      <c r="I34" s="2"/>
      <c r="J34" s="7">
        <f t="shared" si="14"/>
        <v>0.12728482333827823</v>
      </c>
      <c r="K34" s="2"/>
      <c r="L34" s="6">
        <f t="shared" si="15"/>
        <v>2789.3382738461505</v>
      </c>
      <c r="M34" s="2"/>
      <c r="N34" s="7">
        <f t="shared" si="16"/>
        <v>2.0123183253195052</v>
      </c>
      <c r="O34" s="11"/>
      <c r="P34" s="6">
        <v>39390.11</v>
      </c>
      <c r="Q34" s="2"/>
      <c r="R34" s="7">
        <f t="shared" si="17"/>
        <v>6.7325503302880146E-2</v>
      </c>
      <c r="S34" s="2"/>
      <c r="T34" s="6">
        <v>18019.712439999999</v>
      </c>
      <c r="U34" s="2"/>
      <c r="V34" s="7">
        <f t="shared" si="18"/>
        <v>7.7111121552517273E-2</v>
      </c>
      <c r="W34" s="2"/>
      <c r="X34" s="6">
        <f t="shared" si="19"/>
        <v>21370.397560000001</v>
      </c>
      <c r="Y34" s="2"/>
      <c r="Z34" s="7">
        <f t="shared" si="20"/>
        <v>1.1859455377635317</v>
      </c>
    </row>
    <row r="35" spans="1:26" s="24" customFormat="1" hidden="1" outlineLevel="2" x14ac:dyDescent="0.25">
      <c r="A35" s="26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3"/>
        <v>0</v>
      </c>
      <c r="G35" s="2"/>
      <c r="H35" s="6">
        <v>0</v>
      </c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/>
      <c r="Q35" s="2"/>
      <c r="R35" s="7">
        <f t="shared" si="17"/>
        <v>0</v>
      </c>
      <c r="S35" s="2"/>
      <c r="T35" s="6">
        <v>0</v>
      </c>
      <c r="U35" s="2"/>
      <c r="V35" s="7">
        <f t="shared" si="18"/>
        <v>0</v>
      </c>
      <c r="W35" s="2"/>
      <c r="X35" s="6">
        <f t="shared" si="19"/>
        <v>0</v>
      </c>
      <c r="Y35" s="2"/>
      <c r="Z35" s="7">
        <f t="shared" si="20"/>
        <v>0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6">
        <v>2596</v>
      </c>
      <c r="E36" s="2"/>
      <c r="F36" s="7">
        <f t="shared" si="13"/>
        <v>3.8923685137374667E-2</v>
      </c>
      <c r="G36" s="2"/>
      <c r="H36" s="6">
        <v>1524.1520769230799</v>
      </c>
      <c r="I36" s="2"/>
      <c r="J36" s="7">
        <f t="shared" si="14"/>
        <v>0.13995886840432323</v>
      </c>
      <c r="K36" s="2"/>
      <c r="L36" s="6">
        <f t="shared" si="15"/>
        <v>1071.8479230769201</v>
      </c>
      <c r="M36" s="2"/>
      <c r="N36" s="7">
        <f t="shared" si="16"/>
        <v>0.7032421103547225</v>
      </c>
      <c r="O36" s="11"/>
      <c r="P36" s="6">
        <v>32188.22</v>
      </c>
      <c r="Q36" s="2"/>
      <c r="R36" s="7">
        <f t="shared" si="17"/>
        <v>5.5016046208650672E-2</v>
      </c>
      <c r="S36" s="2"/>
      <c r="T36" s="6">
        <v>19701.706999999999</v>
      </c>
      <c r="U36" s="2"/>
      <c r="V36" s="7">
        <f t="shared" si="18"/>
        <v>8.4308821704431172E-2</v>
      </c>
      <c r="W36" s="2"/>
      <c r="X36" s="6">
        <f t="shared" si="19"/>
        <v>12486.513000000003</v>
      </c>
      <c r="Y36" s="2"/>
      <c r="Z36" s="7">
        <f t="shared" si="20"/>
        <v>0.6337782304853079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6">
        <v>1510.2</v>
      </c>
      <c r="E37" s="2"/>
      <c r="F37" s="7">
        <f t="shared" si="13"/>
        <v>2.2643508973213877E-2</v>
      </c>
      <c r="G37" s="2"/>
      <c r="H37" s="6">
        <v>504.97899999999998</v>
      </c>
      <c r="I37" s="2"/>
      <c r="J37" s="7">
        <f t="shared" si="14"/>
        <v>4.6370890725436181E-2</v>
      </c>
      <c r="K37" s="2"/>
      <c r="L37" s="6">
        <f t="shared" si="15"/>
        <v>1005.221</v>
      </c>
      <c r="M37" s="2"/>
      <c r="N37" s="7">
        <f t="shared" si="16"/>
        <v>1.9906194118963363</v>
      </c>
      <c r="O37" s="11"/>
      <c r="P37" s="6">
        <v>18475.490000000002</v>
      </c>
      <c r="Q37" s="2"/>
      <c r="R37" s="7">
        <f t="shared" si="17"/>
        <v>3.1578273404601544E-2</v>
      </c>
      <c r="S37" s="2"/>
      <c r="T37" s="6">
        <v>7441.2474000000002</v>
      </c>
      <c r="U37" s="2"/>
      <c r="V37" s="7">
        <f t="shared" si="18"/>
        <v>3.1843068232877594E-2</v>
      </c>
      <c r="W37" s="2"/>
      <c r="X37" s="6">
        <f t="shared" si="19"/>
        <v>11034.242600000001</v>
      </c>
      <c r="Y37" s="2"/>
      <c r="Z37" s="7">
        <f t="shared" si="20"/>
        <v>1.4828485073618169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6">
        <v>741.76</v>
      </c>
      <c r="E38" s="2"/>
      <c r="F38" s="7">
        <f t="shared" si="13"/>
        <v>1.1121738323381754E-2</v>
      </c>
      <c r="G38" s="2"/>
      <c r="H38" s="6">
        <v>350</v>
      </c>
      <c r="I38" s="2"/>
      <c r="J38" s="7">
        <f t="shared" si="14"/>
        <v>3.2139577594123052E-2</v>
      </c>
      <c r="K38" s="2"/>
      <c r="L38" s="6">
        <f t="shared" si="15"/>
        <v>391.76</v>
      </c>
      <c r="M38" s="2"/>
      <c r="N38" s="7">
        <f t="shared" si="16"/>
        <v>1.1193142857142857</v>
      </c>
      <c r="O38" s="11"/>
      <c r="P38" s="6">
        <v>6437.18</v>
      </c>
      <c r="Q38" s="2"/>
      <c r="R38" s="7">
        <f t="shared" si="17"/>
        <v>1.100241617378662E-2</v>
      </c>
      <c r="S38" s="2"/>
      <c r="T38" s="6">
        <v>4200</v>
      </c>
      <c r="U38" s="2"/>
      <c r="V38" s="7">
        <f t="shared" si="18"/>
        <v>1.7972912253674818E-2</v>
      </c>
      <c r="W38" s="2"/>
      <c r="X38" s="6">
        <f t="shared" si="19"/>
        <v>2237.1800000000003</v>
      </c>
      <c r="Y38" s="2"/>
      <c r="Z38" s="7">
        <f t="shared" si="20"/>
        <v>0.53266190476190478</v>
      </c>
    </row>
    <row r="39" spans="1:26" s="27" customFormat="1" outlineLevel="1" collapsed="1" x14ac:dyDescent="0.25">
      <c r="A39" s="25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29816.31</v>
      </c>
      <c r="E39" s="1"/>
      <c r="F39" s="5">
        <f t="shared" ref="F39:F49" si="21">IF(D$12=0,0,D39/D$12)</f>
        <v>0.44705726594697837</v>
      </c>
      <c r="G39" s="1"/>
      <c r="H39" s="1">
        <f>SUM(OSRRefH22_1x_0)</f>
        <v>20309.679692307691</v>
      </c>
      <c r="I39" s="1"/>
      <c r="J39" s="5">
        <f t="shared" ref="J39:J49" si="22">IF(H$12=0,0,H39/H$12)</f>
        <v>1.8649843610934518</v>
      </c>
      <c r="K39" s="1"/>
      <c r="L39" s="1">
        <f t="shared" ref="L39:L49" si="23">+D39-H39</f>
        <v>9506.6303076923105</v>
      </c>
      <c r="M39" s="1"/>
      <c r="N39" s="5">
        <f t="shared" ref="N39:N49" si="24">IF(H39=0,0,L39/H39)</f>
        <v>0.46808371435286372</v>
      </c>
      <c r="O39" s="13"/>
      <c r="P39" s="1">
        <f>SUM(OSRRefP22_1x_0)</f>
        <v>349330.91</v>
      </c>
      <c r="Q39" s="1"/>
      <c r="R39" s="5">
        <f t="shared" ref="R39:R49" si="25">IF(P$12=0,0,P39/P$12)</f>
        <v>0.59707574655168838</v>
      </c>
      <c r="S39" s="1"/>
      <c r="T39" s="1">
        <f>SUM(OSRRefT22_1x_0)</f>
        <v>293975.86560000002</v>
      </c>
      <c r="U39" s="1"/>
      <c r="V39" s="5">
        <f t="shared" ref="V39:V49" si="26">IF(T$12=0,0,T39/T$12)</f>
        <v>1.2580005802683101</v>
      </c>
      <c r="W39" s="1"/>
      <c r="X39" s="1">
        <f t="shared" ref="X39:X49" si="27">+P39-T39</f>
        <v>55355.044399999955</v>
      </c>
      <c r="Y39" s="1"/>
      <c r="Z39" s="5">
        <f t="shared" ref="Z39:Z49" si="28">IF(T39=0,0,X39/T39)</f>
        <v>0.18829792128350809</v>
      </c>
    </row>
    <row r="40" spans="1:26" s="24" customFormat="1" hidden="1" outlineLevel="2" x14ac:dyDescent="0.25">
      <c r="A40" s="26"/>
      <c r="B40" s="11" t="str">
        <f>CONCATENATE("          ", "6001", " - ", "ADMINISTRATIVE SALARIES")</f>
        <v xml:space="preserve">          6001 - ADMINISTRATIVE SALARIES</v>
      </c>
      <c r="C40" s="11"/>
      <c r="D40" s="6">
        <v>11069.28</v>
      </c>
      <c r="E40" s="2"/>
      <c r="F40" s="7">
        <f t="shared" si="21"/>
        <v>0.16596963382798102</v>
      </c>
      <c r="G40" s="2"/>
      <c r="H40" s="6">
        <v>9962.3076923076896</v>
      </c>
      <c r="I40" s="2"/>
      <c r="J40" s="7">
        <f t="shared" si="22"/>
        <v>0.91481246026700547</v>
      </c>
      <c r="K40" s="2"/>
      <c r="L40" s="6">
        <f t="shared" si="23"/>
        <v>1106.972307692311</v>
      </c>
      <c r="M40" s="2"/>
      <c r="N40" s="7">
        <f t="shared" si="24"/>
        <v>0.11111605281445484</v>
      </c>
      <c r="O40" s="11"/>
      <c r="P40" s="6">
        <v>130427.41</v>
      </c>
      <c r="Q40" s="2"/>
      <c r="R40" s="7">
        <f t="shared" si="25"/>
        <v>0.22292628841963386</v>
      </c>
      <c r="S40" s="2"/>
      <c r="T40" s="6">
        <v>129510</v>
      </c>
      <c r="U40" s="2"/>
      <c r="V40" s="7">
        <f t="shared" si="26"/>
        <v>0.55420758713652996</v>
      </c>
      <c r="W40" s="2"/>
      <c r="X40" s="6">
        <f t="shared" si="27"/>
        <v>917.41000000000349</v>
      </c>
      <c r="Y40" s="2"/>
      <c r="Z40" s="7">
        <f t="shared" si="28"/>
        <v>7.0837001003783758E-3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12905.62</v>
      </c>
      <c r="E41" s="2"/>
      <c r="F41" s="7">
        <f t="shared" si="21"/>
        <v>0.19350319313659681</v>
      </c>
      <c r="G41" s="2"/>
      <c r="H41" s="6">
        <v>4543.7219999999998</v>
      </c>
      <c r="I41" s="2"/>
      <c r="J41" s="7">
        <f t="shared" si="22"/>
        <v>0.41723801652892561</v>
      </c>
      <c r="K41" s="2"/>
      <c r="L41" s="6">
        <f t="shared" si="23"/>
        <v>8361.898000000001</v>
      </c>
      <c r="M41" s="2"/>
      <c r="N41" s="7">
        <f t="shared" si="24"/>
        <v>1.8403190159961373</v>
      </c>
      <c r="O41" s="11"/>
      <c r="P41" s="6">
        <v>177119.97</v>
      </c>
      <c r="Q41" s="2"/>
      <c r="R41" s="7">
        <f t="shared" si="25"/>
        <v>0.3027331257831225</v>
      </c>
      <c r="S41" s="2"/>
      <c r="T41" s="6">
        <v>59068.385999999999</v>
      </c>
      <c r="U41" s="2"/>
      <c r="V41" s="7">
        <f t="shared" si="26"/>
        <v>0.2527692663200462</v>
      </c>
      <c r="W41" s="2"/>
      <c r="X41" s="6">
        <f t="shared" si="27"/>
        <v>118051.584</v>
      </c>
      <c r="Y41" s="2"/>
      <c r="Z41" s="7">
        <f t="shared" si="28"/>
        <v>1.9985578072168757</v>
      </c>
    </row>
    <row r="42" spans="1:26" s="24" customFormat="1" hidden="1" outlineLevel="2" x14ac:dyDescent="0.25">
      <c r="A42" s="26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6">
        <v>4444.6899999999996</v>
      </c>
      <c r="E43" s="2"/>
      <c r="F43" s="7">
        <f t="shared" si="21"/>
        <v>6.664241683098529E-2</v>
      </c>
      <c r="G43" s="2"/>
      <c r="H43" s="6">
        <v>2966.4</v>
      </c>
      <c r="I43" s="2"/>
      <c r="J43" s="7">
        <f t="shared" si="22"/>
        <v>0.27239669421487606</v>
      </c>
      <c r="K43" s="2"/>
      <c r="L43" s="6">
        <f t="shared" si="23"/>
        <v>1478.2899999999995</v>
      </c>
      <c r="M43" s="2"/>
      <c r="N43" s="7">
        <f t="shared" si="24"/>
        <v>0.49834479503775603</v>
      </c>
      <c r="O43" s="11"/>
      <c r="P43" s="6">
        <v>35907.72</v>
      </c>
      <c r="Q43" s="2"/>
      <c r="R43" s="7">
        <f t="shared" si="25"/>
        <v>6.1373408742928001E-2</v>
      </c>
      <c r="S43" s="2"/>
      <c r="T43" s="6">
        <v>36542.339999999997</v>
      </c>
      <c r="U43" s="2"/>
      <c r="V43" s="7">
        <f t="shared" si="26"/>
        <v>0.1563743500866551</v>
      </c>
      <c r="W43" s="2"/>
      <c r="X43" s="6">
        <f t="shared" si="27"/>
        <v>-634.61999999999534</v>
      </c>
      <c r="Y43" s="2"/>
      <c r="Z43" s="7">
        <f t="shared" si="28"/>
        <v>-1.7366703938499709E-2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6">
        <v>1311.04</v>
      </c>
      <c r="E44" s="2"/>
      <c r="F44" s="7">
        <f t="shared" si="21"/>
        <v>1.9657360617297261E-2</v>
      </c>
      <c r="G44" s="2"/>
      <c r="H44" s="6">
        <v>1815.84</v>
      </c>
      <c r="I44" s="2"/>
      <c r="J44" s="7">
        <f t="shared" si="22"/>
        <v>0.16674380165289254</v>
      </c>
      <c r="K44" s="2"/>
      <c r="L44" s="6">
        <f t="shared" si="23"/>
        <v>-504.79999999999995</v>
      </c>
      <c r="M44" s="2"/>
      <c r="N44" s="7">
        <f t="shared" si="24"/>
        <v>-0.27799806150321615</v>
      </c>
      <c r="O44" s="11"/>
      <c r="P44" s="6">
        <v>5642.44</v>
      </c>
      <c r="Q44" s="2"/>
      <c r="R44" s="7">
        <f t="shared" si="25"/>
        <v>9.6440480327753091E-3</v>
      </c>
      <c r="S44" s="2"/>
      <c r="T44" s="6">
        <v>36362.196000000004</v>
      </c>
      <c r="U44" s="2"/>
      <c r="V44" s="7">
        <f t="shared" si="26"/>
        <v>0.15560346620450607</v>
      </c>
      <c r="W44" s="2"/>
      <c r="X44" s="6">
        <f t="shared" si="27"/>
        <v>-30719.756000000005</v>
      </c>
      <c r="Y44" s="2"/>
      <c r="Z44" s="7">
        <f t="shared" si="28"/>
        <v>-0.84482675358770964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6">
        <v>85.68</v>
      </c>
      <c r="E46" s="2"/>
      <c r="F46" s="7">
        <f t="shared" si="21"/>
        <v>1.2846615341179746E-3</v>
      </c>
      <c r="G46" s="2"/>
      <c r="H46" s="6">
        <v>1021.41</v>
      </c>
      <c r="I46" s="2"/>
      <c r="J46" s="7">
        <f t="shared" si="22"/>
        <v>9.3793388429752059E-2</v>
      </c>
      <c r="K46" s="2"/>
      <c r="L46" s="6">
        <f t="shared" si="23"/>
        <v>-935.73</v>
      </c>
      <c r="M46" s="2"/>
      <c r="N46" s="7">
        <f t="shared" si="24"/>
        <v>-0.91611595735307083</v>
      </c>
      <c r="O46" s="11"/>
      <c r="P46" s="6">
        <v>233.37</v>
      </c>
      <c r="Q46" s="2"/>
      <c r="R46" s="7">
        <f t="shared" si="25"/>
        <v>3.9887557322874039E-4</v>
      </c>
      <c r="S46" s="2"/>
      <c r="T46" s="6">
        <v>4475.5411999999997</v>
      </c>
      <c r="U46" s="2"/>
      <c r="V46" s="7">
        <f t="shared" si="26"/>
        <v>1.9152026017930118E-2</v>
      </c>
      <c r="W46" s="2"/>
      <c r="X46" s="6">
        <f t="shared" si="27"/>
        <v>-4242.1711999999998</v>
      </c>
      <c r="Y46" s="2"/>
      <c r="Z46" s="7">
        <f t="shared" si="28"/>
        <v>-0.94785658547842211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28017.402399999999</v>
      </c>
      <c r="U47" s="2"/>
      <c r="V47" s="7">
        <f t="shared" si="26"/>
        <v>0.11989388450264245</v>
      </c>
      <c r="W47" s="2"/>
      <c r="X47" s="6">
        <f t="shared" si="27"/>
        <v>-28017.402399999999</v>
      </c>
      <c r="Y47" s="2"/>
      <c r="Z47" s="7">
        <f t="shared" si="28"/>
        <v>-1</v>
      </c>
    </row>
    <row r="48" spans="1:26" s="24" customFormat="1" hidden="1" outlineLevel="2" x14ac:dyDescent="0.25">
      <c r="A48" s="26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6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5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38.29</v>
      </c>
      <c r="E50" s="1"/>
      <c r="F50" s="5">
        <f t="shared" ref="F50:F59" si="29">IF(D$12=0,0,D50/D$12)</f>
        <v>5.7410936206089217E-4</v>
      </c>
      <c r="G50" s="1"/>
      <c r="H50" s="1">
        <f>SUM(OSRRefH22_2x_0)</f>
        <v>300</v>
      </c>
      <c r="I50" s="1"/>
      <c r="J50" s="5">
        <f t="shared" ref="J50:J59" si="30">IF(H$12=0,0,H50/H$12)</f>
        <v>2.7548209366391185E-2</v>
      </c>
      <c r="K50" s="1"/>
      <c r="L50" s="1">
        <f t="shared" ref="L50:L59" si="31">+D50-H50</f>
        <v>-261.70999999999998</v>
      </c>
      <c r="M50" s="1"/>
      <c r="N50" s="5">
        <f t="shared" ref="N50:N59" si="32">IF(H50=0,0,L50/H50)</f>
        <v>-0.87236666666666662</v>
      </c>
      <c r="O50" s="13"/>
      <c r="P50" s="1">
        <f>SUM(OSRRefP22_2x_0)</f>
        <v>485.74</v>
      </c>
      <c r="Q50" s="1"/>
      <c r="R50" s="5">
        <f t="shared" ref="R50:R59" si="33">IF(P$12=0,0,P50/P$12)</f>
        <v>8.3022591138590379E-4</v>
      </c>
      <c r="S50" s="1"/>
      <c r="T50" s="1">
        <f>SUM(OSRRefT22_2x_0)</f>
        <v>6479</v>
      </c>
      <c r="U50" s="1"/>
      <c r="V50" s="5">
        <f t="shared" ref="V50:V59" si="34">IF(T$12=0,0,T50/T$12)</f>
        <v>2.7725356783704559E-2</v>
      </c>
      <c r="W50" s="1"/>
      <c r="X50" s="1">
        <f t="shared" ref="X50:X59" si="35">+P50-T50</f>
        <v>-5993.26</v>
      </c>
      <c r="Y50" s="1"/>
      <c r="Z50" s="5">
        <f t="shared" ref="Z50:Z59" si="36">IF(T50=0,0,X50/T50)</f>
        <v>-0.92502855378916504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>
        <v>38.29</v>
      </c>
      <c r="E51" s="2"/>
      <c r="F51" s="7">
        <f t="shared" si="29"/>
        <v>5.7410936206089217E-4</v>
      </c>
      <c r="G51" s="2"/>
      <c r="H51" s="6">
        <v>300</v>
      </c>
      <c r="I51" s="2"/>
      <c r="J51" s="7">
        <f t="shared" si="30"/>
        <v>2.7548209366391185E-2</v>
      </c>
      <c r="K51" s="2"/>
      <c r="L51" s="6">
        <f t="shared" si="31"/>
        <v>-261.70999999999998</v>
      </c>
      <c r="M51" s="2"/>
      <c r="N51" s="7">
        <f t="shared" si="32"/>
        <v>-0.87236666666666662</v>
      </c>
      <c r="O51" s="11"/>
      <c r="P51" s="6">
        <v>485.74</v>
      </c>
      <c r="Q51" s="2"/>
      <c r="R51" s="7">
        <f t="shared" si="33"/>
        <v>8.3022591138590379E-4</v>
      </c>
      <c r="S51" s="2"/>
      <c r="T51" s="6">
        <v>6479</v>
      </c>
      <c r="U51" s="2"/>
      <c r="V51" s="7">
        <f t="shared" si="34"/>
        <v>2.7725356783704559E-2</v>
      </c>
      <c r="W51" s="2"/>
      <c r="X51" s="6">
        <f t="shared" si="35"/>
        <v>-5993.26</v>
      </c>
      <c r="Y51" s="2"/>
      <c r="Z51" s="7">
        <f t="shared" si="36"/>
        <v>-0.92502855378916504</v>
      </c>
    </row>
    <row r="52" spans="1:26" s="27" customFormat="1" outlineLevel="1" collapsed="1" x14ac:dyDescent="0.25">
      <c r="A52" s="25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-2.67</v>
      </c>
      <c r="E52" s="1"/>
      <c r="F52" s="5">
        <f t="shared" si="29"/>
        <v>-4.0033220075805223E-5</v>
      </c>
      <c r="G52" s="1"/>
      <c r="H52" s="1">
        <f>SUM(OSRRefH22_3x_0)</f>
        <v>5</v>
      </c>
      <c r="I52" s="1"/>
      <c r="J52" s="5">
        <f t="shared" si="30"/>
        <v>4.591368227731864E-4</v>
      </c>
      <c r="K52" s="1"/>
      <c r="L52" s="1">
        <f t="shared" si="31"/>
        <v>-7.67</v>
      </c>
      <c r="M52" s="1"/>
      <c r="N52" s="5">
        <f t="shared" si="32"/>
        <v>-1.534</v>
      </c>
      <c r="O52" s="13"/>
      <c r="P52" s="1">
        <f>SUM(OSRRefP22_3x_0)</f>
        <v>13.53</v>
      </c>
      <c r="Q52" s="1"/>
      <c r="R52" s="5">
        <f t="shared" si="33"/>
        <v>2.3125451025345408E-5</v>
      </c>
      <c r="S52" s="1"/>
      <c r="T52" s="1">
        <f>SUM(OSRRefT22_3x_0)</f>
        <v>90</v>
      </c>
      <c r="U52" s="1"/>
      <c r="V52" s="5">
        <f t="shared" si="34"/>
        <v>3.8513383400731754E-4</v>
      </c>
      <c r="W52" s="1"/>
      <c r="X52" s="1">
        <f t="shared" si="35"/>
        <v>-76.47</v>
      </c>
      <c r="Y52" s="1"/>
      <c r="Z52" s="5">
        <f t="shared" si="36"/>
        <v>-0.84966666666666668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6">
        <v>-2.67</v>
      </c>
      <c r="E53" s="2"/>
      <c r="F53" s="7">
        <f t="shared" si="29"/>
        <v>-4.0033220075805223E-5</v>
      </c>
      <c r="G53" s="2"/>
      <c r="H53" s="6">
        <v>5</v>
      </c>
      <c r="I53" s="2"/>
      <c r="J53" s="7">
        <f t="shared" si="30"/>
        <v>4.591368227731864E-4</v>
      </c>
      <c r="K53" s="2"/>
      <c r="L53" s="6">
        <f t="shared" si="31"/>
        <v>-7.67</v>
      </c>
      <c r="M53" s="2"/>
      <c r="N53" s="7">
        <f t="shared" si="32"/>
        <v>-1.534</v>
      </c>
      <c r="O53" s="11"/>
      <c r="P53" s="6">
        <v>13.53</v>
      </c>
      <c r="Q53" s="2"/>
      <c r="R53" s="7">
        <f t="shared" si="33"/>
        <v>2.3125451025345408E-5</v>
      </c>
      <c r="S53" s="2"/>
      <c r="T53" s="6">
        <v>90</v>
      </c>
      <c r="U53" s="2"/>
      <c r="V53" s="7">
        <f t="shared" si="34"/>
        <v>3.8513383400731754E-4</v>
      </c>
      <c r="W53" s="2"/>
      <c r="X53" s="6">
        <f t="shared" si="35"/>
        <v>-76.47</v>
      </c>
      <c r="Y53" s="2"/>
      <c r="Z53" s="7">
        <f t="shared" si="36"/>
        <v>-0.84966666666666668</v>
      </c>
    </row>
    <row r="54" spans="1:26" s="27" customFormat="1" outlineLevel="1" collapsed="1" x14ac:dyDescent="0.25">
      <c r="A54" s="25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829.57</v>
      </c>
      <c r="E54" s="1"/>
      <c r="F54" s="5">
        <f t="shared" si="29"/>
        <v>1.2438336471268069E-2</v>
      </c>
      <c r="G54" s="1"/>
      <c r="H54" s="1">
        <f>SUM(OSRRefH22_4x_0)</f>
        <v>860</v>
      </c>
      <c r="I54" s="1"/>
      <c r="J54" s="5">
        <f t="shared" si="30"/>
        <v>7.897153351698806E-2</v>
      </c>
      <c r="K54" s="1"/>
      <c r="L54" s="1">
        <f t="shared" si="31"/>
        <v>-30.42999999999995</v>
      </c>
      <c r="M54" s="1"/>
      <c r="N54" s="5">
        <f t="shared" si="32"/>
        <v>-3.5383720930232503E-2</v>
      </c>
      <c r="O54" s="13"/>
      <c r="P54" s="1">
        <f>SUM(OSRRefP22_4x_0)</f>
        <v>7847.7</v>
      </c>
      <c r="Q54" s="1"/>
      <c r="R54" s="5">
        <f t="shared" si="33"/>
        <v>1.3413274354146574E-2</v>
      </c>
      <c r="S54" s="1"/>
      <c r="T54" s="1">
        <f>SUM(OSRRefT22_4x_0)</f>
        <v>28242</v>
      </c>
      <c r="U54" s="1"/>
      <c r="V54" s="5">
        <f t="shared" si="34"/>
        <v>0.12085499711149625</v>
      </c>
      <c r="W54" s="1"/>
      <c r="X54" s="1">
        <f t="shared" si="35"/>
        <v>-20394.3</v>
      </c>
      <c r="Y54" s="1"/>
      <c r="Z54" s="5">
        <f t="shared" si="36"/>
        <v>-0.72212661992776717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6">
        <v>829.57</v>
      </c>
      <c r="E55" s="2"/>
      <c r="F55" s="7">
        <f t="shared" si="29"/>
        <v>1.2438336471268069E-2</v>
      </c>
      <c r="G55" s="2"/>
      <c r="H55" s="6">
        <v>860</v>
      </c>
      <c r="I55" s="2"/>
      <c r="J55" s="7">
        <f t="shared" si="30"/>
        <v>7.897153351698806E-2</v>
      </c>
      <c r="K55" s="2"/>
      <c r="L55" s="6">
        <f t="shared" si="31"/>
        <v>-30.42999999999995</v>
      </c>
      <c r="M55" s="2"/>
      <c r="N55" s="7">
        <f t="shared" si="32"/>
        <v>-3.5383720930232503E-2</v>
      </c>
      <c r="O55" s="11"/>
      <c r="P55" s="6">
        <v>7847.7</v>
      </c>
      <c r="Q55" s="2"/>
      <c r="R55" s="7">
        <f t="shared" si="33"/>
        <v>1.3413274354146574E-2</v>
      </c>
      <c r="S55" s="2"/>
      <c r="T55" s="6">
        <v>28242</v>
      </c>
      <c r="U55" s="2"/>
      <c r="V55" s="7">
        <f t="shared" si="34"/>
        <v>0.12085499711149625</v>
      </c>
      <c r="W55" s="2"/>
      <c r="X55" s="6">
        <f t="shared" si="35"/>
        <v>-20394.3</v>
      </c>
      <c r="Y55" s="2"/>
      <c r="Z55" s="7">
        <f t="shared" si="36"/>
        <v>-0.72212661992776717</v>
      </c>
    </row>
    <row r="56" spans="1:26" s="27" customFormat="1" outlineLevel="1" collapsed="1" x14ac:dyDescent="0.25">
      <c r="A56" s="25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31043.919999999998</v>
      </c>
      <c r="E56" s="1"/>
      <c r="F56" s="5">
        <f t="shared" si="29"/>
        <v>0.46546370088977201</v>
      </c>
      <c r="G56" s="1"/>
      <c r="H56" s="1">
        <f>SUM(OSRRefH22_5x_0)</f>
        <v>35577</v>
      </c>
      <c r="I56" s="1"/>
      <c r="J56" s="5">
        <f t="shared" si="30"/>
        <v>3.2669421487603305</v>
      </c>
      <c r="K56" s="1"/>
      <c r="L56" s="1">
        <f t="shared" si="31"/>
        <v>-4533.0800000000017</v>
      </c>
      <c r="M56" s="1"/>
      <c r="N56" s="5">
        <f t="shared" si="32"/>
        <v>-0.12741602720858985</v>
      </c>
      <c r="O56" s="13"/>
      <c r="P56" s="1">
        <f>SUM(OSRRefP22_5x_0)</f>
        <v>437795.77</v>
      </c>
      <c r="Q56" s="1"/>
      <c r="R56" s="5">
        <f t="shared" si="33"/>
        <v>0.7482797219688383</v>
      </c>
      <c r="S56" s="1"/>
      <c r="T56" s="1">
        <f>SUM(OSRRefT22_5x_0)</f>
        <v>453068</v>
      </c>
      <c r="U56" s="1"/>
      <c r="V56" s="5">
        <f t="shared" si="34"/>
        <v>1.9387979545114149</v>
      </c>
      <c r="W56" s="1"/>
      <c r="X56" s="1">
        <f t="shared" si="35"/>
        <v>-15272.229999999981</v>
      </c>
      <c r="Y56" s="1"/>
      <c r="Z56" s="5">
        <f t="shared" si="36"/>
        <v>-3.3708472017445465E-2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6">
        <v>23583.53</v>
      </c>
      <c r="E57" s="2"/>
      <c r="F57" s="7">
        <f t="shared" si="29"/>
        <v>0.35360473657466474</v>
      </c>
      <c r="G57" s="2"/>
      <c r="H57" s="6"/>
      <c r="I57" s="2"/>
      <c r="J57" s="7">
        <f t="shared" si="30"/>
        <v>0</v>
      </c>
      <c r="K57" s="2"/>
      <c r="L57" s="6">
        <f t="shared" si="31"/>
        <v>23583.53</v>
      </c>
      <c r="M57" s="2"/>
      <c r="N57" s="7">
        <f t="shared" si="32"/>
        <v>0</v>
      </c>
      <c r="O57" s="11"/>
      <c r="P57" s="6">
        <v>283786.11</v>
      </c>
      <c r="Q57" s="2"/>
      <c r="R57" s="7">
        <f t="shared" si="33"/>
        <v>0.48504669537903061</v>
      </c>
      <c r="S57" s="2"/>
      <c r="T57" s="6"/>
      <c r="U57" s="2"/>
      <c r="V57" s="7">
        <f t="shared" si="34"/>
        <v>0</v>
      </c>
      <c r="W57" s="2"/>
      <c r="X57" s="6">
        <f t="shared" si="35"/>
        <v>283786.11</v>
      </c>
      <c r="Y57" s="2"/>
      <c r="Z57" s="7">
        <f t="shared" si="36"/>
        <v>0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7460.39</v>
      </c>
      <c r="E58" s="2"/>
      <c r="F58" s="7">
        <f t="shared" si="29"/>
        <v>0.11185896431510732</v>
      </c>
      <c r="G58" s="2"/>
      <c r="H58" s="6">
        <v>35027</v>
      </c>
      <c r="I58" s="2"/>
      <c r="J58" s="7">
        <f t="shared" si="30"/>
        <v>3.2164370982552799</v>
      </c>
      <c r="K58" s="2"/>
      <c r="L58" s="6">
        <f t="shared" si="31"/>
        <v>-27566.61</v>
      </c>
      <c r="M58" s="2"/>
      <c r="N58" s="7">
        <f t="shared" si="32"/>
        <v>-0.78701030633511293</v>
      </c>
      <c r="O58" s="11"/>
      <c r="P58" s="6">
        <v>154009.66</v>
      </c>
      <c r="Q58" s="2"/>
      <c r="R58" s="7">
        <f t="shared" si="33"/>
        <v>0.26323302658980768</v>
      </c>
      <c r="S58" s="2"/>
      <c r="T58" s="6">
        <v>446468</v>
      </c>
      <c r="U58" s="2"/>
      <c r="V58" s="7">
        <f t="shared" si="34"/>
        <v>1.9105548066842117</v>
      </c>
      <c r="W58" s="2"/>
      <c r="X58" s="6">
        <f t="shared" si="35"/>
        <v>-292458.33999999997</v>
      </c>
      <c r="Y58" s="2"/>
      <c r="Z58" s="7">
        <f t="shared" si="36"/>
        <v>-0.65504882768753858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6"/>
      <c r="E59" s="2"/>
      <c r="F59" s="7">
        <f t="shared" si="29"/>
        <v>0</v>
      </c>
      <c r="G59" s="2"/>
      <c r="H59" s="6">
        <v>550</v>
      </c>
      <c r="I59" s="2"/>
      <c r="J59" s="7">
        <f t="shared" si="30"/>
        <v>5.0505050505050504E-2</v>
      </c>
      <c r="K59" s="2"/>
      <c r="L59" s="6">
        <f t="shared" si="31"/>
        <v>-550</v>
      </c>
      <c r="M59" s="2"/>
      <c r="N59" s="7">
        <f t="shared" si="32"/>
        <v>-1</v>
      </c>
      <c r="O59" s="11"/>
      <c r="P59" s="6"/>
      <c r="Q59" s="2"/>
      <c r="R59" s="7">
        <f t="shared" si="33"/>
        <v>0</v>
      </c>
      <c r="S59" s="2"/>
      <c r="T59" s="6">
        <v>6600</v>
      </c>
      <c r="U59" s="2"/>
      <c r="V59" s="7">
        <f t="shared" si="34"/>
        <v>2.8243147827203288E-2</v>
      </c>
      <c r="W59" s="2"/>
      <c r="X59" s="6">
        <f t="shared" si="35"/>
        <v>-6600</v>
      </c>
      <c r="Y59" s="2"/>
      <c r="Z59" s="7">
        <f t="shared" si="36"/>
        <v>-1</v>
      </c>
    </row>
    <row r="60" spans="1:26" s="27" customFormat="1" outlineLevel="1" collapsed="1" x14ac:dyDescent="0.25">
      <c r="A60" s="25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80" si="37">IF(D$12=0,0,D60/D$12)</f>
        <v>0</v>
      </c>
      <c r="G60" s="1"/>
      <c r="H60" s="1">
        <f>SUM(OSRRefH22_6x_0)</f>
        <v>0</v>
      </c>
      <c r="I60" s="1"/>
      <c r="J60" s="5">
        <f t="shared" ref="J60:J80" si="38">IF(H$12=0,0,H60/H$12)</f>
        <v>0</v>
      </c>
      <c r="K60" s="1"/>
      <c r="L60" s="1">
        <f t="shared" ref="L60:L80" si="39">+D60-H60</f>
        <v>0</v>
      </c>
      <c r="M60" s="1"/>
      <c r="N60" s="5">
        <f t="shared" ref="N60:N80" si="40">IF(H60=0,0,L60/H60)</f>
        <v>0</v>
      </c>
      <c r="O60" s="13"/>
      <c r="P60" s="1">
        <f>SUM(OSRRefP22_6x_0)</f>
        <v>10</v>
      </c>
      <c r="Q60" s="1"/>
      <c r="R60" s="5">
        <f t="shared" ref="R60:R80" si="41">IF(P$12=0,0,P60/P$12)</f>
        <v>1.7091981541275246E-5</v>
      </c>
      <c r="S60" s="1"/>
      <c r="T60" s="1">
        <f>SUM(OSRRefT22_6x_0)</f>
        <v>200</v>
      </c>
      <c r="U60" s="1"/>
      <c r="V60" s="5">
        <f t="shared" ref="V60:V80" si="42">IF(T$12=0,0,T60/T$12)</f>
        <v>8.5585296446070568E-4</v>
      </c>
      <c r="W60" s="1"/>
      <c r="X60" s="1">
        <f t="shared" ref="X60:X80" si="43">+P60-T60</f>
        <v>-190</v>
      </c>
      <c r="Y60" s="1"/>
      <c r="Z60" s="5">
        <f t="shared" ref="Z60:Z80" si="44">IF(T60=0,0,X60/T60)</f>
        <v>-0.95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37"/>
        <v>0</v>
      </c>
      <c r="G61" s="2"/>
      <c r="H61" s="6">
        <v>0</v>
      </c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10</v>
      </c>
      <c r="Q61" s="2"/>
      <c r="R61" s="7">
        <f t="shared" si="41"/>
        <v>1.7091981541275246E-5</v>
      </c>
      <c r="S61" s="2"/>
      <c r="T61" s="6">
        <v>200</v>
      </c>
      <c r="U61" s="2"/>
      <c r="V61" s="7">
        <f t="shared" si="42"/>
        <v>8.5585296446070568E-4</v>
      </c>
      <c r="W61" s="2"/>
      <c r="X61" s="6">
        <f t="shared" si="43"/>
        <v>-190</v>
      </c>
      <c r="Y61" s="2"/>
      <c r="Z61" s="7">
        <f t="shared" si="44"/>
        <v>-0.95</v>
      </c>
    </row>
    <row r="62" spans="1:26" s="27" customFormat="1" outlineLevel="1" collapsed="1" x14ac:dyDescent="0.25">
      <c r="A62" s="25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1075.32</v>
      </c>
      <c r="E62" s="1"/>
      <c r="F62" s="5">
        <f t="shared" si="37"/>
        <v>1.612304202693441E-2</v>
      </c>
      <c r="G62" s="1"/>
      <c r="H62" s="1">
        <f>SUM(OSRRefH22_7x_0)</f>
        <v>303.33333333333297</v>
      </c>
      <c r="I62" s="1"/>
      <c r="J62" s="5">
        <f t="shared" si="38"/>
        <v>2.7854300581573274E-2</v>
      </c>
      <c r="K62" s="1"/>
      <c r="L62" s="1">
        <f t="shared" si="39"/>
        <v>771.98666666666691</v>
      </c>
      <c r="M62" s="1"/>
      <c r="N62" s="5">
        <f t="shared" si="40"/>
        <v>2.5450109890109927</v>
      </c>
      <c r="O62" s="13"/>
      <c r="P62" s="1">
        <f>SUM(OSRRefP22_7x_0)</f>
        <v>7591.75</v>
      </c>
      <c r="Q62" s="1"/>
      <c r="R62" s="5">
        <f t="shared" si="41"/>
        <v>1.2975805086597635E-2</v>
      </c>
      <c r="S62" s="1"/>
      <c r="T62" s="1">
        <f>SUM(OSRRefT22_7x_0)</f>
        <v>3945</v>
      </c>
      <c r="U62" s="1"/>
      <c r="V62" s="5">
        <f t="shared" si="42"/>
        <v>1.6881699723987419E-2</v>
      </c>
      <c r="W62" s="1"/>
      <c r="X62" s="1">
        <f t="shared" si="43"/>
        <v>3646.75</v>
      </c>
      <c r="Y62" s="1"/>
      <c r="Z62" s="5">
        <f t="shared" si="44"/>
        <v>0.92439797211660335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6">
        <v>1075.32</v>
      </c>
      <c r="E63" s="2"/>
      <c r="F63" s="7">
        <f t="shared" si="37"/>
        <v>1.612304202693441E-2</v>
      </c>
      <c r="G63" s="2"/>
      <c r="H63" s="6">
        <v>303.33333333333297</v>
      </c>
      <c r="I63" s="2"/>
      <c r="J63" s="7">
        <f t="shared" si="38"/>
        <v>2.7854300581573274E-2</v>
      </c>
      <c r="K63" s="2"/>
      <c r="L63" s="6">
        <f t="shared" si="39"/>
        <v>771.98666666666691</v>
      </c>
      <c r="M63" s="2"/>
      <c r="N63" s="7">
        <f t="shared" si="40"/>
        <v>2.5450109890109927</v>
      </c>
      <c r="O63" s="11"/>
      <c r="P63" s="6">
        <v>7591.75</v>
      </c>
      <c r="Q63" s="2"/>
      <c r="R63" s="7">
        <f t="shared" si="41"/>
        <v>1.2975805086597635E-2</v>
      </c>
      <c r="S63" s="2"/>
      <c r="T63" s="6">
        <v>3945</v>
      </c>
      <c r="U63" s="2"/>
      <c r="V63" s="7">
        <f t="shared" si="42"/>
        <v>1.6881699723987419E-2</v>
      </c>
      <c r="W63" s="2"/>
      <c r="X63" s="6">
        <f t="shared" si="43"/>
        <v>3646.75</v>
      </c>
      <c r="Y63" s="2"/>
      <c r="Z63" s="7">
        <f t="shared" si="44"/>
        <v>0.92439797211660335</v>
      </c>
    </row>
    <row r="64" spans="1:26" s="27" customFormat="1" outlineLevel="1" collapsed="1" x14ac:dyDescent="0.25">
      <c r="A64" s="25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37"/>
        <v>0</v>
      </c>
      <c r="G64" s="1"/>
      <c r="H64" s="1">
        <f>SUM(OSRRefH22_8x_0)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SUM(OSRRefP22_8x_0)</f>
        <v>-2.4500000000000002</v>
      </c>
      <c r="Q64" s="1"/>
      <c r="R64" s="5">
        <f t="shared" si="41"/>
        <v>-4.1875354776124353E-6</v>
      </c>
      <c r="S64" s="1"/>
      <c r="T64" s="1">
        <f>SUM(OSRRefT22_8x_0)</f>
        <v>0</v>
      </c>
      <c r="U64" s="1"/>
      <c r="V64" s="5">
        <f t="shared" si="42"/>
        <v>0</v>
      </c>
      <c r="W64" s="1"/>
      <c r="X64" s="1">
        <f t="shared" si="43"/>
        <v>-2.4500000000000002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-2.4500000000000002</v>
      </c>
      <c r="Q65" s="2"/>
      <c r="R65" s="7">
        <f t="shared" si="41"/>
        <v>-4.1875354776124353E-6</v>
      </c>
      <c r="S65" s="2"/>
      <c r="T65" s="6"/>
      <c r="U65" s="2"/>
      <c r="V65" s="7">
        <f t="shared" si="42"/>
        <v>0</v>
      </c>
      <c r="W65" s="2"/>
      <c r="X65" s="6">
        <f t="shared" si="43"/>
        <v>-2.4500000000000002</v>
      </c>
      <c r="Y65" s="2"/>
      <c r="Z65" s="7">
        <f t="shared" si="44"/>
        <v>0</v>
      </c>
    </row>
    <row r="66" spans="1:26" s="27" customFormat="1" outlineLevel="1" collapsed="1" x14ac:dyDescent="0.25">
      <c r="A66" s="25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0</v>
      </c>
      <c r="E66" s="1"/>
      <c r="F66" s="5">
        <f t="shared" si="37"/>
        <v>0</v>
      </c>
      <c r="G66" s="1"/>
      <c r="H66" s="1">
        <f>SUM(OSRRefH22_9x_0)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SUM(OSRRefP22_9x_0)</f>
        <v>7630.48</v>
      </c>
      <c r="Q66" s="1"/>
      <c r="R66" s="5">
        <f t="shared" si="41"/>
        <v>1.3042002331106993E-2</v>
      </c>
      <c r="S66" s="1"/>
      <c r="T66" s="1">
        <f>SUM(OSRRefT22_9x_0)</f>
        <v>6610</v>
      </c>
      <c r="U66" s="1"/>
      <c r="V66" s="5">
        <f t="shared" si="42"/>
        <v>2.8285940475426322E-2</v>
      </c>
      <c r="W66" s="1"/>
      <c r="X66" s="1">
        <f t="shared" si="43"/>
        <v>1020.4799999999996</v>
      </c>
      <c r="Y66" s="1"/>
      <c r="Z66" s="5">
        <f t="shared" si="44"/>
        <v>0.15438426626323745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37"/>
        <v>0</v>
      </c>
      <c r="G67" s="2"/>
      <c r="H67" s="6">
        <v>0</v>
      </c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7630.48</v>
      </c>
      <c r="Q67" s="2"/>
      <c r="R67" s="7">
        <f t="shared" si="41"/>
        <v>1.3042002331106993E-2</v>
      </c>
      <c r="S67" s="2"/>
      <c r="T67" s="6">
        <v>6610</v>
      </c>
      <c r="U67" s="2"/>
      <c r="V67" s="7">
        <f t="shared" si="42"/>
        <v>2.8285940475426322E-2</v>
      </c>
      <c r="W67" s="2"/>
      <c r="X67" s="6">
        <f t="shared" si="43"/>
        <v>1020.4799999999996</v>
      </c>
      <c r="Y67" s="2"/>
      <c r="Z67" s="7">
        <f t="shared" si="44"/>
        <v>0.15438426626323745</v>
      </c>
    </row>
    <row r="68" spans="1:26" s="27" customFormat="1" outlineLevel="1" collapsed="1" x14ac:dyDescent="0.25">
      <c r="A68" s="25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9054.81</v>
      </c>
      <c r="E68" s="1"/>
      <c r="F68" s="5">
        <f t="shared" si="37"/>
        <v>0.13576524399797824</v>
      </c>
      <c r="G68" s="1"/>
      <c r="H68" s="1">
        <f>SUM(OSRRefH22_10x_0)</f>
        <v>4565</v>
      </c>
      <c r="I68" s="1"/>
      <c r="J68" s="5">
        <f t="shared" si="38"/>
        <v>0.41919191919191917</v>
      </c>
      <c r="K68" s="1"/>
      <c r="L68" s="1">
        <f t="shared" si="39"/>
        <v>4489.8099999999995</v>
      </c>
      <c r="M68" s="1"/>
      <c r="N68" s="5">
        <f t="shared" si="40"/>
        <v>0.98352902519167573</v>
      </c>
      <c r="O68" s="13"/>
      <c r="P68" s="1">
        <f>SUM(OSRRefP22_10x_0)</f>
        <v>61808.24</v>
      </c>
      <c r="Q68" s="1"/>
      <c r="R68" s="5">
        <f t="shared" si="41"/>
        <v>0.10564252971787103</v>
      </c>
      <c r="S68" s="1"/>
      <c r="T68" s="1">
        <f>SUM(OSRRefT22_10x_0)</f>
        <v>54780</v>
      </c>
      <c r="U68" s="1"/>
      <c r="V68" s="5">
        <f t="shared" si="42"/>
        <v>0.23441812696578729</v>
      </c>
      <c r="W68" s="1"/>
      <c r="X68" s="1">
        <f t="shared" si="43"/>
        <v>7028.239999999998</v>
      </c>
      <c r="Y68" s="1"/>
      <c r="Z68" s="5">
        <f t="shared" si="44"/>
        <v>0.12829937933552388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6">
        <v>9054.81</v>
      </c>
      <c r="E69" s="2"/>
      <c r="F69" s="7">
        <f t="shared" si="37"/>
        <v>0.13576524399797824</v>
      </c>
      <c r="G69" s="2"/>
      <c r="H69" s="6">
        <v>4565</v>
      </c>
      <c r="I69" s="2"/>
      <c r="J69" s="7">
        <f t="shared" si="38"/>
        <v>0.41919191919191917</v>
      </c>
      <c r="K69" s="2"/>
      <c r="L69" s="6">
        <f t="shared" si="39"/>
        <v>4489.8099999999995</v>
      </c>
      <c r="M69" s="2"/>
      <c r="N69" s="7">
        <f t="shared" si="40"/>
        <v>0.98352902519167573</v>
      </c>
      <c r="O69" s="11"/>
      <c r="P69" s="6">
        <v>61808.24</v>
      </c>
      <c r="Q69" s="2"/>
      <c r="R69" s="7">
        <f t="shared" si="41"/>
        <v>0.10564252971787103</v>
      </c>
      <c r="S69" s="2"/>
      <c r="T69" s="6">
        <v>54780</v>
      </c>
      <c r="U69" s="2"/>
      <c r="V69" s="7">
        <f t="shared" si="42"/>
        <v>0.23441812696578729</v>
      </c>
      <c r="W69" s="2"/>
      <c r="X69" s="6">
        <f t="shared" si="43"/>
        <v>7028.239999999998</v>
      </c>
      <c r="Y69" s="2"/>
      <c r="Z69" s="7">
        <f t="shared" si="44"/>
        <v>0.12829937933552388</v>
      </c>
    </row>
    <row r="70" spans="1:26" s="27" customFormat="1" outlineLevel="1" collapsed="1" x14ac:dyDescent="0.25">
      <c r="A70" s="25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-815.7</v>
      </c>
      <c r="E70" s="1"/>
      <c r="F70" s="5">
        <f t="shared" si="37"/>
        <v>-1.223037363888926E-2</v>
      </c>
      <c r="G70" s="1"/>
      <c r="H70" s="1">
        <f>SUM(OSRRefH22_11x_0)</f>
        <v>7253</v>
      </c>
      <c r="I70" s="1"/>
      <c r="J70" s="5">
        <f t="shared" si="38"/>
        <v>0.66602387511478423</v>
      </c>
      <c r="K70" s="1"/>
      <c r="L70" s="1">
        <f t="shared" si="39"/>
        <v>-8068.7</v>
      </c>
      <c r="M70" s="1"/>
      <c r="N70" s="5">
        <f t="shared" si="40"/>
        <v>-1.1124638080794154</v>
      </c>
      <c r="O70" s="13"/>
      <c r="P70" s="1">
        <f>SUM(OSRRefP22_11x_0)</f>
        <v>79764.45</v>
      </c>
      <c r="Q70" s="1"/>
      <c r="R70" s="5">
        <f t="shared" si="41"/>
        <v>0.13633325070499722</v>
      </c>
      <c r="S70" s="1"/>
      <c r="T70" s="1">
        <f>SUM(OSRRefT22_11x_0)</f>
        <v>89606</v>
      </c>
      <c r="U70" s="1"/>
      <c r="V70" s="5">
        <f t="shared" si="42"/>
        <v>0.38344780366732995</v>
      </c>
      <c r="W70" s="1"/>
      <c r="X70" s="1">
        <f t="shared" si="43"/>
        <v>-9841.5500000000029</v>
      </c>
      <c r="Y70" s="1"/>
      <c r="Z70" s="5">
        <f t="shared" si="44"/>
        <v>-0.10983137289913625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6">
        <v>-815.7</v>
      </c>
      <c r="E71" s="2"/>
      <c r="F71" s="7">
        <f t="shared" si="37"/>
        <v>-1.223037363888926E-2</v>
      </c>
      <c r="G71" s="2"/>
      <c r="H71" s="6">
        <v>7253</v>
      </c>
      <c r="I71" s="2"/>
      <c r="J71" s="7">
        <f t="shared" si="38"/>
        <v>0.66602387511478423</v>
      </c>
      <c r="K71" s="2"/>
      <c r="L71" s="6">
        <f t="shared" si="39"/>
        <v>-8068.7</v>
      </c>
      <c r="M71" s="2"/>
      <c r="N71" s="7">
        <f t="shared" si="40"/>
        <v>-1.1124638080794154</v>
      </c>
      <c r="O71" s="11"/>
      <c r="P71" s="6">
        <v>79764.45</v>
      </c>
      <c r="Q71" s="2"/>
      <c r="R71" s="7">
        <f t="shared" si="41"/>
        <v>0.13633325070499722</v>
      </c>
      <c r="S71" s="2"/>
      <c r="T71" s="6">
        <v>89606</v>
      </c>
      <c r="U71" s="2"/>
      <c r="V71" s="7">
        <f t="shared" si="42"/>
        <v>0.38344780366732995</v>
      </c>
      <c r="W71" s="2"/>
      <c r="X71" s="6">
        <f t="shared" si="43"/>
        <v>-9841.5500000000029</v>
      </c>
      <c r="Y71" s="2"/>
      <c r="Z71" s="7">
        <f t="shared" si="44"/>
        <v>-0.10983137289913625</v>
      </c>
    </row>
    <row r="72" spans="1:26" s="27" customFormat="1" outlineLevel="1" collapsed="1" x14ac:dyDescent="0.25">
      <c r="A72" s="25"/>
      <c r="B72" s="13" t="str">
        <f>CONCATENATE("     ","R/H Commissions                                   ")</f>
        <v xml:space="preserve">     R/H Commissions                                   </v>
      </c>
      <c r="C72" s="13"/>
      <c r="D72" s="1">
        <f>SUM(OSRRefD22_12x_0)</f>
        <v>0</v>
      </c>
      <c r="E72" s="1"/>
      <c r="F72" s="5">
        <f t="shared" si="37"/>
        <v>0</v>
      </c>
      <c r="G72" s="1"/>
      <c r="H72" s="1">
        <f>SUM(OSRRefH22_12x_0)</f>
        <v>2000</v>
      </c>
      <c r="I72" s="1"/>
      <c r="J72" s="5">
        <f t="shared" si="38"/>
        <v>0.18365472910927455</v>
      </c>
      <c r="K72" s="1"/>
      <c r="L72" s="1">
        <f t="shared" si="39"/>
        <v>-2000</v>
      </c>
      <c r="M72" s="1"/>
      <c r="N72" s="5">
        <f t="shared" si="40"/>
        <v>-1</v>
      </c>
      <c r="O72" s="13"/>
      <c r="P72" s="1">
        <f>SUM(OSRRefP22_12x_0)</f>
        <v>0</v>
      </c>
      <c r="Q72" s="1"/>
      <c r="R72" s="5">
        <f t="shared" si="41"/>
        <v>0</v>
      </c>
      <c r="S72" s="1"/>
      <c r="T72" s="1">
        <f>SUM(OSRRefT22_12x_0)</f>
        <v>2000</v>
      </c>
      <c r="U72" s="1"/>
      <c r="V72" s="5">
        <f t="shared" si="42"/>
        <v>8.5585296446070557E-3</v>
      </c>
      <c r="W72" s="1"/>
      <c r="X72" s="1">
        <f t="shared" si="43"/>
        <v>-2000</v>
      </c>
      <c r="Y72" s="1"/>
      <c r="Z72" s="5">
        <f t="shared" si="44"/>
        <v>-1</v>
      </c>
    </row>
    <row r="73" spans="1:26" s="24" customFormat="1" hidden="1" outlineLevel="2" x14ac:dyDescent="0.25">
      <c r="A73" s="26"/>
      <c r="B73" s="11" t="str">
        <f>CONCATENATE("          ", "6387", " - ", "COMMISSION DUE HOUSING")</f>
        <v xml:space="preserve">          6387 - COMMISSION DUE HOUSING</v>
      </c>
      <c r="C73" s="11"/>
      <c r="D73" s="6"/>
      <c r="E73" s="2"/>
      <c r="F73" s="7">
        <f t="shared" si="37"/>
        <v>0</v>
      </c>
      <c r="G73" s="2"/>
      <c r="H73" s="6">
        <v>2000</v>
      </c>
      <c r="I73" s="2"/>
      <c r="J73" s="7">
        <f t="shared" si="38"/>
        <v>0.18365472910927455</v>
      </c>
      <c r="K73" s="2"/>
      <c r="L73" s="6">
        <f t="shared" si="39"/>
        <v>-2000</v>
      </c>
      <c r="M73" s="2"/>
      <c r="N73" s="7">
        <f t="shared" si="40"/>
        <v>-1</v>
      </c>
      <c r="O73" s="11"/>
      <c r="P73" s="6"/>
      <c r="Q73" s="2"/>
      <c r="R73" s="7">
        <f t="shared" si="41"/>
        <v>0</v>
      </c>
      <c r="S73" s="2"/>
      <c r="T73" s="6">
        <v>2000</v>
      </c>
      <c r="U73" s="2"/>
      <c r="V73" s="7">
        <f t="shared" si="42"/>
        <v>8.5585296446070557E-3</v>
      </c>
      <c r="W73" s="2"/>
      <c r="X73" s="6">
        <f t="shared" si="43"/>
        <v>-2000</v>
      </c>
      <c r="Y73" s="2"/>
      <c r="Z73" s="7">
        <f t="shared" si="44"/>
        <v>-1</v>
      </c>
    </row>
    <row r="74" spans="1:26" s="27" customFormat="1" outlineLevel="1" collapsed="1" x14ac:dyDescent="0.25">
      <c r="A74" s="25"/>
      <c r="B74" s="13" t="str">
        <f>CONCATENATE("     ","Rent                                              ")</f>
        <v xml:space="preserve">     Rent                                              </v>
      </c>
      <c r="C74" s="13"/>
      <c r="D74" s="1">
        <f>SUM(OSRRefD22_13x_0)</f>
        <v>7400</v>
      </c>
      <c r="E74" s="1"/>
      <c r="F74" s="5">
        <f t="shared" si="37"/>
        <v>0.11095349384305568</v>
      </c>
      <c r="G74" s="1"/>
      <c r="H74" s="1">
        <f>SUM(OSRRefH22_13x_0)</f>
        <v>1943</v>
      </c>
      <c r="I74" s="1"/>
      <c r="J74" s="5">
        <f t="shared" si="38"/>
        <v>0.17842056932966024</v>
      </c>
      <c r="K74" s="1"/>
      <c r="L74" s="1">
        <f t="shared" si="39"/>
        <v>5457</v>
      </c>
      <c r="M74" s="1"/>
      <c r="N74" s="5">
        <f t="shared" si="40"/>
        <v>2.8085434894493053</v>
      </c>
      <c r="O74" s="13"/>
      <c r="P74" s="1">
        <f>SUM(OSRRefP22_13x_0)</f>
        <v>22200</v>
      </c>
      <c r="Q74" s="1"/>
      <c r="R74" s="5">
        <f t="shared" si="41"/>
        <v>3.7944199021631042E-2</v>
      </c>
      <c r="S74" s="1"/>
      <c r="T74" s="1">
        <f>SUM(OSRRefT22_13x_0)</f>
        <v>23316</v>
      </c>
      <c r="U74" s="1"/>
      <c r="V74" s="5">
        <f t="shared" si="42"/>
        <v>9.9775338596829063E-2</v>
      </c>
      <c r="W74" s="1"/>
      <c r="X74" s="1">
        <f t="shared" si="43"/>
        <v>-1116</v>
      </c>
      <c r="Y74" s="1"/>
      <c r="Z74" s="5">
        <f t="shared" si="44"/>
        <v>-4.7864127637673698E-2</v>
      </c>
    </row>
    <row r="75" spans="1:26" s="24" customFormat="1" hidden="1" outlineLevel="2" x14ac:dyDescent="0.25">
      <c r="A75" s="26"/>
      <c r="B75" s="11" t="str">
        <f>CONCATENATE("          ", "6273", " - ", "RENT")</f>
        <v xml:space="preserve">          6273 - RENT</v>
      </c>
      <c r="C75" s="11"/>
      <c r="D75" s="6">
        <v>7400</v>
      </c>
      <c r="E75" s="2"/>
      <c r="F75" s="7">
        <f t="shared" si="37"/>
        <v>0.11095349384305568</v>
      </c>
      <c r="G75" s="2"/>
      <c r="H75" s="6">
        <v>1943</v>
      </c>
      <c r="I75" s="2"/>
      <c r="J75" s="7">
        <f t="shared" si="38"/>
        <v>0.17842056932966024</v>
      </c>
      <c r="K75" s="2"/>
      <c r="L75" s="6">
        <f t="shared" si="39"/>
        <v>5457</v>
      </c>
      <c r="M75" s="2"/>
      <c r="N75" s="7">
        <f t="shared" si="40"/>
        <v>2.8085434894493053</v>
      </c>
      <c r="O75" s="11"/>
      <c r="P75" s="6">
        <v>22200</v>
      </c>
      <c r="Q75" s="2"/>
      <c r="R75" s="7">
        <f t="shared" si="41"/>
        <v>3.7944199021631042E-2</v>
      </c>
      <c r="S75" s="2"/>
      <c r="T75" s="6">
        <v>23316</v>
      </c>
      <c r="U75" s="2"/>
      <c r="V75" s="7">
        <f t="shared" si="42"/>
        <v>9.9775338596829063E-2</v>
      </c>
      <c r="W75" s="2"/>
      <c r="X75" s="6">
        <f t="shared" si="43"/>
        <v>-1116</v>
      </c>
      <c r="Y75" s="2"/>
      <c r="Z75" s="7">
        <f t="shared" si="44"/>
        <v>-4.7864127637673698E-2</v>
      </c>
    </row>
    <row r="76" spans="1:26" s="27" customFormat="1" outlineLevel="1" collapsed="1" x14ac:dyDescent="0.25">
      <c r="A76" s="25"/>
      <c r="B76" s="13" t="str">
        <f>CONCATENATE("     ","Repair and Maintenance                            ")</f>
        <v xml:space="preserve">     Repair and Maintenance                            </v>
      </c>
      <c r="C76" s="13"/>
      <c r="D76" s="1">
        <f>SUM(OSRRefD22_14x_0)</f>
        <v>29388.65</v>
      </c>
      <c r="E76" s="1"/>
      <c r="F76" s="5">
        <f t="shared" si="37"/>
        <v>0.44064505362577278</v>
      </c>
      <c r="G76" s="1"/>
      <c r="H76" s="1">
        <f>SUM(OSRRefH22_14x_0)</f>
        <v>0</v>
      </c>
      <c r="I76" s="1"/>
      <c r="J76" s="5">
        <f t="shared" si="38"/>
        <v>0</v>
      </c>
      <c r="K76" s="1"/>
      <c r="L76" s="1">
        <f t="shared" si="39"/>
        <v>29388.65</v>
      </c>
      <c r="M76" s="1"/>
      <c r="N76" s="5">
        <f t="shared" si="40"/>
        <v>0</v>
      </c>
      <c r="O76" s="13"/>
      <c r="P76" s="1">
        <f>SUM(OSRRefP22_14x_0)</f>
        <v>81706.36</v>
      </c>
      <c r="Q76" s="1"/>
      <c r="R76" s="5">
        <f t="shared" si="41"/>
        <v>0.13965235969247899</v>
      </c>
      <c r="S76" s="1"/>
      <c r="T76" s="1">
        <f>SUM(OSRRefT22_14x_0)</f>
        <v>24063</v>
      </c>
      <c r="U76" s="1"/>
      <c r="V76" s="5">
        <f t="shared" si="42"/>
        <v>0.1029719494190898</v>
      </c>
      <c r="W76" s="1"/>
      <c r="X76" s="1">
        <f t="shared" si="43"/>
        <v>57643.360000000001</v>
      </c>
      <c r="Y76" s="1"/>
      <c r="Z76" s="5">
        <f t="shared" si="44"/>
        <v>2.3955184307858537</v>
      </c>
    </row>
    <row r="77" spans="1:26" s="24" customFormat="1" hidden="1" outlineLevel="2" x14ac:dyDescent="0.25">
      <c r="A77" s="26"/>
      <c r="B77" s="11" t="str">
        <f>CONCATENATE("          ", "6371", " - ", "COMPUTER SOFTWARE MAINTENANCE")</f>
        <v xml:space="preserve">          6371 - COMPUTER SOFTWARE MAINTENANCE</v>
      </c>
      <c r="C77" s="11"/>
      <c r="D77" s="6">
        <v>30321</v>
      </c>
      <c r="E77" s="2"/>
      <c r="F77" s="7">
        <f t="shared" si="37"/>
        <v>0.45462444416422854</v>
      </c>
      <c r="G77" s="2"/>
      <c r="H77" s="6"/>
      <c r="I77" s="2"/>
      <c r="J77" s="7">
        <f t="shared" si="38"/>
        <v>0</v>
      </c>
      <c r="K77" s="2"/>
      <c r="L77" s="6">
        <f t="shared" si="39"/>
        <v>30321</v>
      </c>
      <c r="M77" s="2"/>
      <c r="N77" s="7">
        <f t="shared" si="40"/>
        <v>0</v>
      </c>
      <c r="O77" s="11"/>
      <c r="P77" s="6">
        <v>39280.47</v>
      </c>
      <c r="Q77" s="2"/>
      <c r="R77" s="7">
        <f t="shared" si="41"/>
        <v>6.7138106817261609E-2</v>
      </c>
      <c r="S77" s="2"/>
      <c r="T77" s="6">
        <v>0</v>
      </c>
      <c r="U77" s="2"/>
      <c r="V77" s="7">
        <f t="shared" si="42"/>
        <v>0</v>
      </c>
      <c r="W77" s="2"/>
      <c r="X77" s="6">
        <f t="shared" si="43"/>
        <v>39280.47</v>
      </c>
      <c r="Y77" s="2"/>
      <c r="Z77" s="7">
        <f t="shared" si="44"/>
        <v>0</v>
      </c>
    </row>
    <row r="78" spans="1:26" s="24" customFormat="1" hidden="1" outlineLevel="2" x14ac:dyDescent="0.25">
      <c r="A78" s="26"/>
      <c r="B78" s="11" t="str">
        <f>CONCATENATE("          ", "6372", " - ", "COMPUTER HARDWARE MAINTENANCE")</f>
        <v xml:space="preserve">          6372 - COMPUTER HARDWARE MAINTENANCE</v>
      </c>
      <c r="C78" s="11"/>
      <c r="D78" s="6">
        <v>10.039999999999999</v>
      </c>
      <c r="E78" s="2"/>
      <c r="F78" s="7">
        <f t="shared" si="37"/>
        <v>1.5053690245733499E-4</v>
      </c>
      <c r="G78" s="2"/>
      <c r="H78" s="6"/>
      <c r="I78" s="2"/>
      <c r="J78" s="7">
        <f t="shared" si="38"/>
        <v>0</v>
      </c>
      <c r="K78" s="2"/>
      <c r="L78" s="6">
        <f t="shared" si="39"/>
        <v>10.039999999999999</v>
      </c>
      <c r="M78" s="2"/>
      <c r="N78" s="7">
        <f t="shared" si="40"/>
        <v>0</v>
      </c>
      <c r="O78" s="11"/>
      <c r="P78" s="6">
        <v>110.04</v>
      </c>
      <c r="Q78" s="2"/>
      <c r="R78" s="7">
        <f t="shared" si="41"/>
        <v>1.8808016488019281E-4</v>
      </c>
      <c r="S78" s="2"/>
      <c r="T78" s="6">
        <v>0</v>
      </c>
      <c r="U78" s="2"/>
      <c r="V78" s="7">
        <f t="shared" si="42"/>
        <v>0</v>
      </c>
      <c r="W78" s="2"/>
      <c r="X78" s="6">
        <f t="shared" si="43"/>
        <v>110.04</v>
      </c>
      <c r="Y78" s="2"/>
      <c r="Z78" s="7">
        <f t="shared" si="44"/>
        <v>0</v>
      </c>
    </row>
    <row r="79" spans="1:26" s="24" customFormat="1" hidden="1" outlineLevel="2" x14ac:dyDescent="0.25">
      <c r="A79" s="26"/>
      <c r="B79" s="11" t="str">
        <f>CONCATENATE("          ", "6373", " - ", "MAINTENANCE CONTRACTS")</f>
        <v xml:space="preserve">          6373 - MAINTENANCE CONTRACTS</v>
      </c>
      <c r="C79" s="11"/>
      <c r="D79" s="6">
        <v>-4664.09</v>
      </c>
      <c r="E79" s="2"/>
      <c r="F79" s="7">
        <f t="shared" si="37"/>
        <v>-6.9932037986278048E-2</v>
      </c>
      <c r="G79" s="2"/>
      <c r="H79" s="6">
        <v>0</v>
      </c>
      <c r="I79" s="2"/>
      <c r="J79" s="7">
        <f t="shared" si="38"/>
        <v>0</v>
      </c>
      <c r="K79" s="2"/>
      <c r="L79" s="6">
        <f t="shared" si="39"/>
        <v>-4664.09</v>
      </c>
      <c r="M79" s="2"/>
      <c r="N79" s="7">
        <f t="shared" si="40"/>
        <v>0</v>
      </c>
      <c r="O79" s="11"/>
      <c r="P79" s="6">
        <v>13559.71</v>
      </c>
      <c r="Q79" s="2"/>
      <c r="R79" s="7">
        <f t="shared" si="41"/>
        <v>2.3176231302504534E-2</v>
      </c>
      <c r="S79" s="2"/>
      <c r="T79" s="6">
        <v>3769</v>
      </c>
      <c r="U79" s="2"/>
      <c r="V79" s="7">
        <f t="shared" si="42"/>
        <v>1.6128549115261997E-2</v>
      </c>
      <c r="W79" s="2"/>
      <c r="X79" s="6">
        <f t="shared" si="43"/>
        <v>9790.7099999999991</v>
      </c>
      <c r="Y79" s="2"/>
      <c r="Z79" s="7">
        <f t="shared" si="44"/>
        <v>2.5976943486335897</v>
      </c>
    </row>
    <row r="80" spans="1:26" s="24" customFormat="1" hidden="1" outlineLevel="2" x14ac:dyDescent="0.25">
      <c r="A80" s="26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3721.7</v>
      </c>
      <c r="E80" s="2"/>
      <c r="F80" s="7">
        <f t="shared" si="37"/>
        <v>5.5802110545364908E-2</v>
      </c>
      <c r="G80" s="2"/>
      <c r="H80" s="6">
        <v>0</v>
      </c>
      <c r="I80" s="2"/>
      <c r="J80" s="7">
        <f t="shared" si="38"/>
        <v>0</v>
      </c>
      <c r="K80" s="2"/>
      <c r="L80" s="6">
        <f t="shared" si="39"/>
        <v>3721.7</v>
      </c>
      <c r="M80" s="2"/>
      <c r="N80" s="7">
        <f t="shared" si="40"/>
        <v>0</v>
      </c>
      <c r="O80" s="11"/>
      <c r="P80" s="6">
        <v>28756.14</v>
      </c>
      <c r="Q80" s="2"/>
      <c r="R80" s="7">
        <f t="shared" si="41"/>
        <v>4.9149941407832673E-2</v>
      </c>
      <c r="S80" s="2"/>
      <c r="T80" s="6">
        <v>20294</v>
      </c>
      <c r="U80" s="2"/>
      <c r="V80" s="7">
        <f t="shared" si="42"/>
        <v>8.6843400303827797E-2</v>
      </c>
      <c r="W80" s="2"/>
      <c r="X80" s="6">
        <f t="shared" si="43"/>
        <v>8462.14</v>
      </c>
      <c r="Y80" s="2"/>
      <c r="Z80" s="7">
        <f t="shared" si="44"/>
        <v>0.41697743175322755</v>
      </c>
    </row>
    <row r="81" spans="1:26" s="27" customFormat="1" outlineLevel="1" collapsed="1" x14ac:dyDescent="0.25">
      <c r="A81" s="25"/>
      <c r="B81" s="13" t="str">
        <f>CONCATENATE("     ","Royalty &amp; Commissions                             ")</f>
        <v xml:space="preserve">     Royalty &amp; Commissions                             </v>
      </c>
      <c r="C81" s="13"/>
      <c r="D81" s="1">
        <f>SUM(OSRRefD22_15x_0)</f>
        <v>0</v>
      </c>
      <c r="E81" s="1"/>
      <c r="F81" s="5">
        <f t="shared" ref="F81:F83" si="45">IF(D$12=0,0,D81/D$12)</f>
        <v>0</v>
      </c>
      <c r="G81" s="1"/>
      <c r="H81" s="1">
        <f>SUM(OSRRefH22_15x_0)</f>
        <v>0</v>
      </c>
      <c r="I81" s="1"/>
      <c r="J81" s="5">
        <f t="shared" ref="J81:J83" si="46">IF(H$12=0,0,H81/H$12)</f>
        <v>0</v>
      </c>
      <c r="K81" s="1"/>
      <c r="L81" s="1">
        <f t="shared" ref="L81:L83" si="47">+D81-H81</f>
        <v>0</v>
      </c>
      <c r="M81" s="1"/>
      <c r="N81" s="5">
        <f t="shared" ref="N81:N83" si="48">IF(H81=0,0,L81/H81)</f>
        <v>0</v>
      </c>
      <c r="O81" s="13"/>
      <c r="P81" s="1">
        <f>SUM(OSRRefP22_15x_0)</f>
        <v>0</v>
      </c>
      <c r="Q81" s="1"/>
      <c r="R81" s="5">
        <f t="shared" ref="R81:R83" si="49">IF(P$12=0,0,P81/P$12)</f>
        <v>0</v>
      </c>
      <c r="S81" s="1"/>
      <c r="T81" s="1">
        <f>SUM(OSRRefT22_15x_0)</f>
        <v>0</v>
      </c>
      <c r="U81" s="1"/>
      <c r="V81" s="5">
        <f t="shared" ref="V81:V83" si="50">IF(T$12=0,0,T81/T$12)</f>
        <v>0</v>
      </c>
      <c r="W81" s="1"/>
      <c r="X81" s="1">
        <f t="shared" ref="X81:X83" si="51">+P81-T81</f>
        <v>0</v>
      </c>
      <c r="Y81" s="1"/>
      <c r="Z81" s="5">
        <f t="shared" ref="Z81:Z83" si="52">IF(T81=0,0,X81/T81)</f>
        <v>0</v>
      </c>
    </row>
    <row r="82" spans="1:26" s="24" customFormat="1" hidden="1" outlineLevel="2" x14ac:dyDescent="0.25">
      <c r="A82" s="26"/>
      <c r="B82" s="11" t="str">
        <f>CONCATENATE("          ", "6254", " - ", "ROYALTY &amp; COMMISSIONS")</f>
        <v xml:space="preserve">          6254 - ROYALTY &amp; COMMISSIONS</v>
      </c>
      <c r="C82" s="11"/>
      <c r="D82" s="6"/>
      <c r="E82" s="2"/>
      <c r="F82" s="7">
        <f t="shared" si="45"/>
        <v>0</v>
      </c>
      <c r="G82" s="2"/>
      <c r="H82" s="6">
        <v>0</v>
      </c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/>
      <c r="Q82" s="2"/>
      <c r="R82" s="7">
        <f t="shared" si="49"/>
        <v>0</v>
      </c>
      <c r="S82" s="2"/>
      <c r="T82" s="6">
        <v>0</v>
      </c>
      <c r="U82" s="2"/>
      <c r="V82" s="7">
        <f t="shared" si="50"/>
        <v>0</v>
      </c>
      <c r="W82" s="2"/>
      <c r="X82" s="6">
        <f t="shared" si="51"/>
        <v>0</v>
      </c>
      <c r="Y82" s="2"/>
      <c r="Z82" s="7">
        <f t="shared" si="52"/>
        <v>0</v>
      </c>
    </row>
    <row r="83" spans="1:26" s="24" customFormat="1" hidden="1" outlineLevel="2" x14ac:dyDescent="0.25">
      <c r="A83" s="26"/>
      <c r="B83" s="11" t="str">
        <f>CONCATENATE("          ", "6259", " - ", "ROYALTY &amp; COMMISSIONS")</f>
        <v xml:space="preserve">          6259 - ROYALTY &amp; COMMISSIONS</v>
      </c>
      <c r="C83" s="11"/>
      <c r="D83" s="6"/>
      <c r="E83" s="2"/>
      <c r="F83" s="7">
        <f t="shared" si="45"/>
        <v>0</v>
      </c>
      <c r="G83" s="2"/>
      <c r="H83" s="6">
        <v>0</v>
      </c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0</v>
      </c>
      <c r="U83" s="2"/>
      <c r="V83" s="7">
        <f t="shared" si="50"/>
        <v>0</v>
      </c>
      <c r="W83" s="2"/>
      <c r="X83" s="6">
        <f t="shared" si="51"/>
        <v>0</v>
      </c>
      <c r="Y83" s="2"/>
      <c r="Z83" s="7">
        <f t="shared" si="52"/>
        <v>0</v>
      </c>
    </row>
    <row r="84" spans="1:26" s="27" customFormat="1" outlineLevel="1" collapsed="1" x14ac:dyDescent="0.25">
      <c r="A84" s="25"/>
      <c r="B84" s="13" t="str">
        <f>CONCATENATE("     ","Services                                          ")</f>
        <v xml:space="preserve">     Services                                          </v>
      </c>
      <c r="C84" s="13"/>
      <c r="D84" s="1">
        <f>SUM(OSRRefD22_16x_0)</f>
        <v>1038.5799999999997</v>
      </c>
      <c r="E84" s="1"/>
      <c r="F84" s="5">
        <f t="shared" ref="F84:F89" si="53">IF(D$12=0,0,D84/D$12)</f>
        <v>1.5572172923719018E-2</v>
      </c>
      <c r="G84" s="1"/>
      <c r="H84" s="1">
        <f>SUM(OSRRefH22_16x_0)</f>
        <v>7555</v>
      </c>
      <c r="I84" s="1"/>
      <c r="J84" s="5">
        <f t="shared" ref="J84:J89" si="54">IF(H$12=0,0,H84/H$12)</f>
        <v>0.69375573921028466</v>
      </c>
      <c r="K84" s="1"/>
      <c r="L84" s="1">
        <f t="shared" ref="L84:L89" si="55">+D84-H84</f>
        <v>-6516.42</v>
      </c>
      <c r="M84" s="1"/>
      <c r="N84" s="5">
        <f t="shared" ref="N84:N89" si="56">IF(H84=0,0,L84/H84)</f>
        <v>-0.86253077432164127</v>
      </c>
      <c r="O84" s="13"/>
      <c r="P84" s="1">
        <f>SUM(OSRRefP22_16x_0)</f>
        <v>65085.43</v>
      </c>
      <c r="Q84" s="1"/>
      <c r="R84" s="5">
        <f t="shared" ref="R84:R89" si="57">IF(P$12=0,0,P84/P$12)</f>
        <v>0.11124389681659622</v>
      </c>
      <c r="S84" s="1"/>
      <c r="T84" s="1">
        <f>SUM(OSRRefT22_16x_0)</f>
        <v>87092</v>
      </c>
      <c r="U84" s="1"/>
      <c r="V84" s="5">
        <f t="shared" ref="V84:V89" si="58">IF(T$12=0,0,T84/T$12)</f>
        <v>0.37268973190405891</v>
      </c>
      <c r="W84" s="1"/>
      <c r="X84" s="1">
        <f t="shared" ref="X84:X89" si="59">+P84-T84</f>
        <v>-22006.57</v>
      </c>
      <c r="Y84" s="1"/>
      <c r="Z84" s="5">
        <f t="shared" ref="Z84:Z89" si="60">IF(T84=0,0,X84/T84)</f>
        <v>-0.25268187663620079</v>
      </c>
    </row>
    <row r="85" spans="1:26" s="24" customFormat="1" hidden="1" outlineLevel="2" x14ac:dyDescent="0.25">
      <c r="A85" s="26"/>
      <c r="B85" s="11" t="str">
        <f>CONCATENATE("          ", "6282", " - ", "JANITORIAL/EXTERMINATOR EXPENS")</f>
        <v xml:space="preserve">          6282 - JANITORIAL/EXTERMINATOR EXPENS</v>
      </c>
      <c r="C85" s="11"/>
      <c r="D85" s="6">
        <v>1393.2</v>
      </c>
      <c r="E85" s="2"/>
      <c r="F85" s="7">
        <f t="shared" si="53"/>
        <v>2.0889244273262862E-2</v>
      </c>
      <c r="G85" s="2"/>
      <c r="H85" s="6">
        <v>1253</v>
      </c>
      <c r="I85" s="2"/>
      <c r="J85" s="7">
        <f t="shared" si="54"/>
        <v>0.11505968778696052</v>
      </c>
      <c r="K85" s="2"/>
      <c r="L85" s="6">
        <f t="shared" si="55"/>
        <v>140.20000000000005</v>
      </c>
      <c r="M85" s="2"/>
      <c r="N85" s="7">
        <f t="shared" si="56"/>
        <v>0.11189146049481248</v>
      </c>
      <c r="O85" s="11"/>
      <c r="P85" s="6">
        <v>12158.73</v>
      </c>
      <c r="Q85" s="2"/>
      <c r="R85" s="7">
        <f t="shared" si="57"/>
        <v>2.0781678872534955E-2</v>
      </c>
      <c r="S85" s="2"/>
      <c r="T85" s="6">
        <v>12604</v>
      </c>
      <c r="U85" s="2"/>
      <c r="V85" s="7">
        <f t="shared" si="58"/>
        <v>5.393585382031367E-2</v>
      </c>
      <c r="W85" s="2"/>
      <c r="X85" s="6">
        <f t="shared" si="59"/>
        <v>-445.27000000000044</v>
      </c>
      <c r="Y85" s="2"/>
      <c r="Z85" s="7">
        <f t="shared" si="60"/>
        <v>-3.5327673754363728E-2</v>
      </c>
    </row>
    <row r="86" spans="1:26" s="24" customFormat="1" hidden="1" outlineLevel="2" x14ac:dyDescent="0.25">
      <c r="A86" s="26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53"/>
        <v>0</v>
      </c>
      <c r="G86" s="2"/>
      <c r="H86" s="6">
        <v>0</v>
      </c>
      <c r="I86" s="2"/>
      <c r="J86" s="7">
        <f t="shared" si="54"/>
        <v>0</v>
      </c>
      <c r="K86" s="2"/>
      <c r="L86" s="6">
        <f t="shared" si="55"/>
        <v>0</v>
      </c>
      <c r="M86" s="2"/>
      <c r="N86" s="7">
        <f t="shared" si="56"/>
        <v>0</v>
      </c>
      <c r="O86" s="11"/>
      <c r="P86" s="6"/>
      <c r="Q86" s="2"/>
      <c r="R86" s="7">
        <f t="shared" si="57"/>
        <v>0</v>
      </c>
      <c r="S86" s="2"/>
      <c r="T86" s="6">
        <v>310</v>
      </c>
      <c r="U86" s="2"/>
      <c r="V86" s="7">
        <f t="shared" si="58"/>
        <v>1.3265720949140938E-3</v>
      </c>
      <c r="W86" s="2"/>
      <c r="X86" s="6">
        <f t="shared" si="59"/>
        <v>-310</v>
      </c>
      <c r="Y86" s="2"/>
      <c r="Z86" s="7">
        <f t="shared" si="60"/>
        <v>-1</v>
      </c>
    </row>
    <row r="87" spans="1:26" s="24" customFormat="1" hidden="1" outlineLevel="2" x14ac:dyDescent="0.25">
      <c r="A87" s="26"/>
      <c r="B87" s="11" t="str">
        <f>CONCATENATE("          ", "6284", " - ", "TRASH REMOVAL EXPENSE")</f>
        <v xml:space="preserve">          6284 - TRASH REMOVAL EXPENSE</v>
      </c>
      <c r="C87" s="11"/>
      <c r="D87" s="6">
        <v>-3859</v>
      </c>
      <c r="E87" s="2"/>
      <c r="F87" s="7">
        <f t="shared" si="53"/>
        <v>-5.786074766761512E-2</v>
      </c>
      <c r="G87" s="2"/>
      <c r="H87" s="6">
        <v>3261</v>
      </c>
      <c r="I87" s="2"/>
      <c r="J87" s="7">
        <f t="shared" si="54"/>
        <v>0.29944903581267218</v>
      </c>
      <c r="K87" s="2"/>
      <c r="L87" s="6">
        <f t="shared" si="55"/>
        <v>-7120</v>
      </c>
      <c r="M87" s="2"/>
      <c r="N87" s="7">
        <f t="shared" si="56"/>
        <v>-2.1833793314934069</v>
      </c>
      <c r="O87" s="11"/>
      <c r="P87" s="6">
        <v>27283</v>
      </c>
      <c r="Q87" s="2"/>
      <c r="R87" s="7">
        <f t="shared" si="57"/>
        <v>4.663205323906125E-2</v>
      </c>
      <c r="S87" s="2"/>
      <c r="T87" s="6">
        <v>36163</v>
      </c>
      <c r="U87" s="2"/>
      <c r="V87" s="7">
        <f t="shared" si="58"/>
        <v>0.1547510537689625</v>
      </c>
      <c r="W87" s="2"/>
      <c r="X87" s="6">
        <f t="shared" si="59"/>
        <v>-8880</v>
      </c>
      <c r="Y87" s="2"/>
      <c r="Z87" s="7">
        <f t="shared" si="60"/>
        <v>-0.24555484887868817</v>
      </c>
    </row>
    <row r="88" spans="1:26" s="24" customFormat="1" hidden="1" outlineLevel="2" x14ac:dyDescent="0.25">
      <c r="A88" s="26"/>
      <c r="B88" s="11" t="str">
        <f>CONCATENATE("          ", "6285", " - ", "JANITORIAL SERVICES")</f>
        <v xml:space="preserve">          6285 - JANITORIAL SERVICES</v>
      </c>
      <c r="C88" s="11"/>
      <c r="D88" s="6">
        <v>3385.52</v>
      </c>
      <c r="E88" s="2"/>
      <c r="F88" s="7">
        <f t="shared" si="53"/>
        <v>5.0761523307505656E-2</v>
      </c>
      <c r="G88" s="2"/>
      <c r="H88" s="6">
        <v>3041</v>
      </c>
      <c r="I88" s="2"/>
      <c r="J88" s="7">
        <f t="shared" si="54"/>
        <v>0.27924701561065196</v>
      </c>
      <c r="K88" s="2"/>
      <c r="L88" s="6">
        <f t="shared" si="55"/>
        <v>344.52</v>
      </c>
      <c r="M88" s="2"/>
      <c r="N88" s="7">
        <f t="shared" si="56"/>
        <v>0.1132916803682999</v>
      </c>
      <c r="O88" s="11"/>
      <c r="P88" s="6">
        <v>24620.13</v>
      </c>
      <c r="Q88" s="2"/>
      <c r="R88" s="7">
        <f t="shared" si="57"/>
        <v>4.2080680750379691E-2</v>
      </c>
      <c r="S88" s="2"/>
      <c r="T88" s="6">
        <v>38015</v>
      </c>
      <c r="U88" s="2"/>
      <c r="V88" s="7">
        <f t="shared" si="58"/>
        <v>0.16267625221986862</v>
      </c>
      <c r="W88" s="2"/>
      <c r="X88" s="6">
        <f t="shared" si="59"/>
        <v>-13394.869999999999</v>
      </c>
      <c r="Y88" s="2"/>
      <c r="Z88" s="7">
        <f t="shared" si="60"/>
        <v>-0.35235749046429038</v>
      </c>
    </row>
    <row r="89" spans="1:26" s="24" customFormat="1" hidden="1" outlineLevel="2" x14ac:dyDescent="0.25">
      <c r="A89" s="26"/>
      <c r="B89" s="11" t="str">
        <f>CONCATENATE("          ", "6286", " - ", "LAUNDRY EXPENSE")</f>
        <v xml:space="preserve">          6286 - LAUNDRY EXPENSE</v>
      </c>
      <c r="C89" s="11"/>
      <c r="D89" s="6">
        <v>118.86</v>
      </c>
      <c r="E89" s="2"/>
      <c r="F89" s="7">
        <f t="shared" si="53"/>
        <v>1.7821530105656214E-3</v>
      </c>
      <c r="G89" s="2"/>
      <c r="H89" s="6">
        <v>0</v>
      </c>
      <c r="I89" s="2"/>
      <c r="J89" s="7">
        <f t="shared" si="54"/>
        <v>0</v>
      </c>
      <c r="K89" s="2"/>
      <c r="L89" s="6">
        <f t="shared" si="55"/>
        <v>118.86</v>
      </c>
      <c r="M89" s="2"/>
      <c r="N89" s="7">
        <f t="shared" si="56"/>
        <v>0</v>
      </c>
      <c r="O89" s="11"/>
      <c r="P89" s="6">
        <v>1023.57</v>
      </c>
      <c r="Q89" s="2"/>
      <c r="R89" s="7">
        <f t="shared" si="57"/>
        <v>1.7494839546203103E-3</v>
      </c>
      <c r="S89" s="2"/>
      <c r="T89" s="6">
        <v>0</v>
      </c>
      <c r="U89" s="2"/>
      <c r="V89" s="7">
        <f t="shared" si="58"/>
        <v>0</v>
      </c>
      <c r="W89" s="2"/>
      <c r="X89" s="6">
        <f t="shared" si="59"/>
        <v>1023.57</v>
      </c>
      <c r="Y89" s="2"/>
      <c r="Z89" s="7">
        <f t="shared" si="60"/>
        <v>0</v>
      </c>
    </row>
    <row r="90" spans="1:26" s="27" customFormat="1" outlineLevel="1" collapsed="1" x14ac:dyDescent="0.25">
      <c r="A90" s="25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SUM(OSRRefD22_17x_0)</f>
        <v>130.66999999999999</v>
      </c>
      <c r="E90" s="1"/>
      <c r="F90" s="5">
        <f t="shared" ref="F90:F92" si="61">IF(D$12=0,0,D90/D$12)</f>
        <v>1.9592287892529845E-3</v>
      </c>
      <c r="G90" s="1"/>
      <c r="H90" s="1">
        <f>SUM(OSRRefH22_17x_0)</f>
        <v>200</v>
      </c>
      <c r="I90" s="1"/>
      <c r="J90" s="5">
        <f t="shared" ref="J90:J92" si="62">IF(H$12=0,0,H90/H$12)</f>
        <v>1.8365472910927456E-2</v>
      </c>
      <c r="K90" s="1"/>
      <c r="L90" s="1">
        <f t="shared" ref="L90:L92" si="63">+D90-H90</f>
        <v>-69.330000000000013</v>
      </c>
      <c r="M90" s="1"/>
      <c r="N90" s="5">
        <f t="shared" ref="N90:N92" si="64">IF(H90=0,0,L90/H90)</f>
        <v>-0.34665000000000007</v>
      </c>
      <c r="O90" s="13"/>
      <c r="P90" s="1">
        <f>SUM(OSRRefP22_17x_0)</f>
        <v>1178.92</v>
      </c>
      <c r="Q90" s="1"/>
      <c r="R90" s="5">
        <f t="shared" ref="R90:R92" si="65">IF(P$12=0,0,P90/P$12)</f>
        <v>2.0150078878640215E-3</v>
      </c>
      <c r="S90" s="1"/>
      <c r="T90" s="1">
        <f>SUM(OSRRefT22_17x_0)</f>
        <v>3281</v>
      </c>
      <c r="U90" s="1"/>
      <c r="V90" s="5">
        <f t="shared" ref="V90:V92" si="66">IF(T$12=0,0,T90/T$12)</f>
        <v>1.4040267881977877E-2</v>
      </c>
      <c r="W90" s="1"/>
      <c r="X90" s="1">
        <f t="shared" ref="X90:X92" si="67">+P90-T90</f>
        <v>-2102.08</v>
      </c>
      <c r="Y90" s="1"/>
      <c r="Z90" s="5">
        <f t="shared" ref="Z90:Z92" si="68">IF(T90=0,0,X90/T90)</f>
        <v>-0.64068271868332827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61"/>
        <v>0</v>
      </c>
      <c r="G91" s="2"/>
      <c r="H91" s="6"/>
      <c r="I91" s="2"/>
      <c r="J91" s="7">
        <f t="shared" si="62"/>
        <v>0</v>
      </c>
      <c r="K91" s="2"/>
      <c r="L91" s="6">
        <f t="shared" si="63"/>
        <v>0</v>
      </c>
      <c r="M91" s="2"/>
      <c r="N91" s="7">
        <f t="shared" si="64"/>
        <v>0</v>
      </c>
      <c r="O91" s="11"/>
      <c r="P91" s="6"/>
      <c r="Q91" s="2"/>
      <c r="R91" s="7">
        <f t="shared" si="65"/>
        <v>0</v>
      </c>
      <c r="S91" s="2"/>
      <c r="T91" s="6">
        <v>900</v>
      </c>
      <c r="U91" s="2"/>
      <c r="V91" s="7">
        <f t="shared" si="66"/>
        <v>3.8513383400731755E-3</v>
      </c>
      <c r="W91" s="2"/>
      <c r="X91" s="6">
        <f t="shared" si="67"/>
        <v>-900</v>
      </c>
      <c r="Y91" s="2"/>
      <c r="Z91" s="7">
        <f t="shared" si="68"/>
        <v>-1</v>
      </c>
    </row>
    <row r="92" spans="1:26" s="24" customFormat="1" hidden="1" outlineLevel="2" x14ac:dyDescent="0.25">
      <c r="A92" s="26"/>
      <c r="B92" s="11" t="str">
        <f>CONCATENATE("          ", "6275", " - ", "SUBSCRIPTIONS")</f>
        <v xml:space="preserve">          6275 - SUBSCRIPTIONS</v>
      </c>
      <c r="C92" s="11"/>
      <c r="D92" s="6">
        <v>130.66999999999999</v>
      </c>
      <c r="E92" s="2"/>
      <c r="F92" s="7">
        <f t="shared" si="61"/>
        <v>1.9592287892529845E-3</v>
      </c>
      <c r="G92" s="2"/>
      <c r="H92" s="6">
        <v>200</v>
      </c>
      <c r="I92" s="2"/>
      <c r="J92" s="7">
        <f t="shared" si="62"/>
        <v>1.8365472910927456E-2</v>
      </c>
      <c r="K92" s="2"/>
      <c r="L92" s="6">
        <f t="shared" si="63"/>
        <v>-69.330000000000013</v>
      </c>
      <c r="M92" s="2"/>
      <c r="N92" s="7">
        <f t="shared" si="64"/>
        <v>-0.34665000000000007</v>
      </c>
      <c r="O92" s="11"/>
      <c r="P92" s="6">
        <v>1178.92</v>
      </c>
      <c r="Q92" s="2"/>
      <c r="R92" s="7">
        <f t="shared" si="65"/>
        <v>2.0150078878640215E-3</v>
      </c>
      <c r="S92" s="2"/>
      <c r="T92" s="6">
        <v>2381</v>
      </c>
      <c r="U92" s="2"/>
      <c r="V92" s="7">
        <f t="shared" si="66"/>
        <v>1.0188929541904701E-2</v>
      </c>
      <c r="W92" s="2"/>
      <c r="X92" s="6">
        <f t="shared" si="67"/>
        <v>-1202.08</v>
      </c>
      <c r="Y92" s="2"/>
      <c r="Z92" s="7">
        <f t="shared" si="68"/>
        <v>-0.5048635027299454</v>
      </c>
    </row>
    <row r="93" spans="1:26" s="27" customFormat="1" outlineLevel="1" collapsed="1" x14ac:dyDescent="0.25">
      <c r="A93" s="25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SUM(OSRRefD22_18x_0)</f>
        <v>1113.68</v>
      </c>
      <c r="E93" s="1"/>
      <c r="F93" s="5">
        <f t="shared" ref="F93:F104" si="69">IF(D$12=0,0,D93/D$12)</f>
        <v>1.6698200949072196E-2</v>
      </c>
      <c r="G93" s="1"/>
      <c r="H93" s="1">
        <f>SUM(OSRRefH22_18x_0)</f>
        <v>675</v>
      </c>
      <c r="I93" s="1"/>
      <c r="J93" s="5">
        <f t="shared" ref="J93:J104" si="70">IF(H$12=0,0,H93/H$12)</f>
        <v>6.1983471074380167E-2</v>
      </c>
      <c r="K93" s="1"/>
      <c r="L93" s="1">
        <f t="shared" ref="L93:L104" si="71">+D93-H93</f>
        <v>438.68000000000006</v>
      </c>
      <c r="M93" s="1"/>
      <c r="N93" s="5">
        <f t="shared" ref="N93:N104" si="72">IF(H93=0,0,L93/H93)</f>
        <v>0.64989629629629642</v>
      </c>
      <c r="O93" s="13"/>
      <c r="P93" s="1">
        <f>SUM(OSRRefP22_18x_0)</f>
        <v>-19538.71</v>
      </c>
      <c r="Q93" s="1"/>
      <c r="R93" s="5">
        <f t="shared" ref="R93:R104" si="73">IF(P$12=0,0,P93/P$12)</f>
        <v>-3.3395527066033007E-2</v>
      </c>
      <c r="S93" s="1"/>
      <c r="T93" s="1">
        <f>SUM(OSRRefT22_18x_0)</f>
        <v>24125</v>
      </c>
      <c r="U93" s="1"/>
      <c r="V93" s="5">
        <f t="shared" ref="V93:V104" si="74">IF(T$12=0,0,T93/T$12)</f>
        <v>0.10323726383807262</v>
      </c>
      <c r="W93" s="1"/>
      <c r="X93" s="1">
        <f t="shared" ref="X93:X104" si="75">+P93-T93</f>
        <v>-43663.71</v>
      </c>
      <c r="Y93" s="1"/>
      <c r="Z93" s="5">
        <f t="shared" ref="Z93:Z104" si="76">IF(T93=0,0,X93/T93)</f>
        <v>-1.8098947150259066</v>
      </c>
    </row>
    <row r="94" spans="1:26" s="24" customFormat="1" hidden="1" outlineLevel="2" x14ac:dyDescent="0.25">
      <c r="A94" s="26"/>
      <c r="B94" s="11" t="str">
        <f>CONCATENATE("          ", "6234", " - ", "EXPENDABLE SUPPLIES &amp; EQUIPMEN")</f>
        <v xml:space="preserve">          6234 - EXPENDABLE SUPPLIES &amp; EQUIPMEN</v>
      </c>
      <c r="C94" s="11"/>
      <c r="D94" s="6">
        <v>-1048.8</v>
      </c>
      <c r="E94" s="2"/>
      <c r="F94" s="7">
        <f t="shared" si="69"/>
        <v>-1.5725408694945514E-2</v>
      </c>
      <c r="G94" s="2"/>
      <c r="H94" s="6"/>
      <c r="I94" s="2"/>
      <c r="J94" s="7">
        <f t="shared" si="70"/>
        <v>0</v>
      </c>
      <c r="K94" s="2"/>
      <c r="L94" s="6">
        <f t="shared" si="71"/>
        <v>-1048.8</v>
      </c>
      <c r="M94" s="2"/>
      <c r="N94" s="7">
        <f t="shared" si="72"/>
        <v>0</v>
      </c>
      <c r="O94" s="11"/>
      <c r="P94" s="6">
        <v>-711.64</v>
      </c>
      <c r="Q94" s="2"/>
      <c r="R94" s="7">
        <f t="shared" si="73"/>
        <v>-1.2163337744033117E-3</v>
      </c>
      <c r="S94" s="2"/>
      <c r="T94" s="6">
        <v>1076</v>
      </c>
      <c r="U94" s="2"/>
      <c r="V94" s="7">
        <f t="shared" si="74"/>
        <v>4.6044889487985964E-3</v>
      </c>
      <c r="W94" s="2"/>
      <c r="X94" s="6">
        <f t="shared" si="75"/>
        <v>-1787.6399999999999</v>
      </c>
      <c r="Y94" s="2"/>
      <c r="Z94" s="7">
        <f t="shared" si="76"/>
        <v>-1.6613754646840146</v>
      </c>
    </row>
    <row r="95" spans="1:26" s="24" customFormat="1" hidden="1" outlineLevel="2" x14ac:dyDescent="0.25">
      <c r="A95" s="26"/>
      <c r="B95" s="11" t="str">
        <f>CONCATENATE("          ", "6235", " - ", "COVID-19 EXPENSES")</f>
        <v xml:space="preserve">          6235 - COVID-19 EXPENSES</v>
      </c>
      <c r="C95" s="11"/>
      <c r="D95" s="6"/>
      <c r="E95" s="2"/>
      <c r="F95" s="7">
        <f t="shared" si="69"/>
        <v>0</v>
      </c>
      <c r="G95" s="2"/>
      <c r="H95" s="6">
        <v>0</v>
      </c>
      <c r="I95" s="2"/>
      <c r="J95" s="7">
        <f t="shared" si="70"/>
        <v>0</v>
      </c>
      <c r="K95" s="2"/>
      <c r="L95" s="6">
        <f t="shared" si="71"/>
        <v>0</v>
      </c>
      <c r="M95" s="2"/>
      <c r="N95" s="7">
        <f t="shared" si="72"/>
        <v>0</v>
      </c>
      <c r="O95" s="11"/>
      <c r="P95" s="6">
        <v>6947.31</v>
      </c>
      <c r="Q95" s="2"/>
      <c r="R95" s="7">
        <f t="shared" si="73"/>
        <v>1.1874329428151694E-2</v>
      </c>
      <c r="S95" s="2"/>
      <c r="T95" s="6">
        <v>0</v>
      </c>
      <c r="U95" s="2"/>
      <c r="V95" s="7">
        <f t="shared" si="74"/>
        <v>0</v>
      </c>
      <c r="W95" s="2"/>
      <c r="X95" s="6">
        <f t="shared" si="75"/>
        <v>6947.31</v>
      </c>
      <c r="Y95" s="2"/>
      <c r="Z95" s="7">
        <f t="shared" si="76"/>
        <v>0</v>
      </c>
    </row>
    <row r="96" spans="1:26" s="24" customFormat="1" hidden="1" outlineLevel="2" x14ac:dyDescent="0.25">
      <c r="A96" s="26"/>
      <c r="B96" s="11" t="str">
        <f>CONCATENATE("          ", "6237", " - ", "JANITORIAL SUPPLIES")</f>
        <v xml:space="preserve">          6237 - JANITORIAL SUPPLIES</v>
      </c>
      <c r="C96" s="11"/>
      <c r="D96" s="6">
        <v>363.7</v>
      </c>
      <c r="E96" s="2"/>
      <c r="F96" s="7">
        <f t="shared" si="69"/>
        <v>5.4532142852323443E-3</v>
      </c>
      <c r="G96" s="2"/>
      <c r="H96" s="6">
        <v>500</v>
      </c>
      <c r="I96" s="2"/>
      <c r="J96" s="7">
        <f t="shared" si="70"/>
        <v>4.5913682277318638E-2</v>
      </c>
      <c r="K96" s="2"/>
      <c r="L96" s="6">
        <f t="shared" si="71"/>
        <v>-136.30000000000001</v>
      </c>
      <c r="M96" s="2"/>
      <c r="N96" s="7">
        <f t="shared" si="72"/>
        <v>-0.27260000000000001</v>
      </c>
      <c r="O96" s="11"/>
      <c r="P96" s="6">
        <v>692.61</v>
      </c>
      <c r="Q96" s="2"/>
      <c r="R96" s="7">
        <f t="shared" si="73"/>
        <v>1.1838077335302648E-3</v>
      </c>
      <c r="S96" s="2"/>
      <c r="T96" s="6">
        <v>9899</v>
      </c>
      <c r="U96" s="2"/>
      <c r="V96" s="7">
        <f t="shared" si="74"/>
        <v>4.2360442475982626E-2</v>
      </c>
      <c r="W96" s="2"/>
      <c r="X96" s="6">
        <f t="shared" si="75"/>
        <v>-9206.39</v>
      </c>
      <c r="Y96" s="2"/>
      <c r="Z96" s="7">
        <f t="shared" si="76"/>
        <v>-0.93003232649762602</v>
      </c>
    </row>
    <row r="97" spans="1:26" s="24" customFormat="1" hidden="1" outlineLevel="2" x14ac:dyDescent="0.25">
      <c r="A97" s="26"/>
      <c r="B97" s="11" t="str">
        <f>CONCATENATE("          ", "6239", " - ", "KITCHEN SUPPLIES")</f>
        <v xml:space="preserve">          6239 - KITCHEN SUPPLIES</v>
      </c>
      <c r="C97" s="11"/>
      <c r="D97" s="6">
        <v>1798.78</v>
      </c>
      <c r="E97" s="2"/>
      <c r="F97" s="7">
        <f t="shared" si="69"/>
        <v>2.6970395358785364E-2</v>
      </c>
      <c r="G97" s="2"/>
      <c r="H97" s="6">
        <v>50</v>
      </c>
      <c r="I97" s="2"/>
      <c r="J97" s="7">
        <f t="shared" si="70"/>
        <v>4.5913682277318639E-3</v>
      </c>
      <c r="K97" s="2"/>
      <c r="L97" s="6">
        <f t="shared" si="71"/>
        <v>1748.78</v>
      </c>
      <c r="M97" s="2"/>
      <c r="N97" s="7">
        <f t="shared" si="72"/>
        <v>34.9756</v>
      </c>
      <c r="O97" s="11"/>
      <c r="P97" s="6">
        <v>1818.61</v>
      </c>
      <c r="Q97" s="2"/>
      <c r="R97" s="7">
        <f t="shared" si="73"/>
        <v>3.1083648550778572E-3</v>
      </c>
      <c r="S97" s="2"/>
      <c r="T97" s="6">
        <v>543</v>
      </c>
      <c r="U97" s="2"/>
      <c r="V97" s="7">
        <f t="shared" si="74"/>
        <v>2.3236407985108157E-3</v>
      </c>
      <c r="W97" s="2"/>
      <c r="X97" s="6">
        <f t="shared" si="75"/>
        <v>1275.6099999999999</v>
      </c>
      <c r="Y97" s="2"/>
      <c r="Z97" s="7">
        <f t="shared" si="76"/>
        <v>2.3491896869244933</v>
      </c>
    </row>
    <row r="98" spans="1:26" s="24" customFormat="1" hidden="1" outlineLevel="2" x14ac:dyDescent="0.25">
      <c r="A98" s="26"/>
      <c r="B98" s="11" t="str">
        <f>CONCATENATE("          ", "6241", " - ", "OFFICE EXPENSE")</f>
        <v xml:space="preserve">          6241 - OFFICE EXPENSE</v>
      </c>
      <c r="C98" s="11"/>
      <c r="D98" s="6"/>
      <c r="E98" s="2"/>
      <c r="F98" s="7">
        <f t="shared" si="69"/>
        <v>0</v>
      </c>
      <c r="G98" s="2"/>
      <c r="H98" s="6">
        <v>125</v>
      </c>
      <c r="I98" s="2"/>
      <c r="J98" s="7">
        <f t="shared" si="70"/>
        <v>1.1478420569329659E-2</v>
      </c>
      <c r="K98" s="2"/>
      <c r="L98" s="6">
        <f t="shared" si="71"/>
        <v>-125</v>
      </c>
      <c r="M98" s="2"/>
      <c r="N98" s="7">
        <f t="shared" si="72"/>
        <v>-1</v>
      </c>
      <c r="O98" s="11"/>
      <c r="P98" s="6">
        <v>-28540.93</v>
      </c>
      <c r="Q98" s="2"/>
      <c r="R98" s="7">
        <f t="shared" si="73"/>
        <v>-4.878210487308289E-2</v>
      </c>
      <c r="S98" s="2"/>
      <c r="T98" s="6">
        <v>5862</v>
      </c>
      <c r="U98" s="2"/>
      <c r="V98" s="7">
        <f t="shared" si="74"/>
        <v>2.5085050388343282E-2</v>
      </c>
      <c r="W98" s="2"/>
      <c r="X98" s="6">
        <f t="shared" si="75"/>
        <v>-34402.93</v>
      </c>
      <c r="Y98" s="2"/>
      <c r="Z98" s="7">
        <f t="shared" si="76"/>
        <v>-5.8688041624019105</v>
      </c>
    </row>
    <row r="99" spans="1:26" s="24" customFormat="1" hidden="1" outlineLevel="2" x14ac:dyDescent="0.25">
      <c r="A99" s="26"/>
      <c r="B99" s="11" t="str">
        <f>CONCATENATE("          ", "6243", " - ", "PAPER SUPPLIES")</f>
        <v xml:space="preserve">          6243 - PAPER SUPPLIES</v>
      </c>
      <c r="C99" s="11"/>
      <c r="D99" s="6"/>
      <c r="E99" s="2"/>
      <c r="F99" s="7">
        <f t="shared" si="69"/>
        <v>0</v>
      </c>
      <c r="G99" s="2"/>
      <c r="H99" s="6">
        <v>0</v>
      </c>
      <c r="I99" s="2"/>
      <c r="J99" s="7">
        <f t="shared" si="70"/>
        <v>0</v>
      </c>
      <c r="K99" s="2"/>
      <c r="L99" s="6">
        <f t="shared" si="71"/>
        <v>0</v>
      </c>
      <c r="M99" s="2"/>
      <c r="N99" s="7">
        <f t="shared" si="72"/>
        <v>0</v>
      </c>
      <c r="O99" s="11"/>
      <c r="P99" s="6">
        <v>255.33</v>
      </c>
      <c r="Q99" s="2"/>
      <c r="R99" s="7">
        <f t="shared" si="73"/>
        <v>4.3640956469338088E-4</v>
      </c>
      <c r="S99" s="2"/>
      <c r="T99" s="6">
        <v>6319</v>
      </c>
      <c r="U99" s="2"/>
      <c r="V99" s="7">
        <f t="shared" si="74"/>
        <v>2.7040674412135996E-2</v>
      </c>
      <c r="W99" s="2"/>
      <c r="X99" s="6">
        <f t="shared" si="75"/>
        <v>-6063.67</v>
      </c>
      <c r="Y99" s="2"/>
      <c r="Z99" s="7">
        <f t="shared" si="76"/>
        <v>-0.9595932900775439</v>
      </c>
    </row>
    <row r="100" spans="1:26" s="24" customFormat="1" hidden="1" outlineLevel="2" x14ac:dyDescent="0.25">
      <c r="A100" s="26"/>
      <c r="B100" s="11" t="str">
        <f>CONCATENATE("          ", "6244", " - ", "SAFETY SUPPLY EXPENSE")</f>
        <v xml:space="preserve">          6244 - SAFETY SUPPLY EXPENSE</v>
      </c>
      <c r="C100" s="11"/>
      <c r="D100" s="6"/>
      <c r="E100" s="2"/>
      <c r="F100" s="7">
        <f t="shared" si="69"/>
        <v>0</v>
      </c>
      <c r="G100" s="2"/>
      <c r="H100" s="6">
        <v>0</v>
      </c>
      <c r="I100" s="2"/>
      <c r="J100" s="7">
        <f t="shared" si="70"/>
        <v>0</v>
      </c>
      <c r="K100" s="2"/>
      <c r="L100" s="6">
        <f t="shared" si="71"/>
        <v>0</v>
      </c>
      <c r="M100" s="2"/>
      <c r="N100" s="7">
        <f t="shared" si="72"/>
        <v>0</v>
      </c>
      <c r="O100" s="11"/>
      <c r="P100" s="6"/>
      <c r="Q100" s="2"/>
      <c r="R100" s="7">
        <f t="shared" si="73"/>
        <v>0</v>
      </c>
      <c r="S100" s="2"/>
      <c r="T100" s="6">
        <v>0</v>
      </c>
      <c r="U100" s="2"/>
      <c r="V100" s="7">
        <f t="shared" si="74"/>
        <v>0</v>
      </c>
      <c r="W100" s="2"/>
      <c r="X100" s="6">
        <f t="shared" si="75"/>
        <v>0</v>
      </c>
      <c r="Y100" s="2"/>
      <c r="Z100" s="7">
        <f t="shared" si="76"/>
        <v>0</v>
      </c>
    </row>
    <row r="101" spans="1:26" s="24" customFormat="1" hidden="1" outlineLevel="2" x14ac:dyDescent="0.25">
      <c r="A101" s="26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69"/>
        <v>0</v>
      </c>
      <c r="G101" s="2"/>
      <c r="H101" s="6">
        <v>0</v>
      </c>
      <c r="I101" s="2"/>
      <c r="J101" s="7">
        <f t="shared" si="70"/>
        <v>0</v>
      </c>
      <c r="K101" s="2"/>
      <c r="L101" s="6">
        <f t="shared" si="71"/>
        <v>0</v>
      </c>
      <c r="M101" s="2"/>
      <c r="N101" s="7">
        <f t="shared" si="72"/>
        <v>0</v>
      </c>
      <c r="O101" s="11"/>
      <c r="P101" s="6"/>
      <c r="Q101" s="2"/>
      <c r="R101" s="7">
        <f t="shared" si="73"/>
        <v>0</v>
      </c>
      <c r="S101" s="2"/>
      <c r="T101" s="6">
        <v>0</v>
      </c>
      <c r="U101" s="2"/>
      <c r="V101" s="7">
        <f t="shared" si="74"/>
        <v>0</v>
      </c>
      <c r="W101" s="2"/>
      <c r="X101" s="6">
        <f t="shared" si="75"/>
        <v>0</v>
      </c>
      <c r="Y101" s="2"/>
      <c r="Z101" s="7">
        <f t="shared" si="76"/>
        <v>0</v>
      </c>
    </row>
    <row r="102" spans="1:26" s="24" customFormat="1" hidden="1" outlineLevel="2" x14ac:dyDescent="0.25">
      <c r="A102" s="26"/>
      <c r="B102" s="11" t="str">
        <f>CONCATENATE("          ", "6246", " - ", "REPLACEMENTS")</f>
        <v xml:space="preserve">          6246 - REPLACEMENTS</v>
      </c>
      <c r="C102" s="11"/>
      <c r="D102" s="6"/>
      <c r="E102" s="2"/>
      <c r="F102" s="7">
        <f t="shared" si="69"/>
        <v>0</v>
      </c>
      <c r="G102" s="2"/>
      <c r="H102" s="6">
        <v>0</v>
      </c>
      <c r="I102" s="2"/>
      <c r="J102" s="7">
        <f t="shared" si="70"/>
        <v>0</v>
      </c>
      <c r="K102" s="2"/>
      <c r="L102" s="6">
        <f t="shared" si="71"/>
        <v>0</v>
      </c>
      <c r="M102" s="2"/>
      <c r="N102" s="7">
        <f t="shared" si="72"/>
        <v>0</v>
      </c>
      <c r="O102" s="11"/>
      <c r="P102" s="6"/>
      <c r="Q102" s="2"/>
      <c r="R102" s="7">
        <f t="shared" si="73"/>
        <v>0</v>
      </c>
      <c r="S102" s="2"/>
      <c r="T102" s="6">
        <v>0</v>
      </c>
      <c r="U102" s="2"/>
      <c r="V102" s="7">
        <f t="shared" si="74"/>
        <v>0</v>
      </c>
      <c r="W102" s="2"/>
      <c r="X102" s="6">
        <f t="shared" si="75"/>
        <v>0</v>
      </c>
      <c r="Y102" s="2"/>
      <c r="Z102" s="7">
        <f t="shared" si="76"/>
        <v>0</v>
      </c>
    </row>
    <row r="103" spans="1:26" s="24" customFormat="1" hidden="1" outlineLevel="2" x14ac:dyDescent="0.25">
      <c r="A103" s="26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69"/>
        <v>0</v>
      </c>
      <c r="G103" s="2"/>
      <c r="H103" s="6">
        <v>0</v>
      </c>
      <c r="I103" s="2"/>
      <c r="J103" s="7">
        <f t="shared" si="70"/>
        <v>0</v>
      </c>
      <c r="K103" s="2"/>
      <c r="L103" s="6">
        <f t="shared" si="71"/>
        <v>0</v>
      </c>
      <c r="M103" s="2"/>
      <c r="N103" s="7">
        <f t="shared" si="72"/>
        <v>0</v>
      </c>
      <c r="O103" s="11"/>
      <c r="P103" s="6"/>
      <c r="Q103" s="2"/>
      <c r="R103" s="7">
        <f t="shared" si="73"/>
        <v>0</v>
      </c>
      <c r="S103" s="2"/>
      <c r="T103" s="6">
        <v>411</v>
      </c>
      <c r="U103" s="2"/>
      <c r="V103" s="7">
        <f t="shared" si="74"/>
        <v>1.75877784196675E-3</v>
      </c>
      <c r="W103" s="2"/>
      <c r="X103" s="6">
        <f t="shared" si="75"/>
        <v>-411</v>
      </c>
      <c r="Y103" s="2"/>
      <c r="Z103" s="7">
        <f t="shared" si="76"/>
        <v>-1</v>
      </c>
    </row>
    <row r="104" spans="1:26" s="24" customFormat="1" hidden="1" outlineLevel="2" x14ac:dyDescent="0.25">
      <c r="A104" s="26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69"/>
        <v>0</v>
      </c>
      <c r="G104" s="2"/>
      <c r="H104" s="6"/>
      <c r="I104" s="2"/>
      <c r="J104" s="7">
        <f t="shared" si="70"/>
        <v>0</v>
      </c>
      <c r="K104" s="2"/>
      <c r="L104" s="6">
        <f t="shared" si="71"/>
        <v>0</v>
      </c>
      <c r="M104" s="2"/>
      <c r="N104" s="7">
        <f t="shared" si="72"/>
        <v>0</v>
      </c>
      <c r="O104" s="11"/>
      <c r="P104" s="6"/>
      <c r="Q104" s="2"/>
      <c r="R104" s="7">
        <f t="shared" si="73"/>
        <v>0</v>
      </c>
      <c r="S104" s="2"/>
      <c r="T104" s="6">
        <v>15</v>
      </c>
      <c r="U104" s="2"/>
      <c r="V104" s="7">
        <f t="shared" si="74"/>
        <v>6.4188972334552923E-5</v>
      </c>
      <c r="W104" s="2"/>
      <c r="X104" s="6">
        <f t="shared" si="75"/>
        <v>-15</v>
      </c>
      <c r="Y104" s="2"/>
      <c r="Z104" s="7">
        <f t="shared" si="76"/>
        <v>-1</v>
      </c>
    </row>
    <row r="105" spans="1:26" s="27" customFormat="1" outlineLevel="1" collapsed="1" x14ac:dyDescent="0.25">
      <c r="A105" s="25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SUM(OSRRefD22_19x_0)</f>
        <v>999.5</v>
      </c>
      <c r="E105" s="1"/>
      <c r="F105" s="5">
        <f t="shared" ref="F105:F107" si="77">IF(D$12=0,0,D105/D$12)</f>
        <v>1.4986218526504615E-2</v>
      </c>
      <c r="G105" s="1"/>
      <c r="H105" s="1">
        <f>SUM(OSRRefH22_19x_0)</f>
        <v>385</v>
      </c>
      <c r="I105" s="1"/>
      <c r="J105" s="5">
        <f t="shared" ref="J105:J107" si="78">IF(H$12=0,0,H105/H$12)</f>
        <v>3.5353535353535352E-2</v>
      </c>
      <c r="K105" s="1"/>
      <c r="L105" s="1">
        <f t="shared" ref="L105:L107" si="79">+D105-H105</f>
        <v>614.5</v>
      </c>
      <c r="M105" s="1"/>
      <c r="N105" s="5">
        <f t="shared" ref="N105:N107" si="80">IF(H105=0,0,L105/H105)</f>
        <v>1.596103896103896</v>
      </c>
      <c r="O105" s="13"/>
      <c r="P105" s="1">
        <f>SUM(OSRRefP22_19x_0)</f>
        <v>7244.61</v>
      </c>
      <c r="Q105" s="1"/>
      <c r="R105" s="5">
        <f t="shared" ref="R105:R107" si="81">IF(P$12=0,0,P105/P$12)</f>
        <v>1.2382474039373806E-2</v>
      </c>
      <c r="S105" s="1"/>
      <c r="T105" s="1">
        <f>SUM(OSRRefT22_19x_0)</f>
        <v>4062</v>
      </c>
      <c r="U105" s="1"/>
      <c r="V105" s="5">
        <f t="shared" ref="V105:V107" si="82">IF(T$12=0,0,T105/T$12)</f>
        <v>1.7382373708196931E-2</v>
      </c>
      <c r="W105" s="1"/>
      <c r="X105" s="1">
        <f t="shared" ref="X105:X107" si="83">+P105-T105</f>
        <v>3182.6099999999997</v>
      </c>
      <c r="Y105" s="1"/>
      <c r="Z105" s="5">
        <f t="shared" ref="Z105:Z107" si="84">IF(T105=0,0,X105/T105)</f>
        <v>0.78350812407680936</v>
      </c>
    </row>
    <row r="106" spans="1:26" s="24" customFormat="1" hidden="1" outlineLevel="2" x14ac:dyDescent="0.25">
      <c r="A106" s="26"/>
      <c r="B106" s="11" t="str">
        <f>CONCATENATE("          ", "6303", " - ", "DATA PHONE LINES")</f>
        <v xml:space="preserve">          6303 - DATA PHONE LINES</v>
      </c>
      <c r="C106" s="11"/>
      <c r="D106" s="6"/>
      <c r="E106" s="2"/>
      <c r="F106" s="7">
        <f t="shared" si="77"/>
        <v>0</v>
      </c>
      <c r="G106" s="2"/>
      <c r="H106" s="6">
        <v>135</v>
      </c>
      <c r="I106" s="2"/>
      <c r="J106" s="7">
        <f t="shared" si="78"/>
        <v>1.2396694214876033E-2</v>
      </c>
      <c r="K106" s="2"/>
      <c r="L106" s="6">
        <f t="shared" si="79"/>
        <v>-135</v>
      </c>
      <c r="M106" s="2"/>
      <c r="N106" s="7">
        <f t="shared" si="80"/>
        <v>-1</v>
      </c>
      <c r="O106" s="11"/>
      <c r="P106" s="6"/>
      <c r="Q106" s="2"/>
      <c r="R106" s="7">
        <f t="shared" si="81"/>
        <v>0</v>
      </c>
      <c r="S106" s="2"/>
      <c r="T106" s="6">
        <v>1662</v>
      </c>
      <c r="U106" s="2"/>
      <c r="V106" s="7">
        <f t="shared" si="82"/>
        <v>7.1121381346684644E-3</v>
      </c>
      <c r="W106" s="2"/>
      <c r="X106" s="6">
        <f t="shared" si="83"/>
        <v>-1662</v>
      </c>
      <c r="Y106" s="2"/>
      <c r="Z106" s="7">
        <f t="shared" si="84"/>
        <v>-1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6">
        <v>999.5</v>
      </c>
      <c r="E107" s="2"/>
      <c r="F107" s="7">
        <f t="shared" si="77"/>
        <v>1.4986218526504615E-2</v>
      </c>
      <c r="G107" s="2"/>
      <c r="H107" s="6">
        <v>250</v>
      </c>
      <c r="I107" s="2"/>
      <c r="J107" s="7">
        <f t="shared" si="78"/>
        <v>2.2956841138659319E-2</v>
      </c>
      <c r="K107" s="2"/>
      <c r="L107" s="6">
        <f t="shared" si="79"/>
        <v>749.5</v>
      </c>
      <c r="M107" s="2"/>
      <c r="N107" s="7">
        <f t="shared" si="80"/>
        <v>2.9980000000000002</v>
      </c>
      <c r="O107" s="11"/>
      <c r="P107" s="6">
        <v>7244.61</v>
      </c>
      <c r="Q107" s="2"/>
      <c r="R107" s="7">
        <f t="shared" si="81"/>
        <v>1.2382474039373806E-2</v>
      </c>
      <c r="S107" s="2"/>
      <c r="T107" s="6">
        <v>2400</v>
      </c>
      <c r="U107" s="2"/>
      <c r="V107" s="7">
        <f t="shared" si="82"/>
        <v>1.0270235573528469E-2</v>
      </c>
      <c r="W107" s="2"/>
      <c r="X107" s="6">
        <f t="shared" si="83"/>
        <v>4844.6099999999997</v>
      </c>
      <c r="Y107" s="2"/>
      <c r="Z107" s="7">
        <f t="shared" si="84"/>
        <v>2.0185874999999998</v>
      </c>
    </row>
    <row r="108" spans="1:26" s="27" customFormat="1" outlineLevel="1" collapsed="1" x14ac:dyDescent="0.25">
      <c r="A108" s="25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SUM(OSRRefD22_20x_0)</f>
        <v>12.99</v>
      </c>
      <c r="E108" s="1"/>
      <c r="F108" s="5">
        <f t="shared" ref="F108:F113" si="85">IF(D$12=0,0,D108/D$12)</f>
        <v>1.9476836284071532E-4</v>
      </c>
      <c r="G108" s="1"/>
      <c r="H108" s="1">
        <f>SUM(OSRRefH22_20x_0)</f>
        <v>0</v>
      </c>
      <c r="I108" s="1"/>
      <c r="J108" s="5">
        <f t="shared" ref="J108:J113" si="86">IF(H$12=0,0,H108/H$12)</f>
        <v>0</v>
      </c>
      <c r="K108" s="1"/>
      <c r="L108" s="1">
        <f t="shared" ref="L108:L113" si="87">+D108-H108</f>
        <v>12.99</v>
      </c>
      <c r="M108" s="1"/>
      <c r="N108" s="5">
        <f t="shared" ref="N108:N113" si="88">IF(H108=0,0,L108/H108)</f>
        <v>0</v>
      </c>
      <c r="O108" s="13"/>
      <c r="P108" s="1">
        <f>SUM(OSRRefP22_20x_0)</f>
        <v>412.99</v>
      </c>
      <c r="Q108" s="1"/>
      <c r="R108" s="5">
        <f t="shared" ref="R108:R113" si="89">IF(P$12=0,0,P108/P$12)</f>
        <v>7.0588174567312633E-4</v>
      </c>
      <c r="S108" s="1"/>
      <c r="T108" s="1">
        <f>SUM(OSRRefT22_20x_0)</f>
        <v>0</v>
      </c>
      <c r="U108" s="1"/>
      <c r="V108" s="5">
        <f t="shared" ref="V108:V113" si="90">IF(T$12=0,0,T108/T$12)</f>
        <v>0</v>
      </c>
      <c r="W108" s="1"/>
      <c r="X108" s="1">
        <f t="shared" ref="X108:X113" si="91">+P108-T108</f>
        <v>412.99</v>
      </c>
      <c r="Y108" s="1"/>
      <c r="Z108" s="5">
        <f t="shared" ref="Z108:Z113" si="92">IF(T108=0,0,X108/T108)</f>
        <v>0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6">
        <v>12.99</v>
      </c>
      <c r="E109" s="2"/>
      <c r="F109" s="7">
        <f t="shared" si="85"/>
        <v>1.9476836284071532E-4</v>
      </c>
      <c r="G109" s="2"/>
      <c r="H109" s="6">
        <v>0</v>
      </c>
      <c r="I109" s="2"/>
      <c r="J109" s="7">
        <f t="shared" si="86"/>
        <v>0</v>
      </c>
      <c r="K109" s="2"/>
      <c r="L109" s="6">
        <f t="shared" si="87"/>
        <v>12.99</v>
      </c>
      <c r="M109" s="2"/>
      <c r="N109" s="7">
        <f t="shared" si="88"/>
        <v>0</v>
      </c>
      <c r="O109" s="11"/>
      <c r="P109" s="6">
        <v>412.99</v>
      </c>
      <c r="Q109" s="2"/>
      <c r="R109" s="7">
        <f t="shared" si="89"/>
        <v>7.0588174567312633E-4</v>
      </c>
      <c r="S109" s="2"/>
      <c r="T109" s="6">
        <v>0</v>
      </c>
      <c r="U109" s="2"/>
      <c r="V109" s="7">
        <f t="shared" si="90"/>
        <v>0</v>
      </c>
      <c r="W109" s="2"/>
      <c r="X109" s="6">
        <f t="shared" si="91"/>
        <v>412.99</v>
      </c>
      <c r="Y109" s="2"/>
      <c r="Z109" s="7">
        <f t="shared" si="92"/>
        <v>0</v>
      </c>
    </row>
    <row r="110" spans="1:26" s="27" customFormat="1" outlineLevel="1" collapsed="1" x14ac:dyDescent="0.25">
      <c r="A110" s="25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SUM(OSRRefD22_21x_0)</f>
        <v>0</v>
      </c>
      <c r="E110" s="1"/>
      <c r="F110" s="5">
        <f t="shared" si="85"/>
        <v>0</v>
      </c>
      <c r="G110" s="1"/>
      <c r="H110" s="1">
        <f>SUM(OSRRefH22_21x_0)</f>
        <v>0</v>
      </c>
      <c r="I110" s="1"/>
      <c r="J110" s="5">
        <f t="shared" si="86"/>
        <v>0</v>
      </c>
      <c r="K110" s="1"/>
      <c r="L110" s="1">
        <f t="shared" si="87"/>
        <v>0</v>
      </c>
      <c r="M110" s="1"/>
      <c r="N110" s="5">
        <f t="shared" si="88"/>
        <v>0</v>
      </c>
      <c r="O110" s="13"/>
      <c r="P110" s="1">
        <f>SUM(OSRRefP22_21x_0)</f>
        <v>332.21</v>
      </c>
      <c r="Q110" s="1"/>
      <c r="R110" s="5">
        <f t="shared" si="89"/>
        <v>5.6781271878270491E-4</v>
      </c>
      <c r="S110" s="1"/>
      <c r="T110" s="1">
        <f>SUM(OSRRefT22_21x_0)</f>
        <v>0</v>
      </c>
      <c r="U110" s="1"/>
      <c r="V110" s="5">
        <f t="shared" si="90"/>
        <v>0</v>
      </c>
      <c r="W110" s="1"/>
      <c r="X110" s="1">
        <f t="shared" si="91"/>
        <v>332.21</v>
      </c>
      <c r="Y110" s="1"/>
      <c r="Z110" s="5">
        <f t="shared" si="92"/>
        <v>0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85"/>
        <v>0</v>
      </c>
      <c r="G111" s="2"/>
      <c r="H111" s="6"/>
      <c r="I111" s="2"/>
      <c r="J111" s="7">
        <f t="shared" si="86"/>
        <v>0</v>
      </c>
      <c r="K111" s="2"/>
      <c r="L111" s="6">
        <f t="shared" si="87"/>
        <v>0</v>
      </c>
      <c r="M111" s="2"/>
      <c r="N111" s="7">
        <f t="shared" si="88"/>
        <v>0</v>
      </c>
      <c r="O111" s="11"/>
      <c r="P111" s="6"/>
      <c r="Q111" s="2"/>
      <c r="R111" s="7">
        <f t="shared" si="89"/>
        <v>0</v>
      </c>
      <c r="S111" s="2"/>
      <c r="T111" s="6">
        <v>0</v>
      </c>
      <c r="U111" s="2"/>
      <c r="V111" s="7">
        <f t="shared" si="90"/>
        <v>0</v>
      </c>
      <c r="W111" s="2"/>
      <c r="X111" s="6">
        <f t="shared" si="91"/>
        <v>0</v>
      </c>
      <c r="Y111" s="2"/>
      <c r="Z111" s="7">
        <f t="shared" si="92"/>
        <v>0</v>
      </c>
    </row>
    <row r="112" spans="1:26" s="24" customFormat="1" hidden="1" outlineLevel="2" x14ac:dyDescent="0.25">
      <c r="A112" s="26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85"/>
        <v>0</v>
      </c>
      <c r="G112" s="2"/>
      <c r="H112" s="6"/>
      <c r="I112" s="2"/>
      <c r="J112" s="7">
        <f t="shared" si="86"/>
        <v>0</v>
      </c>
      <c r="K112" s="2"/>
      <c r="L112" s="6">
        <f t="shared" si="87"/>
        <v>0</v>
      </c>
      <c r="M112" s="2"/>
      <c r="N112" s="7">
        <f t="shared" si="88"/>
        <v>0</v>
      </c>
      <c r="O112" s="11"/>
      <c r="P112" s="6"/>
      <c r="Q112" s="2"/>
      <c r="R112" s="7">
        <f t="shared" si="89"/>
        <v>0</v>
      </c>
      <c r="S112" s="2"/>
      <c r="T112" s="6">
        <v>0</v>
      </c>
      <c r="U112" s="2"/>
      <c r="V112" s="7">
        <f t="shared" si="90"/>
        <v>0</v>
      </c>
      <c r="W112" s="2"/>
      <c r="X112" s="6">
        <f t="shared" si="91"/>
        <v>0</v>
      </c>
      <c r="Y112" s="2"/>
      <c r="Z112" s="7">
        <f t="shared" si="92"/>
        <v>0</v>
      </c>
    </row>
    <row r="113" spans="1:26" s="24" customFormat="1" hidden="1" outlineLevel="2" x14ac:dyDescent="0.25">
      <c r="A113" s="26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85"/>
        <v>0</v>
      </c>
      <c r="G113" s="2"/>
      <c r="H113" s="6"/>
      <c r="I113" s="2"/>
      <c r="J113" s="7">
        <f t="shared" si="86"/>
        <v>0</v>
      </c>
      <c r="K113" s="2"/>
      <c r="L113" s="6">
        <f t="shared" si="87"/>
        <v>0</v>
      </c>
      <c r="M113" s="2"/>
      <c r="N113" s="7">
        <f t="shared" si="88"/>
        <v>0</v>
      </c>
      <c r="O113" s="11"/>
      <c r="P113" s="6">
        <v>332.21</v>
      </c>
      <c r="Q113" s="2"/>
      <c r="R113" s="7">
        <f t="shared" si="89"/>
        <v>5.6781271878270491E-4</v>
      </c>
      <c r="S113" s="2"/>
      <c r="T113" s="6"/>
      <c r="U113" s="2"/>
      <c r="V113" s="7">
        <f t="shared" si="90"/>
        <v>0</v>
      </c>
      <c r="W113" s="2"/>
      <c r="X113" s="6">
        <f t="shared" si="91"/>
        <v>332.21</v>
      </c>
      <c r="Y113" s="2"/>
      <c r="Z113" s="7">
        <f t="shared" si="92"/>
        <v>0</v>
      </c>
    </row>
    <row r="114" spans="1:26" s="27" customFormat="1" outlineLevel="1" collapsed="1" x14ac:dyDescent="0.25">
      <c r="A114" s="25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SUM(OSRRefD22_22x_0)</f>
        <v>40208</v>
      </c>
      <c r="E114" s="1"/>
      <c r="F114" s="5">
        <f t="shared" ref="F114:F115" si="93">IF(D$12=0,0,D114/D$12)</f>
        <v>0.60286730816778145</v>
      </c>
      <c r="G114" s="1"/>
      <c r="H114" s="1">
        <f>SUM(OSRRefH22_22x_0)</f>
        <v>3300</v>
      </c>
      <c r="I114" s="1"/>
      <c r="J114" s="5">
        <f t="shared" ref="J114:J115" si="94">IF(H$12=0,0,H114/H$12)</f>
        <v>0.30303030303030304</v>
      </c>
      <c r="K114" s="1"/>
      <c r="L114" s="1">
        <f t="shared" ref="L114:L115" si="95">+D114-H114</f>
        <v>36908</v>
      </c>
      <c r="M114" s="1"/>
      <c r="N114" s="5">
        <f t="shared" ref="N114:N115" si="96">IF(H114=0,0,L114/H114)</f>
        <v>11.184242424242424</v>
      </c>
      <c r="O114" s="13"/>
      <c r="P114" s="1">
        <f>SUM(OSRRefP22_22x_0)</f>
        <v>46044</v>
      </c>
      <c r="Q114" s="1"/>
      <c r="R114" s="5">
        <f t="shared" ref="R114:R115" si="97">IF(P$12=0,0,P114/P$12)</f>
        <v>7.8698319808647735E-2</v>
      </c>
      <c r="S114" s="1"/>
      <c r="T114" s="1">
        <f>SUM(OSRRefT22_22x_0)</f>
        <v>39600</v>
      </c>
      <c r="U114" s="1"/>
      <c r="V114" s="5">
        <f t="shared" ref="V114:V115" si="98">IF(T$12=0,0,T114/T$12)</f>
        <v>0.16945888696321973</v>
      </c>
      <c r="W114" s="1"/>
      <c r="X114" s="1">
        <f t="shared" ref="X114:X115" si="99">+P114-T114</f>
        <v>6444</v>
      </c>
      <c r="Y114" s="1"/>
      <c r="Z114" s="5">
        <f t="shared" ref="Z114:Z115" si="100">IF(T114=0,0,X114/T114)</f>
        <v>0.16272727272727272</v>
      </c>
    </row>
    <row r="115" spans="1:26" s="24" customFormat="1" hidden="1" outlineLevel="2" x14ac:dyDescent="0.25">
      <c r="A115" s="26"/>
      <c r="B115" s="11" t="str">
        <f>CONCATENATE("          ", "6274", " - ", "UTILITIES")</f>
        <v xml:space="preserve">          6274 - UTILITIES</v>
      </c>
      <c r="C115" s="11"/>
      <c r="D115" s="6">
        <v>40208</v>
      </c>
      <c r="E115" s="2"/>
      <c r="F115" s="7">
        <f t="shared" si="93"/>
        <v>0.60286730816778145</v>
      </c>
      <c r="G115" s="2"/>
      <c r="H115" s="6">
        <v>3300</v>
      </c>
      <c r="I115" s="2"/>
      <c r="J115" s="7">
        <f t="shared" si="94"/>
        <v>0.30303030303030304</v>
      </c>
      <c r="K115" s="2"/>
      <c r="L115" s="6">
        <f t="shared" si="95"/>
        <v>36908</v>
      </c>
      <c r="M115" s="2"/>
      <c r="N115" s="7">
        <f t="shared" si="96"/>
        <v>11.184242424242424</v>
      </c>
      <c r="O115" s="11"/>
      <c r="P115" s="6">
        <v>46044</v>
      </c>
      <c r="Q115" s="2"/>
      <c r="R115" s="7">
        <f t="shared" si="97"/>
        <v>7.8698319808647735E-2</v>
      </c>
      <c r="S115" s="2"/>
      <c r="T115" s="6">
        <v>39600</v>
      </c>
      <c r="U115" s="2"/>
      <c r="V115" s="7">
        <f t="shared" si="98"/>
        <v>0.16945888696321973</v>
      </c>
      <c r="W115" s="2"/>
      <c r="X115" s="6">
        <f t="shared" si="99"/>
        <v>6444</v>
      </c>
      <c r="Y115" s="2"/>
      <c r="Z115" s="7">
        <f t="shared" si="100"/>
        <v>0.16272727272727272</v>
      </c>
    </row>
    <row r="116" spans="1:26" s="61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293</v>
      </c>
      <c r="C117" s="10"/>
      <c r="D117" s="4">
        <f>SUM(OSRRefD25x_0)</f>
        <v>1026.5</v>
      </c>
      <c r="E117" s="4"/>
      <c r="F117" s="12">
        <f t="shared" ref="F117:F121" si="101">IF(D$12=0,0,D117/D$12)</f>
        <v>1.5391048841877926E-2</v>
      </c>
      <c r="G117" s="4"/>
      <c r="H117" s="4">
        <f>SUM(OSRRefH25x_0)</f>
        <v>29608</v>
      </c>
      <c r="I117" s="4"/>
      <c r="J117" s="12">
        <f t="shared" ref="J117:J121" si="102">IF(H$12=0,0,H117/H$12)</f>
        <v>2.7188246097337005</v>
      </c>
      <c r="K117" s="4"/>
      <c r="L117" s="4">
        <f t="shared" ref="L117:L121" si="103">+D117-H117</f>
        <v>-28581.5</v>
      </c>
      <c r="M117" s="4"/>
      <c r="N117" s="12">
        <f t="shared" ref="N117:N121" si="104">IF(H117=0,0,L117/H117)</f>
        <v>-0.96533031613077547</v>
      </c>
      <c r="O117" s="10"/>
      <c r="P117" s="4">
        <f>SUM(OSRRefP25x_0)</f>
        <v>23513.16</v>
      </c>
      <c r="Q117" s="4"/>
      <c r="R117" s="12">
        <f t="shared" ref="R117:R121" si="105">IF(P$12=0,0,P117/P$12)</f>
        <v>4.0188649669705145E-2</v>
      </c>
      <c r="S117" s="4"/>
      <c r="T117" s="4">
        <f>SUM(OSRRefT25x_0)</f>
        <v>108558</v>
      </c>
      <c r="U117" s="4"/>
      <c r="V117" s="12">
        <f t="shared" ref="V117:V121" si="106">IF(T$12=0,0,T117/T$12)</f>
        <v>0.46454843057962641</v>
      </c>
      <c r="W117" s="4"/>
      <c r="X117" s="4">
        <f t="shared" ref="X117:X121" si="107">+P117-T117</f>
        <v>-85044.84</v>
      </c>
      <c r="Y117" s="4"/>
      <c r="Z117" s="12">
        <f t="shared" ref="Z117:Z121" si="108">IF(T117=0,0,X117/T117)</f>
        <v>-0.78340463162549046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--449.64</f>
        <v>449.64</v>
      </c>
      <c r="E118" s="2"/>
      <c r="F118" s="19">
        <f t="shared" si="101"/>
        <v>6.7417741853502099E-3</v>
      </c>
      <c r="G118" s="2"/>
      <c r="H118" s="2">
        <v>15664</v>
      </c>
      <c r="I118" s="2"/>
      <c r="J118" s="19">
        <f t="shared" si="102"/>
        <v>1.4383838383838383</v>
      </c>
      <c r="K118" s="2"/>
      <c r="L118" s="2">
        <f t="shared" si="103"/>
        <v>-15214.36</v>
      </c>
      <c r="M118" s="2"/>
      <c r="N118" s="19">
        <f t="shared" si="104"/>
        <v>-0.9712946884576098</v>
      </c>
      <c r="O118" s="11"/>
      <c r="P118" s="2">
        <f>--5799.56</f>
        <v>5799.56</v>
      </c>
      <c r="Q118" s="2"/>
      <c r="R118" s="19">
        <f t="shared" si="105"/>
        <v>9.9125972467518277E-3</v>
      </c>
      <c r="S118" s="2"/>
      <c r="T118" s="2">
        <v>42725</v>
      </c>
      <c r="U118" s="2"/>
      <c r="V118" s="19">
        <f t="shared" si="106"/>
        <v>0.18283158953291825</v>
      </c>
      <c r="W118" s="2"/>
      <c r="X118" s="2">
        <f t="shared" si="107"/>
        <v>-36925.440000000002</v>
      </c>
      <c r="Y118" s="2"/>
      <c r="Z118" s="19">
        <f t="shared" si="108"/>
        <v>-0.86425839672323002</v>
      </c>
    </row>
    <row r="119" spans="1:26" s="24" customFormat="1" hidden="1" outlineLevel="1" x14ac:dyDescent="0.25">
      <c r="A119" s="44"/>
      <c r="B119" s="11" t="str">
        <f>CONCATENATE("          ", "9151", " - ", "MISC. INCOME")</f>
        <v xml:space="preserve">          9151 - MISC. INCOME</v>
      </c>
      <c r="C119" s="11"/>
      <c r="D119" s="2">
        <f t="shared" ref="D119:D120" si="109">0</f>
        <v>0</v>
      </c>
      <c r="E119" s="2"/>
      <c r="F119" s="19">
        <f t="shared" si="101"/>
        <v>0</v>
      </c>
      <c r="G119" s="2"/>
      <c r="H119" s="2">
        <v>6343</v>
      </c>
      <c r="I119" s="2"/>
      <c r="J119" s="19">
        <f t="shared" si="102"/>
        <v>0.58246097337006431</v>
      </c>
      <c r="K119" s="2"/>
      <c r="L119" s="2">
        <f t="shared" si="103"/>
        <v>-6343</v>
      </c>
      <c r="M119" s="2"/>
      <c r="N119" s="19">
        <f t="shared" si="104"/>
        <v>-1</v>
      </c>
      <c r="O119" s="11"/>
      <c r="P119" s="2">
        <f>0</f>
        <v>0</v>
      </c>
      <c r="Q119" s="2"/>
      <c r="R119" s="19">
        <f t="shared" si="105"/>
        <v>0</v>
      </c>
      <c r="S119" s="2"/>
      <c r="T119" s="2">
        <v>41738</v>
      </c>
      <c r="U119" s="2"/>
      <c r="V119" s="19">
        <f t="shared" si="106"/>
        <v>0.17860795515330466</v>
      </c>
      <c r="W119" s="2"/>
      <c r="X119" s="2">
        <f t="shared" si="107"/>
        <v>-41738</v>
      </c>
      <c r="Y119" s="2"/>
      <c r="Z119" s="19">
        <f t="shared" si="108"/>
        <v>-1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 t="shared" si="109"/>
        <v>0</v>
      </c>
      <c r="E120" s="2"/>
      <c r="F120" s="19">
        <f t="shared" si="101"/>
        <v>0</v>
      </c>
      <c r="G120" s="2"/>
      <c r="H120" s="2">
        <v>7601</v>
      </c>
      <c r="I120" s="2"/>
      <c r="J120" s="19">
        <f t="shared" si="102"/>
        <v>0.69797979797979803</v>
      </c>
      <c r="K120" s="2"/>
      <c r="L120" s="2">
        <f t="shared" si="103"/>
        <v>-7601</v>
      </c>
      <c r="M120" s="2"/>
      <c r="N120" s="19">
        <f t="shared" si="104"/>
        <v>-1</v>
      </c>
      <c r="O120" s="11"/>
      <c r="P120" s="2">
        <f>--13615.06</f>
        <v>13615.06</v>
      </c>
      <c r="Q120" s="2"/>
      <c r="R120" s="19">
        <f t="shared" si="105"/>
        <v>2.3270835420335492E-2</v>
      </c>
      <c r="S120" s="2"/>
      <c r="T120" s="2">
        <v>24095</v>
      </c>
      <c r="U120" s="2"/>
      <c r="V120" s="19">
        <f t="shared" si="106"/>
        <v>0.10310888589340352</v>
      </c>
      <c r="W120" s="2"/>
      <c r="X120" s="2">
        <f t="shared" si="107"/>
        <v>-10479.94</v>
      </c>
      <c r="Y120" s="2"/>
      <c r="Z120" s="19">
        <f t="shared" si="108"/>
        <v>-0.43494251919485372</v>
      </c>
    </row>
    <row r="121" spans="1:26" s="24" customFormat="1" hidden="1" outlineLevel="1" x14ac:dyDescent="0.25">
      <c r="A121" s="44"/>
      <c r="B121" s="11" t="str">
        <f>CONCATENATE("          ", "9165", " - ", "OTHER INCOME")</f>
        <v xml:space="preserve">          9165 - OTHER INCOME</v>
      </c>
      <c r="C121" s="11"/>
      <c r="D121" s="2">
        <f>--576.86</f>
        <v>576.86</v>
      </c>
      <c r="E121" s="2"/>
      <c r="F121" s="19">
        <f t="shared" si="101"/>
        <v>8.6492746565277161E-3</v>
      </c>
      <c r="G121" s="2"/>
      <c r="H121" s="2"/>
      <c r="I121" s="2"/>
      <c r="J121" s="19">
        <f t="shared" si="102"/>
        <v>0</v>
      </c>
      <c r="K121" s="2"/>
      <c r="L121" s="2">
        <f t="shared" si="103"/>
        <v>576.86</v>
      </c>
      <c r="M121" s="2"/>
      <c r="N121" s="19">
        <f t="shared" si="104"/>
        <v>0</v>
      </c>
      <c r="O121" s="11"/>
      <c r="P121" s="2">
        <f>--4098.54</f>
        <v>4098.54</v>
      </c>
      <c r="Q121" s="2"/>
      <c r="R121" s="19">
        <f t="shared" si="105"/>
        <v>7.0052170026178246E-3</v>
      </c>
      <c r="S121" s="2"/>
      <c r="T121" s="2"/>
      <c r="U121" s="2"/>
      <c r="V121" s="19">
        <f t="shared" si="106"/>
        <v>0</v>
      </c>
      <c r="W121" s="2"/>
      <c r="X121" s="2">
        <f t="shared" si="107"/>
        <v>4098.54</v>
      </c>
      <c r="Y121" s="2"/>
      <c r="Z121" s="19">
        <f t="shared" si="108"/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8" t="s">
        <v>277</v>
      </c>
      <c r="C123" s="28"/>
      <c r="D123" s="20">
        <f>+D26-D28+D117</f>
        <v>-110054.39000000001</v>
      </c>
      <c r="E123" s="14"/>
      <c r="F123" s="22">
        <f>IF(D$12=0,0,D123/D$12)</f>
        <v>-1.6501242004413852</v>
      </c>
      <c r="G123" s="14"/>
      <c r="H123" s="20">
        <f>+H26-H28+H117</f>
        <v>-60734.829054579488</v>
      </c>
      <c r="I123" s="14"/>
      <c r="J123" s="22">
        <f>IF(H$12=0,0,H123/H$12)</f>
        <v>-5.5771192887584471</v>
      </c>
      <c r="K123" s="16"/>
      <c r="L123" s="20">
        <f>+D123-H123</f>
        <v>-49319.560945420526</v>
      </c>
      <c r="M123" s="16"/>
      <c r="N123" s="22">
        <f>IF(H123=0,0,L123/H123)</f>
        <v>0.81204741518411772</v>
      </c>
      <c r="O123" s="29"/>
      <c r="P123" s="20">
        <f>+P26-P28+P117</f>
        <v>-820687.25000000012</v>
      </c>
      <c r="Q123" s="14"/>
      <c r="R123" s="22">
        <f>IF(P$12=0,0,P123/P$12)</f>
        <v>-1.4027171328159944</v>
      </c>
      <c r="S123" s="14"/>
      <c r="T123" s="20">
        <f>+T26-T28+T117</f>
        <v>-1042505.7554583848</v>
      </c>
      <c r="U123" s="14"/>
      <c r="V123" s="22">
        <f>IF(T$12=0,0,T123/T$12)</f>
        <v>-4.4611582063820299</v>
      </c>
      <c r="W123" s="16"/>
      <c r="X123" s="20">
        <f>+P123-T123</f>
        <v>221818.50545838464</v>
      </c>
      <c r="Y123" s="16"/>
      <c r="Z123" s="22">
        <f>IF(T123=0,0,X123/T123)</f>
        <v>-0.21277437011448644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128</v>
      </c>
      <c r="C125" s="10"/>
      <c r="D125" s="4">
        <v>51172.32</v>
      </c>
      <c r="E125" s="4"/>
      <c r="F125" s="12">
        <f>IF(D$12=0,0,D125/D$12)</f>
        <v>0.76726320162903716</v>
      </c>
      <c r="G125" s="4"/>
      <c r="H125" s="4">
        <v>-1644</v>
      </c>
      <c r="I125" s="4"/>
      <c r="J125" s="12">
        <f>IF(H$12=0,0,H125/H$12)</f>
        <v>-0.15096418732782368</v>
      </c>
      <c r="K125" s="4"/>
      <c r="L125" s="4">
        <f>+D125-H125</f>
        <v>52816.32</v>
      </c>
      <c r="M125" s="4"/>
      <c r="N125" s="12">
        <f>IF(H125=0,0,L125/H125)</f>
        <v>-32.126715328467156</v>
      </c>
      <c r="O125" s="10"/>
      <c r="P125" s="4">
        <v>161944.15</v>
      </c>
      <c r="Q125" s="4"/>
      <c r="R125" s="12">
        <f>IF(P$12=0,0,P125/P$12)</f>
        <v>0.27679464225175093</v>
      </c>
      <c r="S125" s="4"/>
      <c r="T125" s="4">
        <v>39488</v>
      </c>
      <c r="U125" s="4"/>
      <c r="V125" s="12">
        <f>IF(T$12=0,0,T125/T$12)</f>
        <v>0.16897960930312173</v>
      </c>
      <c r="W125" s="4"/>
      <c r="X125" s="4">
        <f>+P125-T125</f>
        <v>122456.15</v>
      </c>
      <c r="Y125" s="4"/>
      <c r="Z125" s="12">
        <f>IF(T125=0,0,X125/T125)</f>
        <v>3.1010978018638573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126</v>
      </c>
      <c r="C127" s="28"/>
      <c r="D127" s="34">
        <f>+D123-D125</f>
        <v>-161226.71000000002</v>
      </c>
      <c r="E127" s="14"/>
      <c r="F127" s="35">
        <f>IF(D$12=0,0,D127/D$12)</f>
        <v>-2.4173874020704225</v>
      </c>
      <c r="G127" s="14"/>
      <c r="H127" s="34">
        <f>+H123-H125</f>
        <v>-59090.829054579488</v>
      </c>
      <c r="I127" s="14"/>
      <c r="J127" s="35">
        <f>IF(H$12=0,0,H127/H$12)</f>
        <v>-5.4261551014306235</v>
      </c>
      <c r="K127" s="16"/>
      <c r="L127" s="34">
        <f>D127-H127</f>
        <v>-102135.88094542053</v>
      </c>
      <c r="M127" s="16"/>
      <c r="N127" s="35">
        <f>IF(H127=0,0,L127/H127)</f>
        <v>1.7284557109713641</v>
      </c>
      <c r="O127" s="29"/>
      <c r="P127" s="34">
        <f>+P123-P125</f>
        <v>-982631.40000000014</v>
      </c>
      <c r="Q127" s="14"/>
      <c r="R127" s="35">
        <f>IF(P$12=0,0,P127/P$12)</f>
        <v>-1.6795117750677455</v>
      </c>
      <c r="S127" s="14"/>
      <c r="T127" s="34">
        <f>+T123-T125</f>
        <v>-1081993.7554583848</v>
      </c>
      <c r="U127" s="14"/>
      <c r="V127" s="35">
        <f>IF(T$12=0,0,T127/T$12)</f>
        <v>-4.6301378156851518</v>
      </c>
      <c r="W127" s="16"/>
      <c r="X127" s="34">
        <f>P127-T127</f>
        <v>99362.355458384613</v>
      </c>
      <c r="Y127" s="16"/>
      <c r="Z127" s="35">
        <f>IF(T127=0,0,X127/T127)</f>
        <v>-9.1832651489092865E-2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294</v>
      </c>
      <c r="C130" s="28"/>
      <c r="D130" s="33">
        <f>SUM(D127:D129)</f>
        <v>-161226.71000000002</v>
      </c>
      <c r="E130" s="14"/>
      <c r="F130" s="31">
        <f>IF(D$12=0,0,D130/D$12)</f>
        <v>-2.4173874020704225</v>
      </c>
      <c r="G130" s="14"/>
      <c r="H130" s="33">
        <f>SUM(H127:H129)</f>
        <v>-59090.829054579488</v>
      </c>
      <c r="I130" s="14"/>
      <c r="J130" s="31">
        <f>IF(H$12=0,0,H130/H$12)</f>
        <v>-5.4261551014306235</v>
      </c>
      <c r="K130" s="16"/>
      <c r="L130" s="33">
        <f>+D130-H130</f>
        <v>-102135.88094542053</v>
      </c>
      <c r="M130" s="16"/>
      <c r="N130" s="31">
        <f>IF(H130=0,0,L130/H130)</f>
        <v>1.7284557109713641</v>
      </c>
      <c r="O130" s="29"/>
      <c r="P130" s="33">
        <f>SUM(P127:P129)</f>
        <v>-982631.40000000014</v>
      </c>
      <c r="Q130" s="14"/>
      <c r="R130" s="31">
        <f>IF(P$12=0,0,P130/P$12)</f>
        <v>-1.6795117750677455</v>
      </c>
      <c r="S130" s="14"/>
      <c r="T130" s="33">
        <f>SUM(T127:T129)</f>
        <v>-1081993.7554583848</v>
      </c>
      <c r="U130" s="14"/>
      <c r="V130" s="31">
        <f>IF(T$12=0,0,T130/T$12)</f>
        <v>-4.6301378156851518</v>
      </c>
      <c r="W130" s="16"/>
      <c r="X130" s="33">
        <f>+P130-T130</f>
        <v>99362.355458384613</v>
      </c>
      <c r="Y130" s="16"/>
      <c r="Z130" s="31">
        <f>IF(T130=0,0,X130/T130)</f>
        <v>-9.1832651489092865E-2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6">
        <v>44454.68608796296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5" t="s">
        <v>56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63"/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","405", " - ", "Caffeine Lab")</f>
        <v>Department 405 - Caffeine Lab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-2369.5500000000002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-2369.5500000000002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-2369.5500000000002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0</v>
      </c>
      <c r="I20" s="14"/>
      <c r="J20" s="22">
        <f>IF(H$12=0,0,H20/H$12)</f>
        <v>0</v>
      </c>
      <c r="K20" s="16"/>
      <c r="L20" s="20">
        <f>+D20-H20</f>
        <v>0</v>
      </c>
      <c r="M20" s="16"/>
      <c r="N20" s="22">
        <f>IF(H20=0,0,L20/H20)</f>
        <v>0</v>
      </c>
      <c r="O20" s="29"/>
      <c r="P20" s="20">
        <f>P12-P16</f>
        <v>2369.5500000000002</v>
      </c>
      <c r="Q20" s="14"/>
      <c r="R20" s="22">
        <f>IF(P$12=0,0,P20/P$12)</f>
        <v>0</v>
      </c>
      <c r="S20" s="14"/>
      <c r="T20" s="20">
        <f>T12-T16</f>
        <v>0</v>
      </c>
      <c r="U20" s="14"/>
      <c r="V20" s="22">
        <f>IF(T$12=0,0,T20/T$12)</f>
        <v>0</v>
      </c>
      <c r="W20" s="16"/>
      <c r="X20" s="20">
        <f>+P20-T20</f>
        <v>2369.5500000000002</v>
      </c>
      <c r="Y20" s="16"/>
      <c r="Z20" s="22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1">
        <f>SUM(OSRRefD22x_0)</f>
        <v>6378.7999999999993</v>
      </c>
      <c r="E22" s="21"/>
      <c r="F22" s="30">
        <f t="shared" ref="F22:F31" si="14">IF(D$12=0,0,D22/D$12)</f>
        <v>0</v>
      </c>
      <c r="G22" s="21"/>
      <c r="H22" s="21">
        <f>SUM(OSRRefH22x_0)</f>
        <v>7384.333333333333</v>
      </c>
      <c r="I22" s="21"/>
      <c r="J22" s="30">
        <f t="shared" ref="J22:J31" si="15">IF(H$12=0,0,H22/H$12)</f>
        <v>0</v>
      </c>
      <c r="K22" s="4"/>
      <c r="L22" s="21">
        <f t="shared" ref="L22:L31" si="16">+D22-H22</f>
        <v>-1005.5333333333338</v>
      </c>
      <c r="M22" s="4"/>
      <c r="N22" s="30">
        <f t="shared" ref="N22:N31" si="17">IF(H22=0,0,L22/H22)</f>
        <v>-0.13617117320453218</v>
      </c>
      <c r="O22" s="10"/>
      <c r="P22" s="21">
        <f>SUM(OSRRefP22x_0)</f>
        <v>88309.239999999991</v>
      </c>
      <c r="Q22" s="21"/>
      <c r="R22" s="30">
        <f t="shared" ref="R22:R31" si="18">IF(P$12=0,0,P22/P$12)</f>
        <v>0</v>
      </c>
      <c r="S22" s="21"/>
      <c r="T22" s="21">
        <f>SUM(OSRRefT22x_0)</f>
        <v>88903</v>
      </c>
      <c r="U22" s="21"/>
      <c r="V22" s="30">
        <f t="shared" ref="V22:V31" si="19">IF(T$12=0,0,T22/T$12)</f>
        <v>0</v>
      </c>
      <c r="W22" s="4"/>
      <c r="X22" s="21">
        <f t="shared" ref="X22:X31" si="20">+P22-T22</f>
        <v>-593.76000000000931</v>
      </c>
      <c r="Y22" s="4"/>
      <c r="Z22" s="30">
        <f t="shared" ref="Z22:Z31" si="21">IF(T22=0,0,X22/T22)</f>
        <v>-6.6787397500647824E-3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0.83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>
        <v>0.83</v>
      </c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0.83</v>
      </c>
      <c r="Y24" s="2"/>
      <c r="Z24" s="7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0</v>
      </c>
      <c r="Y25" s="2"/>
      <c r="Z25" s="7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0</v>
      </c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>
        <v>0</v>
      </c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0</v>
      </c>
      <c r="Y31" s="2"/>
      <c r="Z31" s="7">
        <f t="shared" si="21"/>
        <v>0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0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4002.66</v>
      </c>
      <c r="E47" s="1"/>
      <c r="F47" s="5">
        <f t="shared" si="30"/>
        <v>0</v>
      </c>
      <c r="G47" s="1"/>
      <c r="H47" s="1">
        <f>SUM(OSRRefH22_4x_0)</f>
        <v>5233</v>
      </c>
      <c r="I47" s="1"/>
      <c r="J47" s="5">
        <f t="shared" si="31"/>
        <v>0</v>
      </c>
      <c r="K47" s="1"/>
      <c r="L47" s="1">
        <f t="shared" si="32"/>
        <v>-1230.3400000000001</v>
      </c>
      <c r="M47" s="1"/>
      <c r="N47" s="5">
        <f t="shared" si="33"/>
        <v>-0.2351117905599083</v>
      </c>
      <c r="O47" s="13"/>
      <c r="P47" s="1">
        <f>SUM(OSRRefP22_4x_0)</f>
        <v>61856.89</v>
      </c>
      <c r="Q47" s="1"/>
      <c r="R47" s="5">
        <f t="shared" si="34"/>
        <v>0</v>
      </c>
      <c r="S47" s="1"/>
      <c r="T47" s="1">
        <f>SUM(OSRRefT22_4x_0)</f>
        <v>63087</v>
      </c>
      <c r="U47" s="1"/>
      <c r="V47" s="5">
        <f t="shared" si="35"/>
        <v>0</v>
      </c>
      <c r="W47" s="1"/>
      <c r="X47" s="1">
        <f t="shared" si="36"/>
        <v>-1230.1100000000006</v>
      </c>
      <c r="Y47" s="1"/>
      <c r="Z47" s="5">
        <f t="shared" si="37"/>
        <v>-1.9498628877581761E-2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6">
        <v>4626.5</v>
      </c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4626.5</v>
      </c>
      <c r="M48" s="2"/>
      <c r="N48" s="7">
        <f t="shared" si="33"/>
        <v>0</v>
      </c>
      <c r="O48" s="11"/>
      <c r="P48" s="6">
        <v>55518</v>
      </c>
      <c r="Q48" s="2"/>
      <c r="R48" s="7">
        <f t="shared" si="34"/>
        <v>0</v>
      </c>
      <c r="S48" s="2"/>
      <c r="T48" s="6"/>
      <c r="U48" s="2"/>
      <c r="V48" s="7">
        <f t="shared" si="35"/>
        <v>0</v>
      </c>
      <c r="W48" s="2"/>
      <c r="X48" s="6">
        <f t="shared" si="36"/>
        <v>55518</v>
      </c>
      <c r="Y48" s="2"/>
      <c r="Z48" s="7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-623.84</v>
      </c>
      <c r="E49" s="2"/>
      <c r="F49" s="7">
        <f t="shared" si="30"/>
        <v>0</v>
      </c>
      <c r="G49" s="2"/>
      <c r="H49" s="6">
        <v>5233</v>
      </c>
      <c r="I49" s="2"/>
      <c r="J49" s="7">
        <f t="shared" si="31"/>
        <v>0</v>
      </c>
      <c r="K49" s="2"/>
      <c r="L49" s="6">
        <f t="shared" si="32"/>
        <v>-5856.84</v>
      </c>
      <c r="M49" s="2"/>
      <c r="N49" s="7">
        <f t="shared" si="33"/>
        <v>-1.119212688706287</v>
      </c>
      <c r="O49" s="11"/>
      <c r="P49" s="6">
        <v>6338.89</v>
      </c>
      <c r="Q49" s="2"/>
      <c r="R49" s="7">
        <f t="shared" si="34"/>
        <v>0</v>
      </c>
      <c r="S49" s="2"/>
      <c r="T49" s="6">
        <v>63087</v>
      </c>
      <c r="U49" s="2"/>
      <c r="V49" s="7">
        <f t="shared" si="35"/>
        <v>0</v>
      </c>
      <c r="W49" s="2"/>
      <c r="X49" s="6">
        <f t="shared" si="36"/>
        <v>-56748.11</v>
      </c>
      <c r="Y49" s="2"/>
      <c r="Z49" s="7">
        <f t="shared" si="37"/>
        <v>-0.89952145449934218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60" si="38">IF(D$12=0,0,D50/D$12)</f>
        <v>0</v>
      </c>
      <c r="G50" s="1"/>
      <c r="H50" s="1">
        <f>SUM(OSRRefH22_5x_0)</f>
        <v>0</v>
      </c>
      <c r="I50" s="1"/>
      <c r="J50" s="5">
        <f t="shared" ref="J50:J60" si="39">IF(H$12=0,0,H50/H$12)</f>
        <v>0</v>
      </c>
      <c r="K50" s="1"/>
      <c r="L50" s="1">
        <f t="shared" ref="L50:L60" si="40">+D50-H50</f>
        <v>0</v>
      </c>
      <c r="M50" s="1"/>
      <c r="N50" s="5">
        <f t="shared" ref="N50:N60" si="41">IF(H50=0,0,L50/H50)</f>
        <v>0</v>
      </c>
      <c r="O50" s="13"/>
      <c r="P50" s="1">
        <f>SUM(OSRRefP22_5x_0)</f>
        <v>0</v>
      </c>
      <c r="Q50" s="1"/>
      <c r="R50" s="5">
        <f t="shared" ref="R50:R60" si="42">IF(P$12=0,0,P50/P$12)</f>
        <v>0</v>
      </c>
      <c r="S50" s="1"/>
      <c r="T50" s="1">
        <f>SUM(OSRRefT22_5x_0)</f>
        <v>0</v>
      </c>
      <c r="U50" s="1"/>
      <c r="V50" s="5">
        <f t="shared" ref="V50:V60" si="43">IF(T$12=0,0,T50/T$12)</f>
        <v>0</v>
      </c>
      <c r="W50" s="1"/>
      <c r="X50" s="1">
        <f t="shared" ref="X50:X60" si="44">+P50-T50</f>
        <v>0</v>
      </c>
      <c r="Y50" s="1"/>
      <c r="Z50" s="5">
        <f t="shared" ref="Z50:Z60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0</v>
      </c>
      <c r="U51" s="2"/>
      <c r="V51" s="7">
        <f t="shared" si="43"/>
        <v>0</v>
      </c>
      <c r="W51" s="2"/>
      <c r="X51" s="6">
        <f t="shared" si="44"/>
        <v>0</v>
      </c>
      <c r="Y51" s="2"/>
      <c r="Z51" s="7">
        <f t="shared" si="45"/>
        <v>0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208.333333333333</v>
      </c>
      <c r="I52" s="1"/>
      <c r="J52" s="5">
        <f t="shared" si="39"/>
        <v>0</v>
      </c>
      <c r="K52" s="1"/>
      <c r="L52" s="1">
        <f t="shared" si="40"/>
        <v>-208.333333333333</v>
      </c>
      <c r="M52" s="1"/>
      <c r="N52" s="5">
        <f t="shared" si="41"/>
        <v>-1</v>
      </c>
      <c r="O52" s="13"/>
      <c r="P52" s="1">
        <f>SUM(OSRRefP22_6x_0)</f>
        <v>96.3</v>
      </c>
      <c r="Q52" s="1"/>
      <c r="R52" s="5">
        <f t="shared" si="42"/>
        <v>0</v>
      </c>
      <c r="S52" s="1"/>
      <c r="T52" s="1">
        <f>SUM(OSRRefT22_6x_0)</f>
        <v>2500</v>
      </c>
      <c r="U52" s="1"/>
      <c r="V52" s="5">
        <f t="shared" si="43"/>
        <v>0</v>
      </c>
      <c r="W52" s="1"/>
      <c r="X52" s="1">
        <f t="shared" si="44"/>
        <v>-2403.6999999999998</v>
      </c>
      <c r="Y52" s="1"/>
      <c r="Z52" s="5">
        <f t="shared" si="45"/>
        <v>-0.96147999999999989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38"/>
        <v>0</v>
      </c>
      <c r="G53" s="2"/>
      <c r="H53" s="6">
        <v>208.333333333333</v>
      </c>
      <c r="I53" s="2"/>
      <c r="J53" s="7">
        <f t="shared" si="39"/>
        <v>0</v>
      </c>
      <c r="K53" s="2"/>
      <c r="L53" s="6">
        <f t="shared" si="40"/>
        <v>-208.333333333333</v>
      </c>
      <c r="M53" s="2"/>
      <c r="N53" s="7">
        <f t="shared" si="41"/>
        <v>-1</v>
      </c>
      <c r="O53" s="11"/>
      <c r="P53" s="6">
        <v>96.3</v>
      </c>
      <c r="Q53" s="2"/>
      <c r="R53" s="7">
        <f t="shared" si="42"/>
        <v>0</v>
      </c>
      <c r="S53" s="2"/>
      <c r="T53" s="6">
        <v>2500</v>
      </c>
      <c r="U53" s="2"/>
      <c r="V53" s="7">
        <f t="shared" si="43"/>
        <v>0</v>
      </c>
      <c r="W53" s="2"/>
      <c r="X53" s="6">
        <f t="shared" si="44"/>
        <v>-2403.6999999999998</v>
      </c>
      <c r="Y53" s="2"/>
      <c r="Z53" s="7">
        <f t="shared" si="45"/>
        <v>-0.96147999999999989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0</v>
      </c>
      <c r="Q54" s="1"/>
      <c r="R54" s="5">
        <f t="shared" si="42"/>
        <v>0</v>
      </c>
      <c r="S54" s="1"/>
      <c r="T54" s="1">
        <f>SUM(OSRRefT22_7x_0)</f>
        <v>0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8"/>
        <v>0</v>
      </c>
      <c r="G55" s="2"/>
      <c r="H55" s="6">
        <v>0</v>
      </c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0</v>
      </c>
      <c r="Q55" s="2"/>
      <c r="R55" s="7">
        <f t="shared" si="42"/>
        <v>0</v>
      </c>
      <c r="S55" s="2"/>
      <c r="T55" s="6">
        <v>0</v>
      </c>
      <c r="U55" s="2"/>
      <c r="V55" s="7">
        <f t="shared" si="43"/>
        <v>0</v>
      </c>
      <c r="W55" s="2"/>
      <c r="X55" s="6">
        <f t="shared" si="44"/>
        <v>0</v>
      </c>
      <c r="Y55" s="2"/>
      <c r="Z55" s="7">
        <f t="shared" si="45"/>
        <v>0</v>
      </c>
    </row>
    <row r="56" spans="1:26" s="27" customFormat="1" outlineLevel="1" collapsed="1" x14ac:dyDescent="0.25">
      <c r="A56" s="25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7400</v>
      </c>
      <c r="E56" s="1"/>
      <c r="F56" s="5">
        <f t="shared" si="38"/>
        <v>0</v>
      </c>
      <c r="G56" s="1"/>
      <c r="H56" s="1">
        <f>SUM(OSRRefH22_8x_0)</f>
        <v>1943</v>
      </c>
      <c r="I56" s="1"/>
      <c r="J56" s="5">
        <f t="shared" si="39"/>
        <v>0</v>
      </c>
      <c r="K56" s="1"/>
      <c r="L56" s="1">
        <f t="shared" si="40"/>
        <v>5457</v>
      </c>
      <c r="M56" s="1"/>
      <c r="N56" s="5">
        <f t="shared" si="41"/>
        <v>2.8085434894493053</v>
      </c>
      <c r="O56" s="13"/>
      <c r="P56" s="1">
        <f>SUM(OSRRefP22_8x_0)</f>
        <v>22200</v>
      </c>
      <c r="Q56" s="1"/>
      <c r="R56" s="5">
        <f t="shared" si="42"/>
        <v>0</v>
      </c>
      <c r="S56" s="1"/>
      <c r="T56" s="1">
        <f>SUM(OSRRefT22_8x_0)</f>
        <v>23316</v>
      </c>
      <c r="U56" s="1"/>
      <c r="V56" s="5">
        <f t="shared" si="43"/>
        <v>0</v>
      </c>
      <c r="W56" s="1"/>
      <c r="X56" s="1">
        <f t="shared" si="44"/>
        <v>-1116</v>
      </c>
      <c r="Y56" s="1"/>
      <c r="Z56" s="5">
        <f t="shared" si="45"/>
        <v>-4.7864127637673698E-2</v>
      </c>
    </row>
    <row r="57" spans="1:26" s="24" customFormat="1" hidden="1" outlineLevel="2" x14ac:dyDescent="0.25">
      <c r="A57" s="26"/>
      <c r="B57" s="11" t="str">
        <f>CONCATENATE("          ", "6273", " - ", "RENT")</f>
        <v xml:space="preserve">          6273 - RENT</v>
      </c>
      <c r="C57" s="11"/>
      <c r="D57" s="6">
        <v>7400</v>
      </c>
      <c r="E57" s="2"/>
      <c r="F57" s="7">
        <f t="shared" si="38"/>
        <v>0</v>
      </c>
      <c r="G57" s="2"/>
      <c r="H57" s="6">
        <v>1943</v>
      </c>
      <c r="I57" s="2"/>
      <c r="J57" s="7">
        <f t="shared" si="39"/>
        <v>0</v>
      </c>
      <c r="K57" s="2"/>
      <c r="L57" s="6">
        <f t="shared" si="40"/>
        <v>5457</v>
      </c>
      <c r="M57" s="2"/>
      <c r="N57" s="7">
        <f t="shared" si="41"/>
        <v>2.8085434894493053</v>
      </c>
      <c r="O57" s="11"/>
      <c r="P57" s="6">
        <v>22200</v>
      </c>
      <c r="Q57" s="2"/>
      <c r="R57" s="7">
        <f t="shared" si="42"/>
        <v>0</v>
      </c>
      <c r="S57" s="2"/>
      <c r="T57" s="6">
        <v>23316</v>
      </c>
      <c r="U57" s="2"/>
      <c r="V57" s="7">
        <f t="shared" si="43"/>
        <v>0</v>
      </c>
      <c r="W57" s="2"/>
      <c r="X57" s="6">
        <f t="shared" si="44"/>
        <v>-1116</v>
      </c>
      <c r="Y57" s="2"/>
      <c r="Z57" s="7">
        <f t="shared" si="45"/>
        <v>-4.7864127637673698E-2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-4667.8600000000006</v>
      </c>
      <c r="E58" s="1"/>
      <c r="F58" s="5">
        <f t="shared" si="38"/>
        <v>0</v>
      </c>
      <c r="G58" s="1"/>
      <c r="H58" s="1">
        <f>SUM(OSRRefH22_9x_0)</f>
        <v>0</v>
      </c>
      <c r="I58" s="1"/>
      <c r="J58" s="5">
        <f t="shared" si="39"/>
        <v>0</v>
      </c>
      <c r="K58" s="1"/>
      <c r="L58" s="1">
        <f t="shared" si="40"/>
        <v>-4667.8600000000006</v>
      </c>
      <c r="M58" s="1"/>
      <c r="N58" s="5">
        <f t="shared" si="41"/>
        <v>0</v>
      </c>
      <c r="O58" s="13"/>
      <c r="P58" s="1">
        <f>SUM(OSRRefP22_9x_0)</f>
        <v>1719.79</v>
      </c>
      <c r="Q58" s="1"/>
      <c r="R58" s="5">
        <f t="shared" si="42"/>
        <v>0</v>
      </c>
      <c r="S58" s="1"/>
      <c r="T58" s="1">
        <f>SUM(OSRRefT22_9x_0)</f>
        <v>0</v>
      </c>
      <c r="U58" s="1"/>
      <c r="V58" s="5">
        <f t="shared" si="43"/>
        <v>0</v>
      </c>
      <c r="W58" s="1"/>
      <c r="X58" s="1">
        <f t="shared" si="44"/>
        <v>1719.79</v>
      </c>
      <c r="Y58" s="1"/>
      <c r="Z58" s="5">
        <f t="shared" si="4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>
        <v>-5478.14</v>
      </c>
      <c r="E59" s="2"/>
      <c r="F59" s="7">
        <f t="shared" si="38"/>
        <v>0</v>
      </c>
      <c r="G59" s="2"/>
      <c r="H59" s="6">
        <v>0</v>
      </c>
      <c r="I59" s="2"/>
      <c r="J59" s="7">
        <f t="shared" si="39"/>
        <v>0</v>
      </c>
      <c r="K59" s="2"/>
      <c r="L59" s="6">
        <f t="shared" si="40"/>
        <v>-5478.14</v>
      </c>
      <c r="M59" s="2"/>
      <c r="N59" s="7">
        <f t="shared" si="41"/>
        <v>0</v>
      </c>
      <c r="O59" s="11"/>
      <c r="P59" s="6">
        <v>367.51</v>
      </c>
      <c r="Q59" s="2"/>
      <c r="R59" s="7">
        <f t="shared" si="42"/>
        <v>0</v>
      </c>
      <c r="S59" s="2"/>
      <c r="T59" s="6">
        <v>0</v>
      </c>
      <c r="U59" s="2"/>
      <c r="V59" s="7">
        <f t="shared" si="43"/>
        <v>0</v>
      </c>
      <c r="W59" s="2"/>
      <c r="X59" s="6">
        <f t="shared" si="44"/>
        <v>367.51</v>
      </c>
      <c r="Y59" s="2"/>
      <c r="Z59" s="7">
        <f t="shared" si="45"/>
        <v>0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810.28</v>
      </c>
      <c r="E60" s="2"/>
      <c r="F60" s="7">
        <f t="shared" si="38"/>
        <v>0</v>
      </c>
      <c r="G60" s="2"/>
      <c r="H60" s="6">
        <v>0</v>
      </c>
      <c r="I60" s="2"/>
      <c r="J60" s="7">
        <f t="shared" si="39"/>
        <v>0</v>
      </c>
      <c r="K60" s="2"/>
      <c r="L60" s="6">
        <f t="shared" si="40"/>
        <v>810.28</v>
      </c>
      <c r="M60" s="2"/>
      <c r="N60" s="7">
        <f t="shared" si="41"/>
        <v>0</v>
      </c>
      <c r="O60" s="11"/>
      <c r="P60" s="6">
        <v>1352.28</v>
      </c>
      <c r="Q60" s="2"/>
      <c r="R60" s="7">
        <f t="shared" si="42"/>
        <v>0</v>
      </c>
      <c r="S60" s="2"/>
      <c r="T60" s="6">
        <v>0</v>
      </c>
      <c r="U60" s="2"/>
      <c r="V60" s="7">
        <f t="shared" si="43"/>
        <v>0</v>
      </c>
      <c r="W60" s="2"/>
      <c r="X60" s="6">
        <f t="shared" si="44"/>
        <v>1352.28</v>
      </c>
      <c r="Y60" s="2"/>
      <c r="Z60" s="7">
        <f t="shared" si="45"/>
        <v>0</v>
      </c>
    </row>
    <row r="61" spans="1:26" s="27" customFormat="1" outlineLevel="1" collapsed="1" x14ac:dyDescent="0.25">
      <c r="A61" s="25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7" si="46">IF(D$12=0,0,D61/D$12)</f>
        <v>0</v>
      </c>
      <c r="G61" s="1"/>
      <c r="H61" s="1">
        <f>SUM(OSRRefH22_10x_0)</f>
        <v>0</v>
      </c>
      <c r="I61" s="1"/>
      <c r="J61" s="5">
        <f t="shared" ref="J61:J67" si="47">IF(H$12=0,0,H61/H$12)</f>
        <v>0</v>
      </c>
      <c r="K61" s="1"/>
      <c r="L61" s="1">
        <f t="shared" ref="L61:L67" si="48">+D61-H61</f>
        <v>0</v>
      </c>
      <c r="M61" s="1"/>
      <c r="N61" s="5">
        <f t="shared" ref="N61:N67" si="49">IF(H61=0,0,L61/H61)</f>
        <v>0</v>
      </c>
      <c r="O61" s="13"/>
      <c r="P61" s="1">
        <f>SUM(OSRRefP22_10x_0)</f>
        <v>0</v>
      </c>
      <c r="Q61" s="1"/>
      <c r="R61" s="5">
        <f t="shared" ref="R61:R67" si="50">IF(P$12=0,0,P61/P$12)</f>
        <v>0</v>
      </c>
      <c r="S61" s="1"/>
      <c r="T61" s="1">
        <f>SUM(OSRRefT22_10x_0)</f>
        <v>0</v>
      </c>
      <c r="U61" s="1"/>
      <c r="V61" s="5">
        <f t="shared" ref="V61:V67" si="51">IF(T$12=0,0,T61/T$12)</f>
        <v>0</v>
      </c>
      <c r="W61" s="1"/>
      <c r="X61" s="1">
        <f t="shared" ref="X61:X67" si="52">+P61-T61</f>
        <v>0</v>
      </c>
      <c r="Y61" s="1"/>
      <c r="Z61" s="5">
        <f t="shared" ref="Z61:Z67" si="53">IF(T61=0,0,X61/T61)</f>
        <v>0</v>
      </c>
    </row>
    <row r="62" spans="1:26" s="24" customFormat="1" hidden="1" outlineLevel="2" x14ac:dyDescent="0.25">
      <c r="A62" s="26"/>
      <c r="B62" s="11" t="str">
        <f>CONCATENATE("          ", "6259", " - ", "ROYALTY &amp; COMMISSIONS")</f>
        <v xml:space="preserve">          6259 - ROYALTY &amp; COMMISSIONS</v>
      </c>
      <c r="C62" s="11"/>
      <c r="D62" s="6"/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-77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-77</v>
      </c>
      <c r="M63" s="1"/>
      <c r="N63" s="5">
        <f t="shared" si="49"/>
        <v>0</v>
      </c>
      <c r="O63" s="13"/>
      <c r="P63" s="1">
        <f>SUM(OSRRefP22_11x_0)</f>
        <v>615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615</v>
      </c>
      <c r="Y63" s="1"/>
      <c r="Z63" s="5">
        <f t="shared" si="53"/>
        <v>0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>
        <v>-77</v>
      </c>
      <c r="E65" s="2"/>
      <c r="F65" s="7">
        <f t="shared" si="46"/>
        <v>0</v>
      </c>
      <c r="G65" s="2"/>
      <c r="H65" s="6">
        <v>0</v>
      </c>
      <c r="I65" s="2"/>
      <c r="J65" s="7">
        <f t="shared" si="47"/>
        <v>0</v>
      </c>
      <c r="K65" s="2"/>
      <c r="L65" s="6">
        <f t="shared" si="48"/>
        <v>-77</v>
      </c>
      <c r="M65" s="2"/>
      <c r="N65" s="7">
        <f t="shared" si="49"/>
        <v>0</v>
      </c>
      <c r="O65" s="11"/>
      <c r="P65" s="6">
        <v>615</v>
      </c>
      <c r="Q65" s="2"/>
      <c r="R65" s="7">
        <f t="shared" si="50"/>
        <v>0</v>
      </c>
      <c r="S65" s="2"/>
      <c r="T65" s="6">
        <v>0</v>
      </c>
      <c r="U65" s="2"/>
      <c r="V65" s="7">
        <f t="shared" si="51"/>
        <v>0</v>
      </c>
      <c r="W65" s="2"/>
      <c r="X65" s="6">
        <f t="shared" si="52"/>
        <v>615</v>
      </c>
      <c r="Y65" s="2"/>
      <c r="Z65" s="7">
        <f t="shared" si="53"/>
        <v>0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46"/>
        <v>0</v>
      </c>
      <c r="G66" s="2"/>
      <c r="H66" s="6">
        <v>0</v>
      </c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0</v>
      </c>
      <c r="U66" s="2"/>
      <c r="V66" s="7">
        <f t="shared" si="51"/>
        <v>0</v>
      </c>
      <c r="W66" s="2"/>
      <c r="X66" s="6">
        <f t="shared" si="52"/>
        <v>0</v>
      </c>
      <c r="Y66" s="2"/>
      <c r="Z66" s="7">
        <f t="shared" si="53"/>
        <v>0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6"/>
        <v>0</v>
      </c>
      <c r="G67" s="2"/>
      <c r="H67" s="6">
        <v>0</v>
      </c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0</v>
      </c>
      <c r="U67" s="2"/>
      <c r="V67" s="7">
        <f t="shared" si="51"/>
        <v>0</v>
      </c>
      <c r="W67" s="2"/>
      <c r="X67" s="6">
        <f t="shared" si="52"/>
        <v>0</v>
      </c>
      <c r="Y67" s="2"/>
      <c r="Z67" s="7">
        <f t="shared" si="53"/>
        <v>0</v>
      </c>
    </row>
    <row r="68" spans="1:26" s="27" customFormat="1" outlineLevel="1" collapsed="1" x14ac:dyDescent="0.25">
      <c r="A68" s="25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0</v>
      </c>
      <c r="E68" s="1"/>
      <c r="F68" s="5">
        <f t="shared" ref="F68:F79" si="54">IF(D$12=0,0,D68/D$12)</f>
        <v>0</v>
      </c>
      <c r="G68" s="1"/>
      <c r="H68" s="1">
        <f>SUM(OSRRefH22_12x_0)</f>
        <v>0</v>
      </c>
      <c r="I68" s="1"/>
      <c r="J68" s="5">
        <f t="shared" ref="J68:J79" si="55">IF(H$12=0,0,H68/H$12)</f>
        <v>0</v>
      </c>
      <c r="K68" s="1"/>
      <c r="L68" s="1">
        <f t="shared" ref="L68:L79" si="56">+D68-H68</f>
        <v>0</v>
      </c>
      <c r="M68" s="1"/>
      <c r="N68" s="5">
        <f t="shared" ref="N68:N79" si="57">IF(H68=0,0,L68/H68)</f>
        <v>0</v>
      </c>
      <c r="O68" s="13"/>
      <c r="P68" s="1">
        <f>SUM(OSRRefP22_12x_0)</f>
        <v>0</v>
      </c>
      <c r="Q68" s="1"/>
      <c r="R68" s="5">
        <f t="shared" ref="R68:R79" si="58">IF(P$12=0,0,P68/P$12)</f>
        <v>0</v>
      </c>
      <c r="S68" s="1"/>
      <c r="T68" s="1">
        <f>SUM(OSRRefT22_12x_0)</f>
        <v>0</v>
      </c>
      <c r="U68" s="1"/>
      <c r="V68" s="5">
        <f t="shared" ref="V68:V79" si="59">IF(T$12=0,0,T68/T$12)</f>
        <v>0</v>
      </c>
      <c r="W68" s="1"/>
      <c r="X68" s="1">
        <f t="shared" ref="X68:X79" si="60">+P68-T68</f>
        <v>0</v>
      </c>
      <c r="Y68" s="1"/>
      <c r="Z68" s="5">
        <f t="shared" ref="Z68:Z79" si="61">IF(T68=0,0,X68/T68)</f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7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3"/>
      <c r="P70" s="1">
        <f>SUM(OSRRefP22_13x_0)</f>
        <v>72</v>
      </c>
      <c r="Q70" s="1"/>
      <c r="R70" s="5">
        <f t="shared" si="58"/>
        <v>0</v>
      </c>
      <c r="S70" s="1"/>
      <c r="T70" s="1">
        <f>SUM(OSRRefT22_13x_0)</f>
        <v>0</v>
      </c>
      <c r="U70" s="1"/>
      <c r="V70" s="5">
        <f t="shared" si="59"/>
        <v>0</v>
      </c>
      <c r="W70" s="1"/>
      <c r="X70" s="1">
        <f t="shared" si="60"/>
        <v>72</v>
      </c>
      <c r="Y70" s="1"/>
      <c r="Z70" s="5">
        <f t="shared" si="61"/>
        <v>0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>
        <v>72</v>
      </c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72</v>
      </c>
      <c r="Y72" s="2"/>
      <c r="Z72" s="7">
        <f t="shared" si="61"/>
        <v>0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54"/>
        <v>0</v>
      </c>
      <c r="G74" s="2"/>
      <c r="H74" s="6">
        <v>0</v>
      </c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54"/>
        <v>0</v>
      </c>
      <c r="G75" s="2"/>
      <c r="H75" s="6">
        <v>0</v>
      </c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0</v>
      </c>
      <c r="U75" s="2"/>
      <c r="V75" s="7">
        <f t="shared" si="59"/>
        <v>0</v>
      </c>
      <c r="W75" s="2"/>
      <c r="X75" s="6">
        <f t="shared" si="60"/>
        <v>0</v>
      </c>
      <c r="Y75" s="2"/>
      <c r="Z75" s="7">
        <f t="shared" si="61"/>
        <v>0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54"/>
        <v>0</v>
      </c>
      <c r="G76" s="2"/>
      <c r="H76" s="6">
        <v>0</v>
      </c>
      <c r="I76" s="2"/>
      <c r="J76" s="7">
        <f t="shared" si="55"/>
        <v>0</v>
      </c>
      <c r="K76" s="2"/>
      <c r="L76" s="6">
        <f t="shared" si="56"/>
        <v>0</v>
      </c>
      <c r="M76" s="2"/>
      <c r="N76" s="7">
        <f t="shared" si="57"/>
        <v>0</v>
      </c>
      <c r="O76" s="11"/>
      <c r="P76" s="6"/>
      <c r="Q76" s="2"/>
      <c r="R76" s="7">
        <f t="shared" si="58"/>
        <v>0</v>
      </c>
      <c r="S76" s="2"/>
      <c r="T76" s="6">
        <v>0</v>
      </c>
      <c r="U76" s="2"/>
      <c r="V76" s="7">
        <f t="shared" si="59"/>
        <v>0</v>
      </c>
      <c r="W76" s="2"/>
      <c r="X76" s="6">
        <f t="shared" si="60"/>
        <v>0</v>
      </c>
      <c r="Y76" s="2"/>
      <c r="Z76" s="7">
        <f t="shared" si="61"/>
        <v>0</v>
      </c>
    </row>
    <row r="77" spans="1:26" s="24" customFormat="1" hidden="1" outlineLevel="2" x14ac:dyDescent="0.25">
      <c r="A77" s="26"/>
      <c r="B77" s="11" t="str">
        <f>CONCATENATE("          ", "6246", " - ", "REPLACEMENTS")</f>
        <v xml:space="preserve">          6246 - REPLACEMENTS</v>
      </c>
      <c r="C77" s="11"/>
      <c r="D77" s="6"/>
      <c r="E77" s="2"/>
      <c r="F77" s="7">
        <f t="shared" si="54"/>
        <v>0</v>
      </c>
      <c r="G77" s="2"/>
      <c r="H77" s="6">
        <v>0</v>
      </c>
      <c r="I77" s="2"/>
      <c r="J77" s="7">
        <f t="shared" si="55"/>
        <v>0</v>
      </c>
      <c r="K77" s="2"/>
      <c r="L77" s="6">
        <f t="shared" si="56"/>
        <v>0</v>
      </c>
      <c r="M77" s="2"/>
      <c r="N77" s="7">
        <f t="shared" si="57"/>
        <v>0</v>
      </c>
      <c r="O77" s="11"/>
      <c r="P77" s="6"/>
      <c r="Q77" s="2"/>
      <c r="R77" s="7">
        <f t="shared" si="58"/>
        <v>0</v>
      </c>
      <c r="S77" s="2"/>
      <c r="T77" s="6">
        <v>0</v>
      </c>
      <c r="U77" s="2"/>
      <c r="V77" s="7">
        <f t="shared" si="59"/>
        <v>0</v>
      </c>
      <c r="W77" s="2"/>
      <c r="X77" s="6">
        <f t="shared" si="60"/>
        <v>0</v>
      </c>
      <c r="Y77" s="2"/>
      <c r="Z77" s="7">
        <f t="shared" si="61"/>
        <v>0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54"/>
        <v>0</v>
      </c>
      <c r="G78" s="2"/>
      <c r="H78" s="6">
        <v>0</v>
      </c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1"/>
      <c r="P78" s="6"/>
      <c r="Q78" s="2"/>
      <c r="R78" s="7">
        <f t="shared" si="58"/>
        <v>0</v>
      </c>
      <c r="S78" s="2"/>
      <c r="T78" s="6">
        <v>0</v>
      </c>
      <c r="U78" s="2"/>
      <c r="V78" s="7">
        <f t="shared" si="59"/>
        <v>0</v>
      </c>
      <c r="W78" s="2"/>
      <c r="X78" s="6">
        <f t="shared" si="60"/>
        <v>0</v>
      </c>
      <c r="Y78" s="2"/>
      <c r="Z78" s="7">
        <f t="shared" si="61"/>
        <v>0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54"/>
        <v>0</v>
      </c>
      <c r="G79" s="2"/>
      <c r="H79" s="6"/>
      <c r="I79" s="2"/>
      <c r="J79" s="7">
        <f t="shared" si="55"/>
        <v>0</v>
      </c>
      <c r="K79" s="2"/>
      <c r="L79" s="6">
        <f t="shared" si="56"/>
        <v>0</v>
      </c>
      <c r="M79" s="2"/>
      <c r="N79" s="7">
        <f t="shared" si="57"/>
        <v>0</v>
      </c>
      <c r="O79" s="11"/>
      <c r="P79" s="6"/>
      <c r="Q79" s="2"/>
      <c r="R79" s="7">
        <f t="shared" si="58"/>
        <v>0</v>
      </c>
      <c r="S79" s="2"/>
      <c r="T79" s="6">
        <v>0</v>
      </c>
      <c r="U79" s="2"/>
      <c r="V79" s="7">
        <f t="shared" si="59"/>
        <v>0</v>
      </c>
      <c r="W79" s="2"/>
      <c r="X79" s="6">
        <f t="shared" si="60"/>
        <v>0</v>
      </c>
      <c r="Y79" s="2"/>
      <c r="Z79" s="7">
        <f t="shared" si="61"/>
        <v>0</v>
      </c>
    </row>
    <row r="80" spans="1:26" s="27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0</v>
      </c>
      <c r="E80" s="1"/>
      <c r="F80" s="5">
        <f t="shared" ref="F80:F87" si="62">IF(D$12=0,0,D80/D$12)</f>
        <v>0</v>
      </c>
      <c r="G80" s="1"/>
      <c r="H80" s="1">
        <f>SUM(OSRRefH22_14x_0)</f>
        <v>0</v>
      </c>
      <c r="I80" s="1"/>
      <c r="J80" s="5">
        <f t="shared" ref="J80:J87" si="63">IF(H$12=0,0,H80/H$12)</f>
        <v>0</v>
      </c>
      <c r="K80" s="1"/>
      <c r="L80" s="1">
        <f t="shared" ref="L80:L87" si="64">+D80-H80</f>
        <v>0</v>
      </c>
      <c r="M80" s="1"/>
      <c r="N80" s="5">
        <f t="shared" ref="N80:N87" si="65">IF(H80=0,0,L80/H80)</f>
        <v>0</v>
      </c>
      <c r="O80" s="13"/>
      <c r="P80" s="1">
        <f>SUM(OSRRefP22_14x_0)</f>
        <v>77.430000000000007</v>
      </c>
      <c r="Q80" s="1"/>
      <c r="R80" s="5">
        <f t="shared" ref="R80:R87" si="66">IF(P$12=0,0,P80/P$12)</f>
        <v>0</v>
      </c>
      <c r="S80" s="1"/>
      <c r="T80" s="1">
        <f>SUM(OSRRefT22_14x_0)</f>
        <v>0</v>
      </c>
      <c r="U80" s="1"/>
      <c r="V80" s="5">
        <f t="shared" ref="V80:V87" si="67">IF(T$12=0,0,T80/T$12)</f>
        <v>0</v>
      </c>
      <c r="W80" s="1"/>
      <c r="X80" s="1">
        <f t="shared" ref="X80:X87" si="68">+P80-T80</f>
        <v>77.430000000000007</v>
      </c>
      <c r="Y80" s="1"/>
      <c r="Z80" s="5">
        <f t="shared" ref="Z80:Z87" si="69">IF(T80=0,0,X80/T80)</f>
        <v>0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/>
      <c r="E81" s="2"/>
      <c r="F81" s="7">
        <f t="shared" si="62"/>
        <v>0</v>
      </c>
      <c r="G81" s="2"/>
      <c r="H81" s="6">
        <v>0</v>
      </c>
      <c r="I81" s="2"/>
      <c r="J81" s="7">
        <f t="shared" si="63"/>
        <v>0</v>
      </c>
      <c r="K81" s="2"/>
      <c r="L81" s="6">
        <f t="shared" si="64"/>
        <v>0</v>
      </c>
      <c r="M81" s="2"/>
      <c r="N81" s="7">
        <f t="shared" si="65"/>
        <v>0</v>
      </c>
      <c r="O81" s="11"/>
      <c r="P81" s="6">
        <v>77.430000000000007</v>
      </c>
      <c r="Q81" s="2"/>
      <c r="R81" s="7">
        <f t="shared" si="66"/>
        <v>0</v>
      </c>
      <c r="S81" s="2"/>
      <c r="T81" s="6">
        <v>0</v>
      </c>
      <c r="U81" s="2"/>
      <c r="V81" s="7">
        <f t="shared" si="67"/>
        <v>0</v>
      </c>
      <c r="W81" s="2"/>
      <c r="X81" s="6">
        <f t="shared" si="68"/>
        <v>77.430000000000007</v>
      </c>
      <c r="Y81" s="2"/>
      <c r="Z81" s="7">
        <f t="shared" si="69"/>
        <v>0</v>
      </c>
    </row>
    <row r="82" spans="1:26" s="27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62"/>
        <v>0</v>
      </c>
      <c r="G82" s="1"/>
      <c r="H82" s="1">
        <f>SUM(OSRRefH22_15x_0)</f>
        <v>0</v>
      </c>
      <c r="I82" s="1"/>
      <c r="J82" s="5">
        <f t="shared" si="63"/>
        <v>0</v>
      </c>
      <c r="K82" s="1"/>
      <c r="L82" s="1">
        <f t="shared" si="64"/>
        <v>0</v>
      </c>
      <c r="M82" s="1"/>
      <c r="N82" s="5">
        <f t="shared" si="65"/>
        <v>0</v>
      </c>
      <c r="O82" s="13"/>
      <c r="P82" s="1">
        <f>SUM(OSRRefP22_15x_0)</f>
        <v>0</v>
      </c>
      <c r="Q82" s="1"/>
      <c r="R82" s="5">
        <f t="shared" si="66"/>
        <v>0</v>
      </c>
      <c r="S82" s="1"/>
      <c r="T82" s="1">
        <f>SUM(OSRRefT22_15x_0)</f>
        <v>0</v>
      </c>
      <c r="U82" s="1"/>
      <c r="V82" s="5">
        <f t="shared" si="67"/>
        <v>0</v>
      </c>
      <c r="W82" s="1"/>
      <c r="X82" s="1">
        <f t="shared" si="68"/>
        <v>0</v>
      </c>
      <c r="Y82" s="1"/>
      <c r="Z82" s="5">
        <f t="shared" si="69"/>
        <v>0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62"/>
        <v>0</v>
      </c>
      <c r="G83" s="2"/>
      <c r="H83" s="6"/>
      <c r="I83" s="2"/>
      <c r="J83" s="7">
        <f t="shared" si="63"/>
        <v>0</v>
      </c>
      <c r="K83" s="2"/>
      <c r="L83" s="6">
        <f t="shared" si="64"/>
        <v>0</v>
      </c>
      <c r="M83" s="2"/>
      <c r="N83" s="7">
        <f t="shared" si="65"/>
        <v>0</v>
      </c>
      <c r="O83" s="11"/>
      <c r="P83" s="6"/>
      <c r="Q83" s="2"/>
      <c r="R83" s="7">
        <f t="shared" si="66"/>
        <v>0</v>
      </c>
      <c r="S83" s="2"/>
      <c r="T83" s="6">
        <v>0</v>
      </c>
      <c r="U83" s="2"/>
      <c r="V83" s="7">
        <f t="shared" si="67"/>
        <v>0</v>
      </c>
      <c r="W83" s="2"/>
      <c r="X83" s="6">
        <f t="shared" si="68"/>
        <v>0</v>
      </c>
      <c r="Y83" s="2"/>
      <c r="Z83" s="7">
        <f t="shared" si="69"/>
        <v>0</v>
      </c>
    </row>
    <row r="84" spans="1:26" s="27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0</v>
      </c>
      <c r="E84" s="1"/>
      <c r="F84" s="5">
        <f t="shared" si="62"/>
        <v>0</v>
      </c>
      <c r="G84" s="1"/>
      <c r="H84" s="1">
        <f>SUM(OSRRefH22_16x_0)</f>
        <v>0</v>
      </c>
      <c r="I84" s="1"/>
      <c r="J84" s="5">
        <f t="shared" si="63"/>
        <v>0</v>
      </c>
      <c r="K84" s="1"/>
      <c r="L84" s="1">
        <f t="shared" si="64"/>
        <v>0</v>
      </c>
      <c r="M84" s="1"/>
      <c r="N84" s="5">
        <f t="shared" si="65"/>
        <v>0</v>
      </c>
      <c r="O84" s="13"/>
      <c r="P84" s="1">
        <f>SUM(OSRRefP22_16x_0)</f>
        <v>0</v>
      </c>
      <c r="Q84" s="1"/>
      <c r="R84" s="5">
        <f t="shared" si="66"/>
        <v>0</v>
      </c>
      <c r="S84" s="1"/>
      <c r="T84" s="1">
        <f>SUM(OSRRefT22_16x_0)</f>
        <v>0</v>
      </c>
      <c r="U84" s="1"/>
      <c r="V84" s="5">
        <f t="shared" si="67"/>
        <v>0</v>
      </c>
      <c r="W84" s="1"/>
      <c r="X84" s="1">
        <f t="shared" si="68"/>
        <v>0</v>
      </c>
      <c r="Y84" s="1"/>
      <c r="Z84" s="5">
        <f t="shared" si="69"/>
        <v>0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62"/>
        <v>0</v>
      </c>
      <c r="G85" s="2"/>
      <c r="H85" s="6"/>
      <c r="I85" s="2"/>
      <c r="J85" s="7">
        <f t="shared" si="63"/>
        <v>0</v>
      </c>
      <c r="K85" s="2"/>
      <c r="L85" s="6">
        <f t="shared" si="64"/>
        <v>0</v>
      </c>
      <c r="M85" s="2"/>
      <c r="N85" s="7">
        <f t="shared" si="65"/>
        <v>0</v>
      </c>
      <c r="O85" s="11"/>
      <c r="P85" s="6"/>
      <c r="Q85" s="2"/>
      <c r="R85" s="7">
        <f t="shared" si="66"/>
        <v>0</v>
      </c>
      <c r="S85" s="2"/>
      <c r="T85" s="6">
        <v>0</v>
      </c>
      <c r="U85" s="2"/>
      <c r="V85" s="7">
        <f t="shared" si="67"/>
        <v>0</v>
      </c>
      <c r="W85" s="2"/>
      <c r="X85" s="6">
        <f t="shared" si="68"/>
        <v>0</v>
      </c>
      <c r="Y85" s="2"/>
      <c r="Z85" s="7">
        <f t="shared" si="69"/>
        <v>0</v>
      </c>
    </row>
    <row r="86" spans="1:26" s="27" customFormat="1" outlineLevel="1" collapsed="1" x14ac:dyDescent="0.25">
      <c r="A86" s="25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SUM(OSRRefD22_17x_0)</f>
        <v>-279</v>
      </c>
      <c r="E86" s="1"/>
      <c r="F86" s="5">
        <f t="shared" si="62"/>
        <v>0</v>
      </c>
      <c r="G86" s="1"/>
      <c r="H86" s="1">
        <f>SUM(OSRRefH22_17x_0)</f>
        <v>0</v>
      </c>
      <c r="I86" s="1"/>
      <c r="J86" s="5">
        <f t="shared" si="63"/>
        <v>0</v>
      </c>
      <c r="K86" s="1"/>
      <c r="L86" s="1">
        <f t="shared" si="64"/>
        <v>-279</v>
      </c>
      <c r="M86" s="1"/>
      <c r="N86" s="5">
        <f t="shared" si="65"/>
        <v>0</v>
      </c>
      <c r="O86" s="13"/>
      <c r="P86" s="1">
        <f>SUM(OSRRefP22_17x_0)</f>
        <v>1671</v>
      </c>
      <c r="Q86" s="1"/>
      <c r="R86" s="5">
        <f t="shared" si="66"/>
        <v>0</v>
      </c>
      <c r="S86" s="1"/>
      <c r="T86" s="1">
        <f>SUM(OSRRefT22_17x_0)</f>
        <v>0</v>
      </c>
      <c r="U86" s="1"/>
      <c r="V86" s="5">
        <f t="shared" si="67"/>
        <v>0</v>
      </c>
      <c r="W86" s="1"/>
      <c r="X86" s="1">
        <f t="shared" si="68"/>
        <v>1671</v>
      </c>
      <c r="Y86" s="1"/>
      <c r="Z86" s="5">
        <f t="shared" si="69"/>
        <v>0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6">
        <v>-279</v>
      </c>
      <c r="E87" s="2"/>
      <c r="F87" s="7">
        <f t="shared" si="62"/>
        <v>0</v>
      </c>
      <c r="G87" s="2"/>
      <c r="H87" s="6">
        <v>0</v>
      </c>
      <c r="I87" s="2"/>
      <c r="J87" s="7">
        <f t="shared" si="63"/>
        <v>0</v>
      </c>
      <c r="K87" s="2"/>
      <c r="L87" s="6">
        <f t="shared" si="64"/>
        <v>-279</v>
      </c>
      <c r="M87" s="2"/>
      <c r="N87" s="7">
        <f t="shared" si="65"/>
        <v>0</v>
      </c>
      <c r="O87" s="11"/>
      <c r="P87" s="6">
        <v>1671</v>
      </c>
      <c r="Q87" s="2"/>
      <c r="R87" s="7">
        <f t="shared" si="66"/>
        <v>0</v>
      </c>
      <c r="S87" s="2"/>
      <c r="T87" s="6">
        <v>0</v>
      </c>
      <c r="U87" s="2"/>
      <c r="V87" s="7">
        <f t="shared" si="67"/>
        <v>0</v>
      </c>
      <c r="W87" s="2"/>
      <c r="X87" s="6">
        <f t="shared" si="68"/>
        <v>1671</v>
      </c>
      <c r="Y87" s="2"/>
      <c r="Z87" s="7">
        <f t="shared" si="69"/>
        <v>0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0">
        <f>+D20-D22+D89</f>
        <v>-6378.7999999999993</v>
      </c>
      <c r="E91" s="14"/>
      <c r="F91" s="22">
        <f>IF(D$12=0,0,D91/D$12)</f>
        <v>0</v>
      </c>
      <c r="G91" s="14"/>
      <c r="H91" s="20">
        <f>+H20-H22+H89</f>
        <v>-7384.333333333333</v>
      </c>
      <c r="I91" s="14"/>
      <c r="J91" s="22">
        <f>IF(H$12=0,0,H91/H$12)</f>
        <v>0</v>
      </c>
      <c r="K91" s="16"/>
      <c r="L91" s="20">
        <f>+D91-H91</f>
        <v>1005.5333333333338</v>
      </c>
      <c r="M91" s="16"/>
      <c r="N91" s="22">
        <f>IF(H91=0,0,L91/H91)</f>
        <v>-0.13617117320453218</v>
      </c>
      <c r="O91" s="29"/>
      <c r="P91" s="20">
        <f>+P20-P22+P89</f>
        <v>-85939.689999999988</v>
      </c>
      <c r="Q91" s="14"/>
      <c r="R91" s="22">
        <f>IF(P$12=0,0,P91/P$12)</f>
        <v>0</v>
      </c>
      <c r="S91" s="14"/>
      <c r="T91" s="20">
        <f>+T20-T22+T89</f>
        <v>-88903</v>
      </c>
      <c r="U91" s="14"/>
      <c r="V91" s="22">
        <f>IF(T$12=0,0,T91/T$12)</f>
        <v>0</v>
      </c>
      <c r="W91" s="16"/>
      <c r="X91" s="20">
        <f>+P91-T91</f>
        <v>2963.3100000000122</v>
      </c>
      <c r="Y91" s="16"/>
      <c r="Z91" s="22">
        <f>IF(T91=0,0,X91/T91)</f>
        <v>-3.3331946053564133E-2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4">
        <f>+D91-D93</f>
        <v>-6378.7999999999993</v>
      </c>
      <c r="E95" s="14"/>
      <c r="F95" s="35">
        <f>IF(D$12=0,0,D95/D$12)</f>
        <v>0</v>
      </c>
      <c r="G95" s="14"/>
      <c r="H95" s="34">
        <f>+H91-H93</f>
        <v>-7384.333333333333</v>
      </c>
      <c r="I95" s="14"/>
      <c r="J95" s="35">
        <f>IF(H$12=0,0,H95/H$12)</f>
        <v>0</v>
      </c>
      <c r="K95" s="16"/>
      <c r="L95" s="34">
        <f>D95-H95</f>
        <v>1005.5333333333338</v>
      </c>
      <c r="M95" s="16"/>
      <c r="N95" s="35">
        <f>IF(H95=0,0,L95/H95)</f>
        <v>-0.13617117320453218</v>
      </c>
      <c r="O95" s="29"/>
      <c r="P95" s="34">
        <f>+P91-P93</f>
        <v>-85939.689999999988</v>
      </c>
      <c r="Q95" s="14"/>
      <c r="R95" s="35">
        <f>IF(P$12=0,0,P95/P$12)</f>
        <v>0</v>
      </c>
      <c r="S95" s="14"/>
      <c r="T95" s="34">
        <f>+T91-T93</f>
        <v>-88903</v>
      </c>
      <c r="U95" s="14"/>
      <c r="V95" s="35">
        <f>IF(T$12=0,0,T95/T$12)</f>
        <v>0</v>
      </c>
      <c r="W95" s="16"/>
      <c r="X95" s="34">
        <f>P95-T95</f>
        <v>2963.3100000000122</v>
      </c>
      <c r="Y95" s="16"/>
      <c r="Z95" s="35">
        <f>IF(T95=0,0,X95/T95)</f>
        <v>-3.3331946053564133E-2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3">
        <f>SUM(D95:D97)</f>
        <v>-6378.7999999999993</v>
      </c>
      <c r="E98" s="14"/>
      <c r="F98" s="31">
        <f>IF(D$12=0,0,D98/D$12)</f>
        <v>0</v>
      </c>
      <c r="G98" s="14"/>
      <c r="H98" s="33">
        <f>SUM(H95:H97)</f>
        <v>-7384.333333333333</v>
      </c>
      <c r="I98" s="14"/>
      <c r="J98" s="31">
        <f>IF(H$12=0,0,H98/H$12)</f>
        <v>0</v>
      </c>
      <c r="K98" s="16"/>
      <c r="L98" s="33">
        <f>+D98-H98</f>
        <v>1005.5333333333338</v>
      </c>
      <c r="M98" s="16"/>
      <c r="N98" s="31">
        <f>IF(H98=0,0,L98/H98)</f>
        <v>-0.13617117320453218</v>
      </c>
      <c r="O98" s="29"/>
      <c r="P98" s="33">
        <f>SUM(P95:P97)</f>
        <v>-85939.689999999988</v>
      </c>
      <c r="Q98" s="14"/>
      <c r="R98" s="31">
        <f>IF(P$12=0,0,P98/P$12)</f>
        <v>0</v>
      </c>
      <c r="S98" s="14"/>
      <c r="T98" s="33">
        <f>SUM(T95:T97)</f>
        <v>-88903</v>
      </c>
      <c r="U98" s="14"/>
      <c r="V98" s="31">
        <f>IF(T$12=0,0,T98/T$12)</f>
        <v>0</v>
      </c>
      <c r="W98" s="16"/>
      <c r="X98" s="33">
        <f>+P98-T98</f>
        <v>2963.3100000000122</v>
      </c>
      <c r="Y98" s="16"/>
      <c r="Z98" s="31">
        <f>IF(T98=0,0,X98/T98)</f>
        <v>-3.3331946053564133E-2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6">
        <v>44454.686112384261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5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3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76.760000000000005</v>
      </c>
      <c r="E18" s="21"/>
      <c r="F18" s="30">
        <f t="shared" ref="F18:F28" si="0">IF(D$12=0,0,D18/D$12)</f>
        <v>0</v>
      </c>
      <c r="G18" s="21"/>
      <c r="H18" s="21">
        <f>SUM(OSRRefH22x_0)</f>
        <v>435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-358.24</v>
      </c>
      <c r="M18" s="4"/>
      <c r="N18" s="30">
        <f t="shared" ref="N18:N28" si="3">IF(H18=0,0,L18/H18)</f>
        <v>-0.82354022988505748</v>
      </c>
      <c r="O18" s="10"/>
      <c r="P18" s="21">
        <f>SUM(OSRRefP22x_0)</f>
        <v>2488.2999999999997</v>
      </c>
      <c r="Q18" s="21"/>
      <c r="R18" s="30">
        <f t="shared" ref="R18:R28" si="4">IF(P$12=0,0,P18/P$12)</f>
        <v>0</v>
      </c>
      <c r="S18" s="21"/>
      <c r="T18" s="21">
        <f>SUM(OSRRefT22x_0)</f>
        <v>5220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-2731.7000000000003</v>
      </c>
      <c r="Y18" s="4"/>
      <c r="Z18" s="30">
        <f t="shared" ref="Z18:Z28" si="7">IF(T18=0,0,X18/T18)</f>
        <v>-0.52331417624521082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660.8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660.8</v>
      </c>
      <c r="Y20" s="2"/>
      <c r="Z20" s="7">
        <f t="shared" si="7"/>
        <v>0</v>
      </c>
    </row>
    <row r="21" spans="1:26" s="27" customFormat="1" outlineLevel="1" collapsed="1" x14ac:dyDescent="0.25">
      <c r="A21" s="25"/>
      <c r="B21" s="13" t="str">
        <f>CONCATENATE("     ","Depreciation                                      ")</f>
        <v xml:space="preserve">     Depreciation                                      </v>
      </c>
      <c r="C21" s="13"/>
      <c r="D21" s="1">
        <f>SUM(OSRRefD22_1x_0)</f>
        <v>7.47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-427.53</v>
      </c>
      <c r="M21" s="1"/>
      <c r="N21" s="5">
        <f t="shared" si="3"/>
        <v>-0.98282758620689648</v>
      </c>
      <c r="O21" s="13"/>
      <c r="P21" s="1">
        <f>SUM(OSRRefP22_1x_0)</f>
        <v>1322.52</v>
      </c>
      <c r="Q21" s="1"/>
      <c r="R21" s="5">
        <f t="shared" si="4"/>
        <v>0</v>
      </c>
      <c r="S21" s="1"/>
      <c r="T21" s="1">
        <f>SUM(OSRRefT22_1x_0)</f>
        <v>5220</v>
      </c>
      <c r="U21" s="1"/>
      <c r="V21" s="5">
        <f t="shared" si="5"/>
        <v>0</v>
      </c>
      <c r="W21" s="1"/>
      <c r="X21" s="1">
        <f t="shared" si="6"/>
        <v>-3897.48</v>
      </c>
      <c r="Y21" s="1"/>
      <c r="Z21" s="5">
        <f t="shared" si="7"/>
        <v>-0.74664367816091959</v>
      </c>
    </row>
    <row r="22" spans="1:26" s="24" customFormat="1" hidden="1" outlineLevel="2" x14ac:dyDescent="0.25">
      <c r="A22" s="26"/>
      <c r="B22" s="11" t="str">
        <f>CONCATENATE("          ", "6322", " - ", "EQUIPMENT DEPRECIATION EXPENSE")</f>
        <v xml:space="preserve">          6322 - EQUIPMENT DEPRECIATION EXPENSE</v>
      </c>
      <c r="C22" s="11"/>
      <c r="D22" s="6">
        <v>7.47</v>
      </c>
      <c r="E22" s="2"/>
      <c r="F22" s="7">
        <f t="shared" si="0"/>
        <v>0</v>
      </c>
      <c r="G22" s="2"/>
      <c r="H22" s="6">
        <v>435</v>
      </c>
      <c r="I22" s="2"/>
      <c r="J22" s="7">
        <f t="shared" si="1"/>
        <v>0</v>
      </c>
      <c r="K22" s="2"/>
      <c r="L22" s="6">
        <f t="shared" si="2"/>
        <v>-427.53</v>
      </c>
      <c r="M22" s="2"/>
      <c r="N22" s="7">
        <f t="shared" si="3"/>
        <v>-0.98282758620689648</v>
      </c>
      <c r="O22" s="11"/>
      <c r="P22" s="6">
        <v>1322.52</v>
      </c>
      <c r="Q22" s="2"/>
      <c r="R22" s="7">
        <f t="shared" si="4"/>
        <v>0</v>
      </c>
      <c r="S22" s="2"/>
      <c r="T22" s="6">
        <v>5220</v>
      </c>
      <c r="U22" s="2"/>
      <c r="V22" s="7">
        <f t="shared" si="5"/>
        <v>0</v>
      </c>
      <c r="W22" s="2"/>
      <c r="X22" s="6">
        <f t="shared" si="6"/>
        <v>-3897.48</v>
      </c>
      <c r="Y22" s="2"/>
      <c r="Z22" s="7">
        <f t="shared" si="7"/>
        <v>-0.74664367816091959</v>
      </c>
    </row>
    <row r="23" spans="1:26" s="27" customFormat="1" outlineLevel="1" collapsed="1" x14ac:dyDescent="0.25">
      <c r="A23" s="25"/>
      <c r="B23" s="13" t="str">
        <f>CONCATENATE("     ","Equipment Rental                                  ")</f>
        <v xml:space="preserve">     Equipment Rental      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64.02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64.02</v>
      </c>
      <c r="Y24" s="2"/>
      <c r="Z24" s="7">
        <f t="shared" si="7"/>
        <v>0</v>
      </c>
    </row>
    <row r="25" spans="1:26" s="27" customFormat="1" outlineLevel="1" collapsed="1" x14ac:dyDescent="0.25">
      <c r="A25" s="25"/>
      <c r="B25" s="13" t="str">
        <f>CONCATENATE("     ","Repair and Maintenance                            ")</f>
        <v xml:space="preserve">     Repair and Maintenance                            </v>
      </c>
      <c r="C25" s="13"/>
      <c r="D25" s="1">
        <f>SUM(OSRRefD22_3x_0)</f>
        <v>69.290000000000006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69.290000000000006</v>
      </c>
      <c r="M25" s="1"/>
      <c r="N25" s="5">
        <f t="shared" si="3"/>
        <v>0</v>
      </c>
      <c r="O25" s="13"/>
      <c r="P25" s="1">
        <f>SUM(OSRRefP22_3x_0)</f>
        <v>355.76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355.76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"6373", " - ", "MAINTENANCE CONTRACTS")</f>
        <v xml:space="preserve">          6373 - MAINTENANCE CONTRACTS</v>
      </c>
      <c r="C26" s="11"/>
      <c r="D26" s="6">
        <v>69.290000000000006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69.290000000000006</v>
      </c>
      <c r="M26" s="2"/>
      <c r="N26" s="7">
        <f t="shared" si="3"/>
        <v>0</v>
      </c>
      <c r="O26" s="11"/>
      <c r="P26" s="6">
        <v>355.76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355.76</v>
      </c>
      <c r="Y26" s="2"/>
      <c r="Z26" s="7">
        <f t="shared" si="7"/>
        <v>0</v>
      </c>
    </row>
    <row r="27" spans="1:26" s="27" customFormat="1" outlineLevel="1" collapsed="1" x14ac:dyDescent="0.25">
      <c r="A27" s="25"/>
      <c r="B27" s="13" t="str">
        <f>CONCATENATE("     ","Telephone/Data Lines                              ")</f>
        <v xml:space="preserve">     Telephone/Data Lines 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6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85.2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85.2</v>
      </c>
      <c r="Y28" s="2"/>
      <c r="Z28" s="7">
        <f t="shared" si="7"/>
        <v>0</v>
      </c>
    </row>
    <row r="29" spans="1:26" s="61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293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277</v>
      </c>
      <c r="C32" s="28"/>
      <c r="D32" s="20">
        <f>+D16-D18+D30</f>
        <v>-76.760000000000005</v>
      </c>
      <c r="E32" s="14"/>
      <c r="F32" s="22">
        <f>IF(D$12=0,0,D32/D$12)</f>
        <v>0</v>
      </c>
      <c r="G32" s="14"/>
      <c r="H32" s="20">
        <f>+H16-H18+H30</f>
        <v>-435</v>
      </c>
      <c r="I32" s="14"/>
      <c r="J32" s="22">
        <f>IF(H$12=0,0,H32/H$12)</f>
        <v>0</v>
      </c>
      <c r="K32" s="16"/>
      <c r="L32" s="20">
        <f>+D32-H32</f>
        <v>358.24</v>
      </c>
      <c r="M32" s="16"/>
      <c r="N32" s="22">
        <f>IF(H32=0,0,L32/H32)</f>
        <v>-0.82354022988505748</v>
      </c>
      <c r="O32" s="29"/>
      <c r="P32" s="20">
        <f>+P16-P18+P30</f>
        <v>-2488.2999999999997</v>
      </c>
      <c r="Q32" s="14"/>
      <c r="R32" s="22">
        <f>IF(P$12=0,0,P32/P$12)</f>
        <v>0</v>
      </c>
      <c r="S32" s="14"/>
      <c r="T32" s="20">
        <f>+T16-T18+T30</f>
        <v>-5220</v>
      </c>
      <c r="U32" s="14"/>
      <c r="V32" s="22">
        <f>IF(T$12=0,0,T32/T$12)</f>
        <v>0</v>
      </c>
      <c r="W32" s="16"/>
      <c r="X32" s="20">
        <f>+P32-T32</f>
        <v>2731.7000000000003</v>
      </c>
      <c r="Y32" s="16"/>
      <c r="Z32" s="22">
        <f>IF(T32=0,0,X32/T32)</f>
        <v>-0.52331417624521082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128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126</v>
      </c>
      <c r="C36" s="28"/>
      <c r="D36" s="34">
        <f>+D32-D34</f>
        <v>-76.760000000000005</v>
      </c>
      <c r="E36" s="14"/>
      <c r="F36" s="35">
        <f>IF(D$12=0,0,D36/D$12)</f>
        <v>0</v>
      </c>
      <c r="G36" s="14"/>
      <c r="H36" s="34">
        <f>+H32-H34</f>
        <v>-435</v>
      </c>
      <c r="I36" s="14"/>
      <c r="J36" s="35">
        <f>IF(H$12=0,0,H36/H$12)</f>
        <v>0</v>
      </c>
      <c r="K36" s="16"/>
      <c r="L36" s="34">
        <f>D36-H36</f>
        <v>358.24</v>
      </c>
      <c r="M36" s="16"/>
      <c r="N36" s="35">
        <f>IF(H36=0,0,L36/H36)</f>
        <v>-0.82354022988505748</v>
      </c>
      <c r="O36" s="29"/>
      <c r="P36" s="34">
        <f>+P32-P34</f>
        <v>-2488.2999999999997</v>
      </c>
      <c r="Q36" s="14"/>
      <c r="R36" s="35">
        <f>IF(P$12=0,0,P36/P$12)</f>
        <v>0</v>
      </c>
      <c r="S36" s="14"/>
      <c r="T36" s="34">
        <f>+T32-T34</f>
        <v>-5220</v>
      </c>
      <c r="U36" s="14"/>
      <c r="V36" s="35">
        <f>IF(T$12=0,0,T36/T$12)</f>
        <v>0</v>
      </c>
      <c r="W36" s="16"/>
      <c r="X36" s="34">
        <f>P36-T36</f>
        <v>2731.7000000000003</v>
      </c>
      <c r="Y36" s="16"/>
      <c r="Z36" s="35">
        <f>IF(T36=0,0,X36/T36)</f>
        <v>-0.52331417624521082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294</v>
      </c>
      <c r="C39" s="28"/>
      <c r="D39" s="33">
        <f>SUM(D36:D38)</f>
        <v>-76.760000000000005</v>
      </c>
      <c r="E39" s="14"/>
      <c r="F39" s="31">
        <f>IF(D$12=0,0,D39/D$12)</f>
        <v>0</v>
      </c>
      <c r="G39" s="14"/>
      <c r="H39" s="33">
        <f>SUM(H36:H38)</f>
        <v>-435</v>
      </c>
      <c r="I39" s="14"/>
      <c r="J39" s="31">
        <f>IF(H$12=0,0,H39/H$12)</f>
        <v>0</v>
      </c>
      <c r="K39" s="16"/>
      <c r="L39" s="33">
        <f>+D39-H39</f>
        <v>358.24</v>
      </c>
      <c r="M39" s="16"/>
      <c r="N39" s="31">
        <f>IF(H39=0,0,L39/H39)</f>
        <v>-0.82354022988505748</v>
      </c>
      <c r="O39" s="29"/>
      <c r="P39" s="33">
        <f>SUM(P36:P38)</f>
        <v>-2488.2999999999997</v>
      </c>
      <c r="Q39" s="14"/>
      <c r="R39" s="31">
        <f>IF(P$12=0,0,P39/P$12)</f>
        <v>0</v>
      </c>
      <c r="S39" s="14"/>
      <c r="T39" s="33">
        <f>SUM(T36:T38)</f>
        <v>-5220</v>
      </c>
      <c r="U39" s="14"/>
      <c r="V39" s="31">
        <f>IF(T$12=0,0,T39/T$12)</f>
        <v>0</v>
      </c>
      <c r="W39" s="16"/>
      <c r="X39" s="33">
        <f>+P39-T39</f>
        <v>2731.7000000000003</v>
      </c>
      <c r="Y39" s="16"/>
      <c r="Z39" s="31">
        <f>IF(T39=0,0,X39/T39)</f>
        <v>-0.52331417624521082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6">
        <v>44454.686112384261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5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3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103185.23</v>
      </c>
      <c r="E18" s="21"/>
      <c r="F18" s="30">
        <f t="shared" ref="F18:F28" si="0">IF(D$12=0,0,D18/D$12)</f>
        <v>0</v>
      </c>
      <c r="G18" s="21"/>
      <c r="H18" s="21">
        <f>SUM(OSRRefH22x_0)</f>
        <v>16972.461538461539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86212.76846153845</v>
      </c>
      <c r="M18" s="4"/>
      <c r="N18" s="30">
        <f t="shared" ref="N18:N28" si="3">IF(H18=0,0,L18/H18)</f>
        <v>5.0795677613509662</v>
      </c>
      <c r="O18" s="10"/>
      <c r="P18" s="21">
        <f>SUM(OSRRefP22x_0)</f>
        <v>434164.84</v>
      </c>
      <c r="Q18" s="21"/>
      <c r="R18" s="30">
        <f t="shared" ref="R18:R28" si="4">IF(P$12=0,0,P18/P$12)</f>
        <v>0</v>
      </c>
      <c r="S18" s="21"/>
      <c r="T18" s="21">
        <f>SUM(OSRRefT22x_0)</f>
        <v>214092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220072.84000000003</v>
      </c>
      <c r="Y18" s="4"/>
      <c r="Z18" s="30">
        <f t="shared" ref="Z18:Z28" si="7">IF(T18=0,0,X18/T18)</f>
        <v>1.0279358406666295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6349.6100000000006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3336.1484615384607</v>
      </c>
      <c r="M19" s="1"/>
      <c r="N19" s="5">
        <f t="shared" si="3"/>
        <v>1.1070818123803439</v>
      </c>
      <c r="O19" s="13"/>
      <c r="P19" s="1">
        <f>SUM(OSRRefP22_0x_0)</f>
        <v>72575.920000000013</v>
      </c>
      <c r="Q19" s="1"/>
      <c r="R19" s="5">
        <f t="shared" si="4"/>
        <v>0</v>
      </c>
      <c r="S19" s="1"/>
      <c r="T19" s="1">
        <f>SUM(OSRRefT22_0x_0)</f>
        <v>37440</v>
      </c>
      <c r="U19" s="1"/>
      <c r="V19" s="5">
        <f t="shared" si="5"/>
        <v>0</v>
      </c>
      <c r="W19" s="1"/>
      <c r="X19" s="1">
        <f t="shared" si="6"/>
        <v>35135.920000000013</v>
      </c>
      <c r="Y19" s="1"/>
      <c r="Z19" s="5">
        <f t="shared" si="7"/>
        <v>0.93845940170940201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892.2</v>
      </c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892.2</v>
      </c>
      <c r="M20" s="2"/>
      <c r="N20" s="7">
        <f t="shared" si="3"/>
        <v>0</v>
      </c>
      <c r="O20" s="11"/>
      <c r="P20" s="6">
        <v>10920.13</v>
      </c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10920.13</v>
      </c>
      <c r="Y20" s="2"/>
      <c r="Z20" s="7">
        <f t="shared" si="7"/>
        <v>0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36.78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36.78</v>
      </c>
      <c r="M21" s="2"/>
      <c r="N21" s="7">
        <f t="shared" si="3"/>
        <v>0</v>
      </c>
      <c r="O21" s="11"/>
      <c r="P21" s="6">
        <v>605.92999999999995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605.92999999999995</v>
      </c>
      <c r="Y21" s="2"/>
      <c r="Z21" s="7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1920.87</v>
      </c>
      <c r="E22" s="2"/>
      <c r="F22" s="7">
        <f t="shared" si="0"/>
        <v>0</v>
      </c>
      <c r="G22" s="2"/>
      <c r="H22" s="6">
        <v>2663.4615384615399</v>
      </c>
      <c r="I22" s="2"/>
      <c r="J22" s="7">
        <f t="shared" si="1"/>
        <v>0</v>
      </c>
      <c r="K22" s="2"/>
      <c r="L22" s="6">
        <f t="shared" si="2"/>
        <v>-742.59153846154004</v>
      </c>
      <c r="M22" s="2"/>
      <c r="N22" s="7">
        <f t="shared" si="3"/>
        <v>-0.27880693140794266</v>
      </c>
      <c r="O22" s="11"/>
      <c r="P22" s="6">
        <v>22095.69</v>
      </c>
      <c r="Q22" s="2"/>
      <c r="R22" s="7">
        <f t="shared" si="4"/>
        <v>0</v>
      </c>
      <c r="S22" s="2"/>
      <c r="T22" s="6">
        <v>33240</v>
      </c>
      <c r="U22" s="2"/>
      <c r="V22" s="7">
        <f t="shared" si="5"/>
        <v>0</v>
      </c>
      <c r="W22" s="2"/>
      <c r="X22" s="6">
        <f t="shared" si="6"/>
        <v>-11144.310000000001</v>
      </c>
      <c r="Y22" s="2"/>
      <c r="Z22" s="7">
        <f t="shared" si="7"/>
        <v>-0.33526805054151626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28.98</v>
      </c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28.98</v>
      </c>
      <c r="M23" s="2"/>
      <c r="N23" s="7">
        <f t="shared" si="3"/>
        <v>0</v>
      </c>
      <c r="O23" s="11"/>
      <c r="P23" s="6">
        <v>412.51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412.51</v>
      </c>
      <c r="Y23" s="2"/>
      <c r="Z23" s="7">
        <f t="shared" si="7"/>
        <v>0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1831.58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1831.58</v>
      </c>
      <c r="M24" s="2"/>
      <c r="N24" s="7">
        <f t="shared" si="3"/>
        <v>0</v>
      </c>
      <c r="O24" s="11"/>
      <c r="P24" s="6">
        <v>17534.57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17534.57</v>
      </c>
      <c r="Y24" s="2"/>
      <c r="Z24" s="7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1022.52</v>
      </c>
      <c r="M26" s="2"/>
      <c r="N26" s="7">
        <f t="shared" si="3"/>
        <v>0</v>
      </c>
      <c r="O26" s="11"/>
      <c r="P26" s="6">
        <v>13484.9</v>
      </c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13484.9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510.58</v>
      </c>
      <c r="M27" s="2"/>
      <c r="N27" s="7">
        <f t="shared" si="3"/>
        <v>0</v>
      </c>
      <c r="O27" s="11"/>
      <c r="P27" s="6">
        <v>6733.48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6733.48</v>
      </c>
      <c r="Y27" s="2"/>
      <c r="Z27" s="7">
        <f t="shared" si="7"/>
        <v>0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106.1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-243.9</v>
      </c>
      <c r="M28" s="2"/>
      <c r="N28" s="7">
        <f t="shared" si="3"/>
        <v>-0.69685714285714284</v>
      </c>
      <c r="O28" s="11"/>
      <c r="P28" s="6">
        <v>788.71</v>
      </c>
      <c r="Q28" s="2"/>
      <c r="R28" s="7">
        <f t="shared" si="4"/>
        <v>0</v>
      </c>
      <c r="S28" s="2"/>
      <c r="T28" s="6">
        <v>4200</v>
      </c>
      <c r="U28" s="2"/>
      <c r="V28" s="7">
        <f t="shared" si="5"/>
        <v>0</v>
      </c>
      <c r="W28" s="2"/>
      <c r="X28" s="6">
        <f t="shared" si="6"/>
        <v>-3411.29</v>
      </c>
      <c r="Y28" s="2"/>
      <c r="Z28" s="7">
        <f t="shared" si="7"/>
        <v>-0.81221190476190475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11587.78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11587.78</v>
      </c>
      <c r="M29" s="1"/>
      <c r="N29" s="5">
        <f t="shared" ref="N29:N39" si="11">IF(H29=0,0,L29/H29)</f>
        <v>0</v>
      </c>
      <c r="O29" s="13"/>
      <c r="P29" s="1">
        <f>SUM(OSRRefP22_1x_0)</f>
        <v>133400.91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133400.91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11069.28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11069.28</v>
      </c>
      <c r="M30" s="2"/>
      <c r="N30" s="7">
        <f t="shared" si="11"/>
        <v>0</v>
      </c>
      <c r="O30" s="11"/>
      <c r="P30" s="6">
        <v>130427.41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130427.41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2080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2080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70</v>
      </c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70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518.5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518.5</v>
      </c>
      <c r="M34" s="2"/>
      <c r="N34" s="7">
        <f t="shared" si="11"/>
        <v>0</v>
      </c>
      <c r="O34" s="11"/>
      <c r="P34" s="6">
        <v>823.5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823.5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3"/>
      <c r="P40" s="1">
        <f>SUM(OSRRefP22_2x_0)</f>
        <v>63.55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63.55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63.55</v>
      </c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63.55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SUM(OSRRefD22_3x_0)</f>
        <v>318.99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318.99</v>
      </c>
      <c r="M42" s="1"/>
      <c r="N42" s="5">
        <f t="shared" si="19"/>
        <v>0</v>
      </c>
      <c r="O42" s="13"/>
      <c r="P42" s="1">
        <f>SUM(OSRRefP22_3x_0)</f>
        <v>4938.21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4938.21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318.99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318.99</v>
      </c>
      <c r="M43" s="2"/>
      <c r="N43" s="7">
        <f t="shared" si="19"/>
        <v>0</v>
      </c>
      <c r="O43" s="11"/>
      <c r="P43" s="6">
        <v>4938.21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4938.21</v>
      </c>
      <c r="Y43" s="2"/>
      <c r="Z43" s="7">
        <f t="shared" si="23"/>
        <v>0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SUM(OSRRefD22_4x_0)</f>
        <v>5331.65</v>
      </c>
      <c r="E44" s="1"/>
      <c r="F44" s="5">
        <f t="shared" si="16"/>
        <v>0</v>
      </c>
      <c r="G44" s="1"/>
      <c r="H44" s="1">
        <f>SUM(OSRRefH22_4x_0)</f>
        <v>5296</v>
      </c>
      <c r="I44" s="1"/>
      <c r="J44" s="5">
        <f t="shared" si="17"/>
        <v>0</v>
      </c>
      <c r="K44" s="1"/>
      <c r="L44" s="1">
        <f t="shared" si="18"/>
        <v>35.649999999999636</v>
      </c>
      <c r="M44" s="1"/>
      <c r="N44" s="5">
        <f t="shared" si="19"/>
        <v>6.7314954682778771E-3</v>
      </c>
      <c r="O44" s="13"/>
      <c r="P44" s="1">
        <f>SUM(OSRRefP22_4x_0)</f>
        <v>80694.3</v>
      </c>
      <c r="Q44" s="1"/>
      <c r="R44" s="5">
        <f t="shared" si="20"/>
        <v>0</v>
      </c>
      <c r="S44" s="1"/>
      <c r="T44" s="1">
        <f>SUM(OSRRefT22_4x_0)</f>
        <v>80266</v>
      </c>
      <c r="U44" s="1"/>
      <c r="V44" s="5">
        <f t="shared" si="21"/>
        <v>0</v>
      </c>
      <c r="W44" s="1"/>
      <c r="X44" s="1">
        <f t="shared" si="22"/>
        <v>428.30000000000291</v>
      </c>
      <c r="Y44" s="1"/>
      <c r="Z44" s="5">
        <f t="shared" si="23"/>
        <v>5.336007774150984E-3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6">
        <v>1822.7</v>
      </c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1822.7</v>
      </c>
      <c r="M45" s="2"/>
      <c r="N45" s="7">
        <f t="shared" si="19"/>
        <v>0</v>
      </c>
      <c r="O45" s="11"/>
      <c r="P45" s="6">
        <v>22656.37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22656.37</v>
      </c>
      <c r="Y45" s="2"/>
      <c r="Z45" s="7">
        <f t="shared" si="23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3508.95</v>
      </c>
      <c r="E46" s="2"/>
      <c r="F46" s="7">
        <f t="shared" si="16"/>
        <v>0</v>
      </c>
      <c r="G46" s="2"/>
      <c r="H46" s="6">
        <v>5296</v>
      </c>
      <c r="I46" s="2"/>
      <c r="J46" s="7">
        <f t="shared" si="17"/>
        <v>0</v>
      </c>
      <c r="K46" s="2"/>
      <c r="L46" s="6">
        <f t="shared" si="18"/>
        <v>-1787.0500000000002</v>
      </c>
      <c r="M46" s="2"/>
      <c r="N46" s="7">
        <f t="shared" si="19"/>
        <v>-0.337433912386707</v>
      </c>
      <c r="O46" s="11"/>
      <c r="P46" s="6">
        <v>58037.93</v>
      </c>
      <c r="Q46" s="2"/>
      <c r="R46" s="7">
        <f t="shared" si="20"/>
        <v>0</v>
      </c>
      <c r="S46" s="2"/>
      <c r="T46" s="6">
        <v>80266</v>
      </c>
      <c r="U46" s="2"/>
      <c r="V46" s="7">
        <f t="shared" si="21"/>
        <v>0</v>
      </c>
      <c r="W46" s="2"/>
      <c r="X46" s="6">
        <f t="shared" si="22"/>
        <v>-22228.07</v>
      </c>
      <c r="Y46" s="2"/>
      <c r="Z46" s="7">
        <f t="shared" si="23"/>
        <v>-0.27693008247576806</v>
      </c>
    </row>
    <row r="47" spans="1:26" s="27" customFormat="1" outlineLevel="1" collapsed="1" x14ac:dyDescent="0.25">
      <c r="A47" s="25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747.46</v>
      </c>
      <c r="E47" s="1"/>
      <c r="F47" s="5">
        <f t="shared" ref="F47:F59" si="24">IF(D$12=0,0,D47/D$12)</f>
        <v>0</v>
      </c>
      <c r="G47" s="1"/>
      <c r="H47" s="1">
        <f>SUM(OSRRefH22_5x_0)</f>
        <v>0</v>
      </c>
      <c r="I47" s="1"/>
      <c r="J47" s="5">
        <f t="shared" ref="J47:J59" si="25">IF(H$12=0,0,H47/H$12)</f>
        <v>0</v>
      </c>
      <c r="K47" s="1"/>
      <c r="L47" s="1">
        <f t="shared" ref="L47:L59" si="26">+D47-H47</f>
        <v>747.46</v>
      </c>
      <c r="M47" s="1"/>
      <c r="N47" s="5">
        <f t="shared" ref="N47:N59" si="27">IF(H47=0,0,L47/H47)</f>
        <v>0</v>
      </c>
      <c r="O47" s="13"/>
      <c r="P47" s="1">
        <f>SUM(OSRRefP22_5x_0)</f>
        <v>4453.8500000000004</v>
      </c>
      <c r="Q47" s="1"/>
      <c r="R47" s="5">
        <f t="shared" ref="R47:R59" si="28">IF(P$12=0,0,P47/P$12)</f>
        <v>0</v>
      </c>
      <c r="S47" s="1"/>
      <c r="T47" s="1">
        <f>SUM(OSRRefT22_5x_0)</f>
        <v>0</v>
      </c>
      <c r="U47" s="1"/>
      <c r="V47" s="5">
        <f t="shared" ref="V47:V59" si="29">IF(T$12=0,0,T47/T$12)</f>
        <v>0</v>
      </c>
      <c r="W47" s="1"/>
      <c r="X47" s="1">
        <f t="shared" ref="X47:X59" si="30">+P47-T47</f>
        <v>4453.8500000000004</v>
      </c>
      <c r="Y47" s="1"/>
      <c r="Z47" s="5">
        <f t="shared" ref="Z47:Z59" si="31">IF(T47=0,0,X47/T47)</f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6">
        <v>747.46</v>
      </c>
      <c r="E48" s="2"/>
      <c r="F48" s="7">
        <f t="shared" si="24"/>
        <v>0</v>
      </c>
      <c r="G48" s="2"/>
      <c r="H48" s="6">
        <v>0</v>
      </c>
      <c r="I48" s="2"/>
      <c r="J48" s="7">
        <f t="shared" si="25"/>
        <v>0</v>
      </c>
      <c r="K48" s="2"/>
      <c r="L48" s="6">
        <f t="shared" si="26"/>
        <v>747.46</v>
      </c>
      <c r="M48" s="2"/>
      <c r="N48" s="7">
        <f t="shared" si="27"/>
        <v>0</v>
      </c>
      <c r="O48" s="11"/>
      <c r="P48" s="6">
        <v>4453.8500000000004</v>
      </c>
      <c r="Q48" s="2"/>
      <c r="R48" s="7">
        <f t="shared" si="28"/>
        <v>0</v>
      </c>
      <c r="S48" s="2"/>
      <c r="T48" s="6">
        <v>0</v>
      </c>
      <c r="U48" s="2"/>
      <c r="V48" s="7">
        <f t="shared" si="29"/>
        <v>0</v>
      </c>
      <c r="W48" s="2"/>
      <c r="X48" s="6">
        <f t="shared" si="30"/>
        <v>4453.8500000000004</v>
      </c>
      <c r="Y48" s="2"/>
      <c r="Z48" s="7">
        <f t="shared" si="31"/>
        <v>0</v>
      </c>
    </row>
    <row r="49" spans="1:26" s="27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3"/>
      <c r="P49" s="1">
        <f>SUM(OSRRefP22_6x_0)</f>
        <v>-2.4500000000000002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-2.4500000000000002</v>
      </c>
      <c r="Y49" s="1"/>
      <c r="Z49" s="5">
        <f t="shared" si="31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-2.4500000000000002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-2.4500000000000002</v>
      </c>
      <c r="Y50" s="2"/>
      <c r="Z50" s="7">
        <f t="shared" si="31"/>
        <v>0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SUM(OSRRefP22_7x_0)</f>
        <v>721.41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721.41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721.41</v>
      </c>
      <c r="Q52" s="2"/>
      <c r="R52" s="7">
        <f t="shared" si="28"/>
        <v>0</v>
      </c>
      <c r="S52" s="2"/>
      <c r="T52" s="6">
        <v>0</v>
      </c>
      <c r="U52" s="2"/>
      <c r="V52" s="7">
        <f t="shared" si="29"/>
        <v>0</v>
      </c>
      <c r="W52" s="2"/>
      <c r="X52" s="6">
        <f t="shared" si="30"/>
        <v>721.41</v>
      </c>
      <c r="Y52" s="2"/>
      <c r="Z52" s="7">
        <f t="shared" si="31"/>
        <v>0</v>
      </c>
    </row>
    <row r="53" spans="1:26" s="27" customFormat="1" outlineLevel="1" collapsed="1" x14ac:dyDescent="0.25">
      <c r="A53" s="25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7678.07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3818.0699999999997</v>
      </c>
      <c r="M53" s="1"/>
      <c r="N53" s="5">
        <f t="shared" si="27"/>
        <v>0.98913730569948177</v>
      </c>
      <c r="O53" s="13"/>
      <c r="P53" s="1">
        <f>SUM(OSRRefP22_8x_0)</f>
        <v>53377.42</v>
      </c>
      <c r="Q53" s="1"/>
      <c r="R53" s="5">
        <f t="shared" si="28"/>
        <v>0</v>
      </c>
      <c r="S53" s="1"/>
      <c r="T53" s="1">
        <f>SUM(OSRRefT22_8x_0)</f>
        <v>46320</v>
      </c>
      <c r="U53" s="1"/>
      <c r="V53" s="5">
        <f t="shared" si="29"/>
        <v>0</v>
      </c>
      <c r="W53" s="1"/>
      <c r="X53" s="1">
        <f t="shared" si="30"/>
        <v>7057.4199999999983</v>
      </c>
      <c r="Y53" s="1"/>
      <c r="Z53" s="5">
        <f t="shared" si="31"/>
        <v>0.15236226252158891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6">
        <v>7678.07</v>
      </c>
      <c r="E54" s="2"/>
      <c r="F54" s="7">
        <f t="shared" si="24"/>
        <v>0</v>
      </c>
      <c r="G54" s="2"/>
      <c r="H54" s="6">
        <v>3860</v>
      </c>
      <c r="I54" s="2"/>
      <c r="J54" s="7">
        <f t="shared" si="25"/>
        <v>0</v>
      </c>
      <c r="K54" s="2"/>
      <c r="L54" s="6">
        <f t="shared" si="26"/>
        <v>3818.0699999999997</v>
      </c>
      <c r="M54" s="2"/>
      <c r="N54" s="7">
        <f t="shared" si="27"/>
        <v>0.98913730569948177</v>
      </c>
      <c r="O54" s="11"/>
      <c r="P54" s="6">
        <v>53377.42</v>
      </c>
      <c r="Q54" s="2"/>
      <c r="R54" s="7">
        <f t="shared" si="28"/>
        <v>0</v>
      </c>
      <c r="S54" s="2"/>
      <c r="T54" s="6">
        <v>46320</v>
      </c>
      <c r="U54" s="2"/>
      <c r="V54" s="7">
        <f t="shared" si="29"/>
        <v>0</v>
      </c>
      <c r="W54" s="2"/>
      <c r="X54" s="6">
        <f t="shared" si="30"/>
        <v>7057.4199999999983</v>
      </c>
      <c r="Y54" s="2"/>
      <c r="Z54" s="7">
        <f t="shared" si="31"/>
        <v>0.15236226252158891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30713.08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30713.08</v>
      </c>
      <c r="M55" s="1"/>
      <c r="N55" s="5">
        <f t="shared" si="27"/>
        <v>0</v>
      </c>
      <c r="O55" s="13"/>
      <c r="P55" s="1">
        <f>SUM(OSRRefP22_9x_0)</f>
        <v>47284.12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47284.12</v>
      </c>
      <c r="Y55" s="1"/>
      <c r="Z55" s="5">
        <f t="shared" si="31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>
        <v>30321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30321</v>
      </c>
      <c r="M56" s="2"/>
      <c r="N56" s="7">
        <f t="shared" si="27"/>
        <v>0</v>
      </c>
      <c r="O56" s="11"/>
      <c r="P56" s="6">
        <v>39280.47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39280.47</v>
      </c>
      <c r="Y56" s="2"/>
      <c r="Z56" s="7">
        <f t="shared" si="31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100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100</v>
      </c>
      <c r="Y57" s="2"/>
      <c r="Z57" s="7">
        <f t="shared" si="31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83.83</v>
      </c>
      <c r="E58" s="2"/>
      <c r="F58" s="7">
        <f t="shared" si="24"/>
        <v>0</v>
      </c>
      <c r="G58" s="2"/>
      <c r="H58" s="6">
        <v>0</v>
      </c>
      <c r="I58" s="2"/>
      <c r="J58" s="7">
        <f t="shared" si="25"/>
        <v>0</v>
      </c>
      <c r="K58" s="2"/>
      <c r="L58" s="6">
        <f t="shared" si="26"/>
        <v>83.83</v>
      </c>
      <c r="M58" s="2"/>
      <c r="N58" s="7">
        <f t="shared" si="27"/>
        <v>0</v>
      </c>
      <c r="O58" s="11"/>
      <c r="P58" s="6">
        <v>2299.44</v>
      </c>
      <c r="Q58" s="2"/>
      <c r="R58" s="7">
        <f t="shared" si="28"/>
        <v>0</v>
      </c>
      <c r="S58" s="2"/>
      <c r="T58" s="6">
        <v>0</v>
      </c>
      <c r="U58" s="2"/>
      <c r="V58" s="7">
        <f t="shared" si="29"/>
        <v>0</v>
      </c>
      <c r="W58" s="2"/>
      <c r="X58" s="6">
        <f t="shared" si="30"/>
        <v>2299.44</v>
      </c>
      <c r="Y58" s="2"/>
      <c r="Z58" s="7">
        <f t="shared" si="31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308.25</v>
      </c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308.25</v>
      </c>
      <c r="M59" s="2"/>
      <c r="N59" s="7">
        <f t="shared" si="27"/>
        <v>0</v>
      </c>
      <c r="O59" s="11"/>
      <c r="P59" s="6">
        <v>5604.21</v>
      </c>
      <c r="Q59" s="2"/>
      <c r="R59" s="7">
        <f t="shared" si="28"/>
        <v>0</v>
      </c>
      <c r="S59" s="2"/>
      <c r="T59" s="6">
        <v>0</v>
      </c>
      <c r="U59" s="2"/>
      <c r="V59" s="7">
        <f t="shared" si="29"/>
        <v>0</v>
      </c>
      <c r="W59" s="2"/>
      <c r="X59" s="6">
        <f t="shared" si="30"/>
        <v>5604.21</v>
      </c>
      <c r="Y59" s="2"/>
      <c r="Z59" s="7">
        <f t="shared" si="31"/>
        <v>0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SUM(OSRRefD22_10x_0)</f>
        <v>-2111.9</v>
      </c>
      <c r="E60" s="1"/>
      <c r="F60" s="5">
        <f t="shared" ref="F60:F64" si="32">IF(D$12=0,0,D60/D$12)</f>
        <v>0</v>
      </c>
      <c r="G60" s="1"/>
      <c r="H60" s="1">
        <f>SUM(OSRRefH22_10x_0)</f>
        <v>3753</v>
      </c>
      <c r="I60" s="1"/>
      <c r="J60" s="5">
        <f t="shared" ref="J60:J64" si="33">IF(H$12=0,0,H60/H$12)</f>
        <v>0</v>
      </c>
      <c r="K60" s="1"/>
      <c r="L60" s="1">
        <f t="shared" ref="L60:L64" si="34">+D60-H60</f>
        <v>-5864.9</v>
      </c>
      <c r="M60" s="1"/>
      <c r="N60" s="5">
        <f t="shared" ref="N60:N64" si="35">IF(H60=0,0,L60/H60)</f>
        <v>-1.5627231548094855</v>
      </c>
      <c r="O60" s="13"/>
      <c r="P60" s="1">
        <f>SUM(OSRRefP22_10x_0)</f>
        <v>29844.38</v>
      </c>
      <c r="Q60" s="1"/>
      <c r="R60" s="5">
        <f t="shared" ref="R60:R64" si="36">IF(P$12=0,0,P60/P$12)</f>
        <v>0</v>
      </c>
      <c r="S60" s="1"/>
      <c r="T60" s="1">
        <f>SUM(OSRRefT22_10x_0)</f>
        <v>36566</v>
      </c>
      <c r="U60" s="1"/>
      <c r="V60" s="5">
        <f t="shared" ref="V60:V64" si="37">IF(T$12=0,0,T60/T$12)</f>
        <v>0</v>
      </c>
      <c r="W60" s="1"/>
      <c r="X60" s="1">
        <f t="shared" ref="X60:X64" si="38">+P60-T60</f>
        <v>-6721.619999999999</v>
      </c>
      <c r="Y60" s="1"/>
      <c r="Z60" s="5">
        <f t="shared" ref="Z60:Z64" si="39">IF(T60=0,0,X60/T60)</f>
        <v>-0.18382158289121039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690.1</v>
      </c>
      <c r="E61" s="2"/>
      <c r="F61" s="7">
        <f t="shared" si="32"/>
        <v>0</v>
      </c>
      <c r="G61" s="2"/>
      <c r="H61" s="6">
        <v>1253</v>
      </c>
      <c r="I61" s="2"/>
      <c r="J61" s="7">
        <f t="shared" si="33"/>
        <v>0</v>
      </c>
      <c r="K61" s="2"/>
      <c r="L61" s="6">
        <f t="shared" si="34"/>
        <v>-562.9</v>
      </c>
      <c r="M61" s="2"/>
      <c r="N61" s="7">
        <f t="shared" si="35"/>
        <v>-0.44924181963288107</v>
      </c>
      <c r="O61" s="11"/>
      <c r="P61" s="6">
        <v>7020.38</v>
      </c>
      <c r="Q61" s="2"/>
      <c r="R61" s="7">
        <f t="shared" si="36"/>
        <v>0</v>
      </c>
      <c r="S61" s="2"/>
      <c r="T61" s="6">
        <v>8766</v>
      </c>
      <c r="U61" s="2"/>
      <c r="V61" s="7">
        <f t="shared" si="37"/>
        <v>0</v>
      </c>
      <c r="W61" s="2"/>
      <c r="X61" s="6">
        <f t="shared" si="38"/>
        <v>-1745.62</v>
      </c>
      <c r="Y61" s="2"/>
      <c r="Z61" s="7">
        <f t="shared" si="39"/>
        <v>-0.19913529545973077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6"/>
      <c r="E62" s="2"/>
      <c r="F62" s="7">
        <f t="shared" si="32"/>
        <v>0</v>
      </c>
      <c r="G62" s="2"/>
      <c r="H62" s="6">
        <v>0</v>
      </c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/>
      <c r="Q62" s="2"/>
      <c r="R62" s="7">
        <f t="shared" si="36"/>
        <v>0</v>
      </c>
      <c r="S62" s="2"/>
      <c r="T62" s="6">
        <v>0</v>
      </c>
      <c r="U62" s="2"/>
      <c r="V62" s="7">
        <f t="shared" si="37"/>
        <v>0</v>
      </c>
      <c r="W62" s="2"/>
      <c r="X62" s="6">
        <f t="shared" si="38"/>
        <v>0</v>
      </c>
      <c r="Y62" s="2"/>
      <c r="Z62" s="7">
        <f t="shared" si="39"/>
        <v>0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6">
        <v>-2802</v>
      </c>
      <c r="E63" s="2"/>
      <c r="F63" s="7">
        <f t="shared" si="32"/>
        <v>0</v>
      </c>
      <c r="G63" s="2"/>
      <c r="H63" s="6">
        <v>2500</v>
      </c>
      <c r="I63" s="2"/>
      <c r="J63" s="7">
        <f t="shared" si="33"/>
        <v>0</v>
      </c>
      <c r="K63" s="2"/>
      <c r="L63" s="6">
        <f t="shared" si="34"/>
        <v>-5302</v>
      </c>
      <c r="M63" s="2"/>
      <c r="N63" s="7">
        <f t="shared" si="35"/>
        <v>-2.1208</v>
      </c>
      <c r="O63" s="11"/>
      <c r="P63" s="6">
        <v>22824</v>
      </c>
      <c r="Q63" s="2"/>
      <c r="R63" s="7">
        <f t="shared" si="36"/>
        <v>0</v>
      </c>
      <c r="S63" s="2"/>
      <c r="T63" s="6">
        <v>27800</v>
      </c>
      <c r="U63" s="2"/>
      <c r="V63" s="7">
        <f t="shared" si="37"/>
        <v>0</v>
      </c>
      <c r="W63" s="2"/>
      <c r="X63" s="6">
        <f t="shared" si="38"/>
        <v>-4976</v>
      </c>
      <c r="Y63" s="2"/>
      <c r="Z63" s="7">
        <f t="shared" si="39"/>
        <v>-0.1789928057553957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32"/>
        <v>0</v>
      </c>
      <c r="G64" s="2"/>
      <c r="H64" s="6">
        <v>0</v>
      </c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/>
      <c r="Q64" s="2"/>
      <c r="R64" s="7">
        <f t="shared" si="36"/>
        <v>0</v>
      </c>
      <c r="S64" s="2"/>
      <c r="T64" s="6">
        <v>0</v>
      </c>
      <c r="U64" s="2"/>
      <c r="V64" s="7">
        <f t="shared" si="37"/>
        <v>0</v>
      </c>
      <c r="W64" s="2"/>
      <c r="X64" s="6">
        <f t="shared" si="38"/>
        <v>0</v>
      </c>
      <c r="Y64" s="2"/>
      <c r="Z64" s="7">
        <f t="shared" si="39"/>
        <v>0</v>
      </c>
    </row>
    <row r="65" spans="1:26" s="27" customFormat="1" outlineLevel="1" collapsed="1" x14ac:dyDescent="0.25">
      <c r="A65" s="25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SUM(OSRRefD22_11x_0)</f>
        <v>0</v>
      </c>
      <c r="E65" s="1"/>
      <c r="F65" s="5">
        <f t="shared" ref="F65:F67" si="40">IF(D$12=0,0,D65/D$12)</f>
        <v>0</v>
      </c>
      <c r="G65" s="1"/>
      <c r="H65" s="1">
        <f>SUM(OSRRefH22_11x_0)</f>
        <v>0</v>
      </c>
      <c r="I65" s="1"/>
      <c r="J65" s="5">
        <f t="shared" ref="J65:J67" si="41">IF(H$12=0,0,H65/H$12)</f>
        <v>0</v>
      </c>
      <c r="K65" s="1"/>
      <c r="L65" s="1">
        <f t="shared" ref="L65:L67" si="42">+D65-H65</f>
        <v>0</v>
      </c>
      <c r="M65" s="1"/>
      <c r="N65" s="5">
        <f t="shared" ref="N65:N67" si="43">IF(H65=0,0,L65/H65)</f>
        <v>0</v>
      </c>
      <c r="O65" s="13"/>
      <c r="P65" s="1">
        <f>SUM(OSRRefP22_11x_0)</f>
        <v>119.07</v>
      </c>
      <c r="Q65" s="1"/>
      <c r="R65" s="5">
        <f t="shared" ref="R65:R67" si="44">IF(P$12=0,0,P65/P$12)</f>
        <v>0</v>
      </c>
      <c r="S65" s="1"/>
      <c r="T65" s="1">
        <f>SUM(OSRRefT22_11x_0)</f>
        <v>900</v>
      </c>
      <c r="U65" s="1"/>
      <c r="V65" s="5">
        <f t="shared" ref="V65:V67" si="45">IF(T$12=0,0,T65/T$12)</f>
        <v>0</v>
      </c>
      <c r="W65" s="1"/>
      <c r="X65" s="1">
        <f t="shared" ref="X65:X67" si="46">+P65-T65</f>
        <v>-780.93000000000006</v>
      </c>
      <c r="Y65" s="1"/>
      <c r="Z65" s="5">
        <f t="shared" ref="Z65:Z67" si="47">IF(T65=0,0,X65/T65)</f>
        <v>-0.86770000000000003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900</v>
      </c>
      <c r="U66" s="2"/>
      <c r="V66" s="7">
        <f t="shared" si="45"/>
        <v>0</v>
      </c>
      <c r="W66" s="2"/>
      <c r="X66" s="6">
        <f t="shared" si="46"/>
        <v>-900</v>
      </c>
      <c r="Y66" s="2"/>
      <c r="Z66" s="7">
        <f t="shared" si="47"/>
        <v>-1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119.07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119.07</v>
      </c>
      <c r="Y67" s="2"/>
      <c r="Z67" s="7">
        <f t="shared" si="47"/>
        <v>0</v>
      </c>
    </row>
    <row r="68" spans="1:26" s="27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SUM(OSRRefD22_12x_0)</f>
        <v>0</v>
      </c>
      <c r="E68" s="1"/>
      <c r="F68" s="5">
        <f t="shared" ref="F68:F75" si="48">IF(D$12=0,0,D68/D$12)</f>
        <v>0</v>
      </c>
      <c r="G68" s="1"/>
      <c r="H68" s="1">
        <f>SUM(OSRRefH22_12x_0)</f>
        <v>0</v>
      </c>
      <c r="I68" s="1"/>
      <c r="J68" s="5">
        <f t="shared" ref="J68:J75" si="49">IF(H$12=0,0,H68/H$12)</f>
        <v>0</v>
      </c>
      <c r="K68" s="1"/>
      <c r="L68" s="1">
        <f t="shared" ref="L68:L75" si="50">+D68-H68</f>
        <v>0</v>
      </c>
      <c r="M68" s="1"/>
      <c r="N68" s="5">
        <f t="shared" ref="N68:N75" si="51">IF(H68=0,0,L68/H68)</f>
        <v>0</v>
      </c>
      <c r="O68" s="13"/>
      <c r="P68" s="1">
        <f>SUM(OSRRefP22_12x_0)</f>
        <v>-29102.880000000001</v>
      </c>
      <c r="Q68" s="1"/>
      <c r="R68" s="5">
        <f t="shared" ref="R68:R75" si="52">IF(P$12=0,0,P68/P$12)</f>
        <v>0</v>
      </c>
      <c r="S68" s="1"/>
      <c r="T68" s="1">
        <f>SUM(OSRRefT22_12x_0)</f>
        <v>0</v>
      </c>
      <c r="U68" s="1"/>
      <c r="V68" s="5">
        <f t="shared" ref="V68:V75" si="53">IF(T$12=0,0,T68/T$12)</f>
        <v>0</v>
      </c>
      <c r="W68" s="1"/>
      <c r="X68" s="1">
        <f t="shared" ref="X68:X75" si="54">+P68-T68</f>
        <v>-29102.880000000001</v>
      </c>
      <c r="Y68" s="1"/>
      <c r="Z68" s="5">
        <f t="shared" ref="Z68:Z75" si="55">IF(T68=0,0,X68/T68)</f>
        <v>0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6"/>
      <c r="E69" s="2"/>
      <c r="F69" s="7">
        <f t="shared" si="48"/>
        <v>0</v>
      </c>
      <c r="G69" s="2"/>
      <c r="H69" s="6"/>
      <c r="I69" s="2"/>
      <c r="J69" s="7">
        <f t="shared" si="49"/>
        <v>0</v>
      </c>
      <c r="K69" s="2"/>
      <c r="L69" s="6">
        <f t="shared" si="50"/>
        <v>0</v>
      </c>
      <c r="M69" s="2"/>
      <c r="N69" s="7">
        <f t="shared" si="51"/>
        <v>0</v>
      </c>
      <c r="O69" s="11"/>
      <c r="P69" s="6">
        <v>127.89</v>
      </c>
      <c r="Q69" s="2"/>
      <c r="R69" s="7">
        <f t="shared" si="52"/>
        <v>0</v>
      </c>
      <c r="S69" s="2"/>
      <c r="T69" s="6">
        <v>0</v>
      </c>
      <c r="U69" s="2"/>
      <c r="V69" s="7">
        <f t="shared" si="53"/>
        <v>0</v>
      </c>
      <c r="W69" s="2"/>
      <c r="X69" s="6">
        <f t="shared" si="54"/>
        <v>127.89</v>
      </c>
      <c r="Y69" s="2"/>
      <c r="Z69" s="7">
        <f t="shared" si="55"/>
        <v>0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6"/>
      <c r="E70" s="2"/>
      <c r="F70" s="7">
        <f t="shared" si="48"/>
        <v>0</v>
      </c>
      <c r="G70" s="2"/>
      <c r="H70" s="6">
        <v>0</v>
      </c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1"/>
      <c r="P70" s="6">
        <v>-30</v>
      </c>
      <c r="Q70" s="2"/>
      <c r="R70" s="7">
        <f t="shared" si="52"/>
        <v>0</v>
      </c>
      <c r="S70" s="2"/>
      <c r="T70" s="6">
        <v>0</v>
      </c>
      <c r="U70" s="2"/>
      <c r="V70" s="7">
        <f t="shared" si="53"/>
        <v>0</v>
      </c>
      <c r="W70" s="2"/>
      <c r="X70" s="6">
        <f t="shared" si="54"/>
        <v>-30</v>
      </c>
      <c r="Y70" s="2"/>
      <c r="Z70" s="7">
        <f t="shared" si="55"/>
        <v>0</v>
      </c>
    </row>
    <row r="71" spans="1:26" s="24" customFormat="1" hidden="1" outlineLevel="2" x14ac:dyDescent="0.25">
      <c r="A71" s="26"/>
      <c r="B71" s="11" t="str">
        <f>CONCATENATE("          ", "6239", " - ", "KITCHEN SUPPLIES")</f>
        <v xml:space="preserve">          6239 - KITCHEN SUPPLIES</v>
      </c>
      <c r="C71" s="11"/>
      <c r="D71" s="6"/>
      <c r="E71" s="2"/>
      <c r="F71" s="7">
        <f t="shared" si="48"/>
        <v>0</v>
      </c>
      <c r="G71" s="2"/>
      <c r="H71" s="6">
        <v>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/>
      <c r="Q71" s="2"/>
      <c r="R71" s="7">
        <f t="shared" si="52"/>
        <v>0</v>
      </c>
      <c r="S71" s="2"/>
      <c r="T71" s="6">
        <v>0</v>
      </c>
      <c r="U71" s="2"/>
      <c r="V71" s="7">
        <f t="shared" si="53"/>
        <v>0</v>
      </c>
      <c r="W71" s="2"/>
      <c r="X71" s="6">
        <f t="shared" si="54"/>
        <v>0</v>
      </c>
      <c r="Y71" s="2"/>
      <c r="Z71" s="7">
        <f t="shared" si="55"/>
        <v>0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48"/>
        <v>0</v>
      </c>
      <c r="G72" s="2"/>
      <c r="H72" s="6">
        <v>0</v>
      </c>
      <c r="I72" s="2"/>
      <c r="J72" s="7">
        <f t="shared" si="49"/>
        <v>0</v>
      </c>
      <c r="K72" s="2"/>
      <c r="L72" s="6">
        <f t="shared" si="50"/>
        <v>0</v>
      </c>
      <c r="M72" s="2"/>
      <c r="N72" s="7">
        <f t="shared" si="51"/>
        <v>0</v>
      </c>
      <c r="O72" s="11"/>
      <c r="P72" s="6">
        <v>-29200.77</v>
      </c>
      <c r="Q72" s="2"/>
      <c r="R72" s="7">
        <f t="shared" si="52"/>
        <v>0</v>
      </c>
      <c r="S72" s="2"/>
      <c r="T72" s="6">
        <v>0</v>
      </c>
      <c r="U72" s="2"/>
      <c r="V72" s="7">
        <f t="shared" si="53"/>
        <v>0</v>
      </c>
      <c r="W72" s="2"/>
      <c r="X72" s="6">
        <f t="shared" si="54"/>
        <v>-29200.77</v>
      </c>
      <c r="Y72" s="2"/>
      <c r="Z72" s="7">
        <f t="shared" si="55"/>
        <v>0</v>
      </c>
    </row>
    <row r="73" spans="1:26" s="24" customFormat="1" hidden="1" outlineLevel="2" x14ac:dyDescent="0.25">
      <c r="A73" s="26"/>
      <c r="B73" s="11" t="str">
        <f>CONCATENATE("          ", "6246", " - ", "REPLACEMENTS")</f>
        <v xml:space="preserve">          6246 - REPLACEMENTS</v>
      </c>
      <c r="C73" s="11"/>
      <c r="D73" s="6"/>
      <c r="E73" s="2"/>
      <c r="F73" s="7">
        <f t="shared" si="48"/>
        <v>0</v>
      </c>
      <c r="G73" s="2"/>
      <c r="H73" s="6">
        <v>0</v>
      </c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/>
      <c r="Q73" s="2"/>
      <c r="R73" s="7">
        <f t="shared" si="52"/>
        <v>0</v>
      </c>
      <c r="S73" s="2"/>
      <c r="T73" s="6">
        <v>0</v>
      </c>
      <c r="U73" s="2"/>
      <c r="V73" s="7">
        <f t="shared" si="53"/>
        <v>0</v>
      </c>
      <c r="W73" s="2"/>
      <c r="X73" s="6">
        <f t="shared" si="54"/>
        <v>0</v>
      </c>
      <c r="Y73" s="2"/>
      <c r="Z73" s="7">
        <f t="shared" si="55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8"/>
        <v>0</v>
      </c>
      <c r="G74" s="2"/>
      <c r="H74" s="6">
        <v>0</v>
      </c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/>
      <c r="Q74" s="2"/>
      <c r="R74" s="7">
        <f t="shared" si="52"/>
        <v>0</v>
      </c>
      <c r="S74" s="2"/>
      <c r="T74" s="6">
        <v>0</v>
      </c>
      <c r="U74" s="2"/>
      <c r="V74" s="7">
        <f t="shared" si="53"/>
        <v>0</v>
      </c>
      <c r="W74" s="2"/>
      <c r="X74" s="6">
        <f t="shared" si="54"/>
        <v>0</v>
      </c>
      <c r="Y74" s="2"/>
      <c r="Z74" s="7">
        <f t="shared" si="55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0</v>
      </c>
      <c r="U75" s="2"/>
      <c r="V75" s="7">
        <f t="shared" si="53"/>
        <v>0</v>
      </c>
      <c r="W75" s="2"/>
      <c r="X75" s="6">
        <f t="shared" si="54"/>
        <v>0</v>
      </c>
      <c r="Y75" s="2"/>
      <c r="Z75" s="7">
        <f t="shared" si="55"/>
        <v>0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245.5</v>
      </c>
      <c r="E76" s="1"/>
      <c r="F76" s="5">
        <f t="shared" ref="F76:F83" si="56">IF(D$12=0,0,D76/D$12)</f>
        <v>0</v>
      </c>
      <c r="G76" s="1"/>
      <c r="H76" s="1">
        <f>SUM(OSRRefH22_13x_0)</f>
        <v>50</v>
      </c>
      <c r="I76" s="1"/>
      <c r="J76" s="5">
        <f t="shared" ref="J76:J83" si="57">IF(H$12=0,0,H76/H$12)</f>
        <v>0</v>
      </c>
      <c r="K76" s="1"/>
      <c r="L76" s="1">
        <f t="shared" ref="L76:L83" si="58">+D76-H76</f>
        <v>195.5</v>
      </c>
      <c r="M76" s="1"/>
      <c r="N76" s="5">
        <f t="shared" ref="N76:N83" si="59">IF(H76=0,0,L76/H76)</f>
        <v>3.91</v>
      </c>
      <c r="O76" s="13"/>
      <c r="P76" s="1">
        <f>SUM(OSRRefP22_13x_0)</f>
        <v>2178.83</v>
      </c>
      <c r="Q76" s="1"/>
      <c r="R76" s="5">
        <f t="shared" ref="R76:R83" si="60">IF(P$12=0,0,P76/P$12)</f>
        <v>0</v>
      </c>
      <c r="S76" s="1"/>
      <c r="T76" s="1">
        <f>SUM(OSRRefT22_13x_0)</f>
        <v>600</v>
      </c>
      <c r="U76" s="1"/>
      <c r="V76" s="5">
        <f t="shared" ref="V76:V83" si="61">IF(T$12=0,0,T76/T$12)</f>
        <v>0</v>
      </c>
      <c r="W76" s="1"/>
      <c r="X76" s="1">
        <f t="shared" ref="X76:X83" si="62">+P76-T76</f>
        <v>1578.83</v>
      </c>
      <c r="Y76" s="1"/>
      <c r="Z76" s="5">
        <f t="shared" ref="Z76:Z83" si="63">IF(T76=0,0,X76/T76)</f>
        <v>2.6313833333333334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245.5</v>
      </c>
      <c r="E77" s="2"/>
      <c r="F77" s="7">
        <f t="shared" si="56"/>
        <v>0</v>
      </c>
      <c r="G77" s="2"/>
      <c r="H77" s="6">
        <v>50</v>
      </c>
      <c r="I77" s="2"/>
      <c r="J77" s="7">
        <f t="shared" si="57"/>
        <v>0</v>
      </c>
      <c r="K77" s="2"/>
      <c r="L77" s="6">
        <f t="shared" si="58"/>
        <v>195.5</v>
      </c>
      <c r="M77" s="2"/>
      <c r="N77" s="7">
        <f t="shared" si="59"/>
        <v>3.91</v>
      </c>
      <c r="O77" s="11"/>
      <c r="P77" s="6">
        <v>2178.83</v>
      </c>
      <c r="Q77" s="2"/>
      <c r="R77" s="7">
        <f t="shared" si="60"/>
        <v>0</v>
      </c>
      <c r="S77" s="2"/>
      <c r="T77" s="6">
        <v>600</v>
      </c>
      <c r="U77" s="2"/>
      <c r="V77" s="7">
        <f t="shared" si="61"/>
        <v>0</v>
      </c>
      <c r="W77" s="2"/>
      <c r="X77" s="6">
        <f t="shared" si="62"/>
        <v>1578.83</v>
      </c>
      <c r="Y77" s="2"/>
      <c r="Z77" s="7">
        <f t="shared" si="63"/>
        <v>2.6313833333333334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SUM(OSRRefD22_14x_0)</f>
        <v>12.99</v>
      </c>
      <c r="E78" s="1"/>
      <c r="F78" s="5">
        <f t="shared" si="56"/>
        <v>0</v>
      </c>
      <c r="G78" s="1"/>
      <c r="H78" s="1">
        <f>SUM(OSRRefH22_14x_0)</f>
        <v>0</v>
      </c>
      <c r="I78" s="1"/>
      <c r="J78" s="5">
        <f t="shared" si="57"/>
        <v>0</v>
      </c>
      <c r="K78" s="1"/>
      <c r="L78" s="1">
        <f t="shared" si="58"/>
        <v>12.99</v>
      </c>
      <c r="M78" s="1"/>
      <c r="N78" s="5">
        <f t="shared" si="59"/>
        <v>0</v>
      </c>
      <c r="O78" s="13"/>
      <c r="P78" s="1">
        <f>SUM(OSRRefP22_14x_0)</f>
        <v>12.99</v>
      </c>
      <c r="Q78" s="1"/>
      <c r="R78" s="5">
        <f t="shared" si="60"/>
        <v>0</v>
      </c>
      <c r="S78" s="1"/>
      <c r="T78" s="1">
        <f>SUM(OSRRefT22_14x_0)</f>
        <v>0</v>
      </c>
      <c r="U78" s="1"/>
      <c r="V78" s="5">
        <f t="shared" si="61"/>
        <v>0</v>
      </c>
      <c r="W78" s="1"/>
      <c r="X78" s="1">
        <f t="shared" si="62"/>
        <v>12.99</v>
      </c>
      <c r="Y78" s="1"/>
      <c r="Z78" s="5">
        <f t="shared" si="63"/>
        <v>0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>
        <v>12.99</v>
      </c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12.99</v>
      </c>
      <c r="M79" s="2"/>
      <c r="N79" s="7">
        <f t="shared" si="59"/>
        <v>0</v>
      </c>
      <c r="O79" s="11"/>
      <c r="P79" s="6">
        <v>12.99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12.99</v>
      </c>
      <c r="Y79" s="2"/>
      <c r="Z79" s="7">
        <f t="shared" si="63"/>
        <v>0</v>
      </c>
    </row>
    <row r="80" spans="1:26" s="27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SUM(OSRRefD22_15x_0)</f>
        <v>0</v>
      </c>
      <c r="E80" s="1"/>
      <c r="F80" s="5">
        <f t="shared" si="56"/>
        <v>0</v>
      </c>
      <c r="G80" s="1"/>
      <c r="H80" s="1">
        <f>SUM(OSRRefH22_15x_0)</f>
        <v>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SUM(OSRRefP22_15x_0)</f>
        <v>332.21</v>
      </c>
      <c r="Q80" s="1"/>
      <c r="R80" s="5">
        <f t="shared" si="60"/>
        <v>0</v>
      </c>
      <c r="S80" s="1"/>
      <c r="T80" s="1">
        <f>SUM(OSRRefT22_15x_0)</f>
        <v>0</v>
      </c>
      <c r="U80" s="1"/>
      <c r="V80" s="5">
        <f t="shared" si="61"/>
        <v>0</v>
      </c>
      <c r="W80" s="1"/>
      <c r="X80" s="1">
        <f t="shared" si="62"/>
        <v>332.21</v>
      </c>
      <c r="Y80" s="1"/>
      <c r="Z80" s="5">
        <f t="shared" si="63"/>
        <v>0</v>
      </c>
    </row>
    <row r="81" spans="1:26" s="24" customFormat="1" hidden="1" outlineLevel="2" x14ac:dyDescent="0.25">
      <c r="A81" s="26"/>
      <c r="B81" s="11" t="str">
        <f>CONCATENATE("          ", "6298", " - ", "VEHICLE MILEAGE")</f>
        <v xml:space="preserve">          6298 - VEHICLE MILEAGE</v>
      </c>
      <c r="C81" s="11"/>
      <c r="D81" s="6"/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0</v>
      </c>
      <c r="M81" s="2"/>
      <c r="N81" s="7">
        <f t="shared" si="59"/>
        <v>0</v>
      </c>
      <c r="O81" s="11"/>
      <c r="P81" s="6">
        <v>332.21</v>
      </c>
      <c r="Q81" s="2"/>
      <c r="R81" s="7">
        <f t="shared" si="60"/>
        <v>0</v>
      </c>
      <c r="S81" s="2"/>
      <c r="T81" s="6"/>
      <c r="U81" s="2"/>
      <c r="V81" s="7">
        <f t="shared" si="61"/>
        <v>0</v>
      </c>
      <c r="W81" s="2"/>
      <c r="X81" s="6">
        <f t="shared" si="62"/>
        <v>332.21</v>
      </c>
      <c r="Y81" s="2"/>
      <c r="Z81" s="7">
        <f t="shared" si="63"/>
        <v>0</v>
      </c>
    </row>
    <row r="82" spans="1:26" s="27" customFormat="1" outlineLevel="1" collapsed="1" x14ac:dyDescent="0.25">
      <c r="A82" s="25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SUM(OSRRefD22_16x_0)</f>
        <v>42312</v>
      </c>
      <c r="E82" s="1"/>
      <c r="F82" s="5">
        <f t="shared" si="56"/>
        <v>0</v>
      </c>
      <c r="G82" s="1"/>
      <c r="H82" s="1">
        <f>SUM(OSRRefH22_16x_0)</f>
        <v>1000</v>
      </c>
      <c r="I82" s="1"/>
      <c r="J82" s="5">
        <f t="shared" si="57"/>
        <v>0</v>
      </c>
      <c r="K82" s="1"/>
      <c r="L82" s="1">
        <f t="shared" si="58"/>
        <v>41312</v>
      </c>
      <c r="M82" s="1"/>
      <c r="N82" s="5">
        <f t="shared" si="59"/>
        <v>41.311999999999998</v>
      </c>
      <c r="O82" s="13"/>
      <c r="P82" s="1">
        <f>SUM(OSRRefP22_16x_0)</f>
        <v>33273</v>
      </c>
      <c r="Q82" s="1"/>
      <c r="R82" s="5">
        <f t="shared" si="60"/>
        <v>0</v>
      </c>
      <c r="S82" s="1"/>
      <c r="T82" s="1">
        <f>SUM(OSRRefT22_16x_0)</f>
        <v>12000</v>
      </c>
      <c r="U82" s="1"/>
      <c r="V82" s="5">
        <f t="shared" si="61"/>
        <v>0</v>
      </c>
      <c r="W82" s="1"/>
      <c r="X82" s="1">
        <f t="shared" si="62"/>
        <v>21273</v>
      </c>
      <c r="Y82" s="1"/>
      <c r="Z82" s="5">
        <f t="shared" si="63"/>
        <v>1.77275</v>
      </c>
    </row>
    <row r="83" spans="1:26" s="24" customFormat="1" hidden="1" outlineLevel="2" x14ac:dyDescent="0.25">
      <c r="A83" s="26"/>
      <c r="B83" s="11" t="str">
        <f>CONCATENATE("          ", "6274", " - ", "UTILITIES")</f>
        <v xml:space="preserve">          6274 - UTILITIES</v>
      </c>
      <c r="C83" s="11"/>
      <c r="D83" s="6">
        <v>42312</v>
      </c>
      <c r="E83" s="2"/>
      <c r="F83" s="7">
        <f t="shared" si="56"/>
        <v>0</v>
      </c>
      <c r="G83" s="2"/>
      <c r="H83" s="6">
        <v>1000</v>
      </c>
      <c r="I83" s="2"/>
      <c r="J83" s="7">
        <f t="shared" si="57"/>
        <v>0</v>
      </c>
      <c r="K83" s="2"/>
      <c r="L83" s="6">
        <f t="shared" si="58"/>
        <v>41312</v>
      </c>
      <c r="M83" s="2"/>
      <c r="N83" s="7">
        <f t="shared" si="59"/>
        <v>41.311999999999998</v>
      </c>
      <c r="O83" s="11"/>
      <c r="P83" s="6">
        <v>33273</v>
      </c>
      <c r="Q83" s="2"/>
      <c r="R83" s="7">
        <f t="shared" si="60"/>
        <v>0</v>
      </c>
      <c r="S83" s="2"/>
      <c r="T83" s="6">
        <v>12000</v>
      </c>
      <c r="U83" s="2"/>
      <c r="V83" s="7">
        <f t="shared" si="61"/>
        <v>0</v>
      </c>
      <c r="W83" s="2"/>
      <c r="X83" s="6">
        <f t="shared" si="62"/>
        <v>21273</v>
      </c>
      <c r="Y83" s="2"/>
      <c r="Z83" s="7">
        <f t="shared" si="63"/>
        <v>1.77275</v>
      </c>
    </row>
    <row r="84" spans="1:26" s="61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9" t="s">
        <v>293</v>
      </c>
      <c r="C85" s="10"/>
      <c r="D85" s="4">
        <f>SUM(OSRRefD25x_0)</f>
        <v>449.64</v>
      </c>
      <c r="E85" s="4"/>
      <c r="F85" s="12">
        <f t="shared" ref="F85:F87" si="64">IF(D$12=0,0,D85/D$12)</f>
        <v>0</v>
      </c>
      <c r="G85" s="4"/>
      <c r="H85" s="4">
        <f>SUM(OSRRefH25x_0)</f>
        <v>12000</v>
      </c>
      <c r="I85" s="4"/>
      <c r="J85" s="12">
        <f t="shared" ref="J85:J87" si="65">IF(H$12=0,0,H85/H$12)</f>
        <v>0</v>
      </c>
      <c r="K85" s="4"/>
      <c r="L85" s="4">
        <f t="shared" ref="L85:L87" si="66">+D85-H85</f>
        <v>-11550.36</v>
      </c>
      <c r="M85" s="4"/>
      <c r="N85" s="12">
        <f t="shared" ref="N85:N87" si="67">IF(H85=0,0,L85/H85)</f>
        <v>-0.96253</v>
      </c>
      <c r="O85" s="10"/>
      <c r="P85" s="4">
        <f>SUM(OSRRefP25x_0)</f>
        <v>6504.4900000000007</v>
      </c>
      <c r="Q85" s="4"/>
      <c r="R85" s="12">
        <f t="shared" ref="R85:R87" si="68">IF(P$12=0,0,P85/P$12)</f>
        <v>0</v>
      </c>
      <c r="S85" s="4"/>
      <c r="T85" s="4">
        <f>SUM(OSRRefT25x_0)</f>
        <v>12000</v>
      </c>
      <c r="U85" s="4"/>
      <c r="V85" s="12">
        <f t="shared" ref="V85:V87" si="69">IF(T$12=0,0,T85/T$12)</f>
        <v>0</v>
      </c>
      <c r="W85" s="4"/>
      <c r="X85" s="4">
        <f t="shared" ref="X85:X87" si="70">+P85-T85</f>
        <v>-5495.5099999999993</v>
      </c>
      <c r="Y85" s="4"/>
      <c r="Z85" s="12">
        <f t="shared" ref="Z85:Z87" si="71">IF(T85=0,0,X85/T85)</f>
        <v>-0.45795916666666658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>--449.64</f>
        <v>449.64</v>
      </c>
      <c r="E86" s="2"/>
      <c r="F86" s="19">
        <f t="shared" si="64"/>
        <v>0</v>
      </c>
      <c r="G86" s="2"/>
      <c r="H86" s="2">
        <v>12000</v>
      </c>
      <c r="I86" s="2"/>
      <c r="J86" s="19">
        <f t="shared" si="65"/>
        <v>0</v>
      </c>
      <c r="K86" s="2"/>
      <c r="L86" s="2">
        <f t="shared" si="66"/>
        <v>-11550.36</v>
      </c>
      <c r="M86" s="2"/>
      <c r="N86" s="19">
        <f t="shared" si="67"/>
        <v>-0.96253</v>
      </c>
      <c r="O86" s="11"/>
      <c r="P86" s="2">
        <f>--5688.14</f>
        <v>5688.14</v>
      </c>
      <c r="Q86" s="2"/>
      <c r="R86" s="19">
        <f t="shared" si="68"/>
        <v>0</v>
      </c>
      <c r="S86" s="2"/>
      <c r="T86" s="2">
        <v>12000</v>
      </c>
      <c r="U86" s="2"/>
      <c r="V86" s="19">
        <f t="shared" si="69"/>
        <v>0</v>
      </c>
      <c r="W86" s="2"/>
      <c r="X86" s="2">
        <f t="shared" si="70"/>
        <v>-6311.86</v>
      </c>
      <c r="Y86" s="2"/>
      <c r="Z86" s="19">
        <f t="shared" si="71"/>
        <v>-0.52598833333333328</v>
      </c>
    </row>
    <row r="87" spans="1:26" s="24" customFormat="1" hidden="1" outlineLevel="1" x14ac:dyDescent="0.25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64"/>
        <v>0</v>
      </c>
      <c r="G87" s="2"/>
      <c r="H87" s="2"/>
      <c r="I87" s="2"/>
      <c r="J87" s="19">
        <f t="shared" si="65"/>
        <v>0</v>
      </c>
      <c r="K87" s="2"/>
      <c r="L87" s="2">
        <f t="shared" si="66"/>
        <v>0</v>
      </c>
      <c r="M87" s="2"/>
      <c r="N87" s="19">
        <f t="shared" si="67"/>
        <v>0</v>
      </c>
      <c r="O87" s="11"/>
      <c r="P87" s="2">
        <f>--816.35</f>
        <v>816.35</v>
      </c>
      <c r="Q87" s="2"/>
      <c r="R87" s="19">
        <f t="shared" si="68"/>
        <v>0</v>
      </c>
      <c r="S87" s="2"/>
      <c r="T87" s="2"/>
      <c r="U87" s="2"/>
      <c r="V87" s="19">
        <f t="shared" si="69"/>
        <v>0</v>
      </c>
      <c r="W87" s="2"/>
      <c r="X87" s="2">
        <f t="shared" si="70"/>
        <v>816.35</v>
      </c>
      <c r="Y87" s="2"/>
      <c r="Z87" s="19">
        <f t="shared" si="71"/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8" t="s">
        <v>277</v>
      </c>
      <c r="C89" s="28"/>
      <c r="D89" s="20">
        <f>+D16-D18+D85</f>
        <v>-102735.59</v>
      </c>
      <c r="E89" s="14"/>
      <c r="F89" s="22">
        <f>IF(D$12=0,0,D89/D$12)</f>
        <v>0</v>
      </c>
      <c r="G89" s="14"/>
      <c r="H89" s="20">
        <f>+H16-H18+H85</f>
        <v>-4972.461538461539</v>
      </c>
      <c r="I89" s="14"/>
      <c r="J89" s="22">
        <f>IF(H$12=0,0,H89/H$12)</f>
        <v>0</v>
      </c>
      <c r="K89" s="16"/>
      <c r="L89" s="20">
        <f>+D89-H89</f>
        <v>-97763.128461538465</v>
      </c>
      <c r="M89" s="16"/>
      <c r="N89" s="22">
        <f>IF(H89=0,0,L89/H89)</f>
        <v>19.660911945793753</v>
      </c>
      <c r="O89" s="29"/>
      <c r="P89" s="20">
        <f>+P16-P18+P85</f>
        <v>-427660.35000000003</v>
      </c>
      <c r="Q89" s="14"/>
      <c r="R89" s="22">
        <f>IF(P$12=0,0,P89/P$12)</f>
        <v>0</v>
      </c>
      <c r="S89" s="14"/>
      <c r="T89" s="20">
        <f>+T16-T18+T85</f>
        <v>-202092</v>
      </c>
      <c r="U89" s="14"/>
      <c r="V89" s="22">
        <f>IF(T$12=0,0,T89/T$12)</f>
        <v>0</v>
      </c>
      <c r="W89" s="16"/>
      <c r="X89" s="20">
        <f>+P89-T89</f>
        <v>-225568.35000000003</v>
      </c>
      <c r="Y89" s="16"/>
      <c r="Z89" s="22">
        <f>IF(T89=0,0,X89/T89)</f>
        <v>1.1161666468737013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126</v>
      </c>
      <c r="C93" s="28"/>
      <c r="D93" s="34">
        <f>+D89-D91</f>
        <v>-102735.59</v>
      </c>
      <c r="E93" s="14"/>
      <c r="F93" s="35">
        <f>IF(D$12=0,0,D93/D$12)</f>
        <v>0</v>
      </c>
      <c r="G93" s="14"/>
      <c r="H93" s="34">
        <f>+H89-H91</f>
        <v>-4972.461538461539</v>
      </c>
      <c r="I93" s="14"/>
      <c r="J93" s="35">
        <f>IF(H$12=0,0,H93/H$12)</f>
        <v>0</v>
      </c>
      <c r="K93" s="16"/>
      <c r="L93" s="34">
        <f>D93-H93</f>
        <v>-97763.128461538465</v>
      </c>
      <c r="M93" s="16"/>
      <c r="N93" s="35">
        <f>IF(H93=0,0,L93/H93)</f>
        <v>19.660911945793753</v>
      </c>
      <c r="O93" s="29"/>
      <c r="P93" s="34">
        <f>+P89-P91</f>
        <v>-427660.35000000003</v>
      </c>
      <c r="Q93" s="14"/>
      <c r="R93" s="35">
        <f>IF(P$12=0,0,P93/P$12)</f>
        <v>0</v>
      </c>
      <c r="S93" s="14"/>
      <c r="T93" s="34">
        <f>+T89-T91</f>
        <v>-202092</v>
      </c>
      <c r="U93" s="14"/>
      <c r="V93" s="35">
        <f>IF(T$12=0,0,T93/T$12)</f>
        <v>0</v>
      </c>
      <c r="W93" s="16"/>
      <c r="X93" s="34">
        <f>P93-T93</f>
        <v>-225568.35000000003</v>
      </c>
      <c r="Y93" s="16"/>
      <c r="Z93" s="35">
        <f>IF(T93=0,0,X93/T93)</f>
        <v>1.1161666468737013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294</v>
      </c>
      <c r="C96" s="28"/>
      <c r="D96" s="33">
        <f>SUM(D93:D95)</f>
        <v>-102735.59</v>
      </c>
      <c r="E96" s="14"/>
      <c r="F96" s="31">
        <f>IF(D$12=0,0,D96/D$12)</f>
        <v>0</v>
      </c>
      <c r="G96" s="14"/>
      <c r="H96" s="33">
        <f>SUM(H93:H95)</f>
        <v>-4972.461538461539</v>
      </c>
      <c r="I96" s="14"/>
      <c r="J96" s="31">
        <f>IF(H$12=0,0,H96/H$12)</f>
        <v>0</v>
      </c>
      <c r="K96" s="16"/>
      <c r="L96" s="33">
        <f>+D96-H96</f>
        <v>-97763.128461538465</v>
      </c>
      <c r="M96" s="16"/>
      <c r="N96" s="31">
        <f>IF(H96=0,0,L96/H96)</f>
        <v>19.660911945793753</v>
      </c>
      <c r="O96" s="29"/>
      <c r="P96" s="33">
        <f>SUM(P93:P95)</f>
        <v>-427660.35000000003</v>
      </c>
      <c r="Q96" s="14"/>
      <c r="R96" s="31">
        <f>IF(P$12=0,0,P96/P$12)</f>
        <v>0</v>
      </c>
      <c r="S96" s="14"/>
      <c r="T96" s="33">
        <f>SUM(T93:T95)</f>
        <v>-202092</v>
      </c>
      <c r="U96" s="14"/>
      <c r="V96" s="31">
        <f>IF(T$12=0,0,T96/T$12)</f>
        <v>0</v>
      </c>
      <c r="W96" s="16"/>
      <c r="X96" s="33">
        <f>+P96-T96</f>
        <v>-225568.35000000003</v>
      </c>
      <c r="Y96" s="16"/>
      <c r="Z96" s="31">
        <f>IF(T96=0,0,X96/T96)</f>
        <v>1.1161666468737013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6">
        <v>44454.686112384261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5" t="s">
        <v>56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63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D12-D15</f>
        <v>0</v>
      </c>
      <c r="E18" s="14"/>
      <c r="F18" s="22">
        <f>IF(D$12=0,0,D18/D$12)</f>
        <v>0</v>
      </c>
      <c r="G18" s="14"/>
      <c r="H18" s="20">
        <f>H12-H15</f>
        <v>0</v>
      </c>
      <c r="I18" s="14"/>
      <c r="J18" s="22">
        <f>IF(H$12=0,0,H18/H$12)</f>
        <v>0</v>
      </c>
      <c r="K18" s="16"/>
      <c r="L18" s="20">
        <f>+D18-H18</f>
        <v>0</v>
      </c>
      <c r="M18" s="16"/>
      <c r="N18" s="22">
        <f>IF(H18=0,0,L18/H18)</f>
        <v>0</v>
      </c>
      <c r="O18" s="29"/>
      <c r="P18" s="20">
        <f>P12-P15</f>
        <v>0</v>
      </c>
      <c r="Q18" s="14"/>
      <c r="R18" s="22">
        <f>IF(P$12=0,0,P18/P$12)</f>
        <v>0</v>
      </c>
      <c r="S18" s="14"/>
      <c r="T18" s="20">
        <f>T12-T15</f>
        <v>0</v>
      </c>
      <c r="U18" s="14"/>
      <c r="V18" s="22">
        <f>IF(T$12=0,0,T18/T$12)</f>
        <v>0</v>
      </c>
      <c r="W18" s="16"/>
      <c r="X18" s="20">
        <f>+P18-T18</f>
        <v>0</v>
      </c>
      <c r="Y18" s="16"/>
      <c r="Z18" s="22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>
        <f>SUM(OSRRefD22x_0)</f>
        <v>-374.88</v>
      </c>
      <c r="E20" s="21"/>
      <c r="F20" s="30">
        <f t="shared" ref="F20:F29" si="12">IF(D$12=0,0,D20/D$12)</f>
        <v>0</v>
      </c>
      <c r="G20" s="21"/>
      <c r="H20" s="21">
        <f>SUM(OSRRefH22x_0)</f>
        <v>848</v>
      </c>
      <c r="I20" s="21"/>
      <c r="J20" s="30">
        <f t="shared" ref="J20:J29" si="13">IF(H$12=0,0,H20/H$12)</f>
        <v>0</v>
      </c>
      <c r="K20" s="4"/>
      <c r="L20" s="21">
        <f t="shared" ref="L20:L29" si="14">+D20-H20</f>
        <v>-1222.8800000000001</v>
      </c>
      <c r="M20" s="4"/>
      <c r="N20" s="30">
        <f t="shared" ref="N20:N29" si="15">IF(H20=0,0,L20/H20)</f>
        <v>-1.4420754716981132</v>
      </c>
      <c r="O20" s="10"/>
      <c r="P20" s="21">
        <f>SUM(OSRRefP22x_0)</f>
        <v>8802.0500000000011</v>
      </c>
      <c r="Q20" s="21"/>
      <c r="R20" s="30">
        <f t="shared" ref="R20:R29" si="16">IF(P$12=0,0,P20/P$12)</f>
        <v>0</v>
      </c>
      <c r="S20" s="21"/>
      <c r="T20" s="21">
        <f>SUM(OSRRefT22x_0)</f>
        <v>10176</v>
      </c>
      <c r="U20" s="21"/>
      <c r="V20" s="30">
        <f t="shared" ref="V20:V29" si="17">IF(T$12=0,0,T20/T$12)</f>
        <v>0</v>
      </c>
      <c r="W20" s="4"/>
      <c r="X20" s="21">
        <f t="shared" ref="X20:X29" si="18">+P20-T20</f>
        <v>-1373.9499999999989</v>
      </c>
      <c r="Y20" s="4"/>
      <c r="Z20" s="30">
        <f t="shared" ref="Z20:Z29" si="19">IF(T20=0,0,X20/T20)</f>
        <v>-0.1350186713836477</v>
      </c>
    </row>
    <row r="21" spans="1:26" s="27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3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577.49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-270.51</v>
      </c>
      <c r="M45" s="1"/>
      <c r="N45" s="5">
        <f t="shared" si="31"/>
        <v>-0.31899764150943394</v>
      </c>
      <c r="O45" s="13"/>
      <c r="P45" s="1">
        <f>SUM(OSRRefP22_4x_0)</f>
        <v>7267.44</v>
      </c>
      <c r="Q45" s="1"/>
      <c r="R45" s="5">
        <f t="shared" si="32"/>
        <v>0</v>
      </c>
      <c r="S45" s="1"/>
      <c r="T45" s="1">
        <f>SUM(OSRRefT22_4x_0)</f>
        <v>10176</v>
      </c>
      <c r="U45" s="1"/>
      <c r="V45" s="5">
        <f t="shared" si="33"/>
        <v>0</v>
      </c>
      <c r="W45" s="1"/>
      <c r="X45" s="1">
        <f t="shared" si="34"/>
        <v>-2908.5600000000004</v>
      </c>
      <c r="Y45" s="1"/>
      <c r="Z45" s="5">
        <f t="shared" si="35"/>
        <v>-0.28582547169811323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577.49</v>
      </c>
      <c r="E46" s="2"/>
      <c r="F46" s="7">
        <f t="shared" si="28"/>
        <v>0</v>
      </c>
      <c r="G46" s="2"/>
      <c r="H46" s="6">
        <v>298</v>
      </c>
      <c r="I46" s="2"/>
      <c r="J46" s="7">
        <f t="shared" si="29"/>
        <v>0</v>
      </c>
      <c r="K46" s="2"/>
      <c r="L46" s="6">
        <f t="shared" si="30"/>
        <v>279.49</v>
      </c>
      <c r="M46" s="2"/>
      <c r="N46" s="7">
        <f t="shared" si="31"/>
        <v>0.93788590604026845</v>
      </c>
      <c r="O46" s="11"/>
      <c r="P46" s="6">
        <v>7267.44</v>
      </c>
      <c r="Q46" s="2"/>
      <c r="R46" s="7">
        <f t="shared" si="32"/>
        <v>0</v>
      </c>
      <c r="S46" s="2"/>
      <c r="T46" s="6">
        <v>3576</v>
      </c>
      <c r="U46" s="2"/>
      <c r="V46" s="7">
        <f t="shared" si="33"/>
        <v>0</v>
      </c>
      <c r="W46" s="2"/>
      <c r="X46" s="6">
        <f t="shared" si="34"/>
        <v>3691.4399999999996</v>
      </c>
      <c r="Y46" s="2"/>
      <c r="Z46" s="7">
        <f t="shared" si="35"/>
        <v>1.0322818791946307</v>
      </c>
    </row>
    <row r="47" spans="1:26" s="24" customFormat="1" hidden="1" outlineLevel="2" x14ac:dyDescent="0.25">
      <c r="A47" s="26"/>
      <c r="B47" s="11" t="str">
        <f>CONCATENATE("          ", "6326", " - ", "VEHICLES DEPRECIATION EXPENSE")</f>
        <v xml:space="preserve">          6326 - VEHICLES DEPRECIATION EXPENSE</v>
      </c>
      <c r="C47" s="11"/>
      <c r="D47" s="6"/>
      <c r="E47" s="2"/>
      <c r="F47" s="7">
        <f t="shared" si="28"/>
        <v>0</v>
      </c>
      <c r="G47" s="2"/>
      <c r="H47" s="6">
        <v>550</v>
      </c>
      <c r="I47" s="2"/>
      <c r="J47" s="7">
        <f t="shared" si="29"/>
        <v>0</v>
      </c>
      <c r="K47" s="2"/>
      <c r="L47" s="6">
        <f t="shared" si="30"/>
        <v>-550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6600</v>
      </c>
      <c r="U47" s="2"/>
      <c r="V47" s="7">
        <f t="shared" si="33"/>
        <v>0</v>
      </c>
      <c r="W47" s="2"/>
      <c r="X47" s="6">
        <f t="shared" si="34"/>
        <v>-6600</v>
      </c>
      <c r="Y47" s="2"/>
      <c r="Z47" s="7">
        <f t="shared" si="35"/>
        <v>-1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3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0</v>
      </c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/>
      <c r="Q49" s="2"/>
      <c r="R49" s="7">
        <f t="shared" si="40"/>
        <v>0</v>
      </c>
      <c r="S49" s="2"/>
      <c r="T49" s="6">
        <v>0</v>
      </c>
      <c r="U49" s="2"/>
      <c r="V49" s="7">
        <f t="shared" si="41"/>
        <v>0</v>
      </c>
      <c r="W49" s="2"/>
      <c r="X49" s="6">
        <f t="shared" si="42"/>
        <v>0</v>
      </c>
      <c r="Y49" s="2"/>
      <c r="Z49" s="7">
        <f t="shared" si="43"/>
        <v>0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6"/>
        <v>0</v>
      </c>
      <c r="G51" s="2"/>
      <c r="H51" s="6">
        <v>0</v>
      </c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>
        <v>16.239999999999998</v>
      </c>
      <c r="Q51" s="2"/>
      <c r="R51" s="7">
        <f t="shared" si="40"/>
        <v>0</v>
      </c>
      <c r="S51" s="2"/>
      <c r="T51" s="6">
        <v>0</v>
      </c>
      <c r="U51" s="2"/>
      <c r="V51" s="7">
        <f t="shared" si="41"/>
        <v>0</v>
      </c>
      <c r="W51" s="2"/>
      <c r="X51" s="6">
        <f t="shared" si="42"/>
        <v>16.239999999999998</v>
      </c>
      <c r="Y51" s="2"/>
      <c r="Z51" s="7">
        <f t="shared" si="43"/>
        <v>0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0</v>
      </c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0</v>
      </c>
      <c r="U53" s="2"/>
      <c r="V53" s="7">
        <f t="shared" si="41"/>
        <v>0</v>
      </c>
      <c r="W53" s="2"/>
      <c r="X53" s="6">
        <f t="shared" si="42"/>
        <v>0</v>
      </c>
      <c r="Y53" s="2"/>
      <c r="Z53" s="7">
        <f t="shared" si="43"/>
        <v>0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60.43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60.43</v>
      </c>
      <c r="M54" s="1"/>
      <c r="N54" s="5">
        <f t="shared" si="39"/>
        <v>0</v>
      </c>
      <c r="O54" s="13"/>
      <c r="P54" s="1">
        <f>SUM(OSRRefP22_8x_0)</f>
        <v>1737.5600000000002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1737.5600000000002</v>
      </c>
      <c r="Y54" s="1"/>
      <c r="Z54" s="5">
        <f t="shared" si="43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60.43</v>
      </c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60.43</v>
      </c>
      <c r="M55" s="2"/>
      <c r="N55" s="7">
        <f t="shared" si="39"/>
        <v>0</v>
      </c>
      <c r="O55" s="11"/>
      <c r="P55" s="6">
        <v>399.43</v>
      </c>
      <c r="Q55" s="2"/>
      <c r="R55" s="7">
        <f t="shared" si="40"/>
        <v>0</v>
      </c>
      <c r="S55" s="2"/>
      <c r="T55" s="6">
        <v>0</v>
      </c>
      <c r="U55" s="2"/>
      <c r="V55" s="7">
        <f t="shared" si="41"/>
        <v>0</v>
      </c>
      <c r="W55" s="2"/>
      <c r="X55" s="6">
        <f t="shared" si="42"/>
        <v>399.43</v>
      </c>
      <c r="Y55" s="2"/>
      <c r="Z55" s="7">
        <f t="shared" si="43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1338.13</v>
      </c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1338.13</v>
      </c>
      <c r="Y56" s="2"/>
      <c r="Z56" s="7">
        <f t="shared" si="43"/>
        <v>0</v>
      </c>
    </row>
    <row r="57" spans="1:26" s="27" customFormat="1" outlineLevel="1" collapsed="1" x14ac:dyDescent="0.25">
      <c r="A57" s="25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3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6"/>
      <c r="B58" s="11" t="str">
        <f>CONCATENATE("          ", "6254", " - ", "ROYALTY &amp; COMMISSIONS")</f>
        <v xml:space="preserve">          6254 - ROYALTY &amp; COMMISSIONS</v>
      </c>
      <c r="C58" s="11"/>
      <c r="D58" s="6"/>
      <c r="E58" s="2"/>
      <c r="F58" s="7">
        <f t="shared" si="44"/>
        <v>0</v>
      </c>
      <c r="G58" s="2"/>
      <c r="H58" s="6">
        <v>0</v>
      </c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0</v>
      </c>
      <c r="U58" s="2"/>
      <c r="V58" s="7">
        <f t="shared" si="49"/>
        <v>0</v>
      </c>
      <c r="W58" s="2"/>
      <c r="X58" s="6">
        <f t="shared" si="50"/>
        <v>0</v>
      </c>
      <c r="Y58" s="2"/>
      <c r="Z58" s="7">
        <f t="shared" si="51"/>
        <v>0</v>
      </c>
    </row>
    <row r="59" spans="1:26" s="27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3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4"/>
        <v>0</v>
      </c>
      <c r="G60" s="2"/>
      <c r="H60" s="6">
        <v>0</v>
      </c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0</v>
      </c>
      <c r="U60" s="2"/>
      <c r="V60" s="7">
        <f t="shared" si="49"/>
        <v>0</v>
      </c>
      <c r="W60" s="2"/>
      <c r="X60" s="6">
        <f t="shared" si="50"/>
        <v>0</v>
      </c>
      <c r="Y60" s="2"/>
      <c r="Z60" s="7">
        <f t="shared" si="51"/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44"/>
        <v>0</v>
      </c>
      <c r="G62" s="2"/>
      <c r="H62" s="6">
        <v>0</v>
      </c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4"/>
        <v>0</v>
      </c>
      <c r="G63" s="2"/>
      <c r="H63" s="6">
        <v>0</v>
      </c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320.58</v>
      </c>
      <c r="Q63" s="2"/>
      <c r="R63" s="7">
        <f t="shared" si="48"/>
        <v>0</v>
      </c>
      <c r="S63" s="2"/>
      <c r="T63" s="6">
        <v>0</v>
      </c>
      <c r="U63" s="2"/>
      <c r="V63" s="7">
        <f t="shared" si="49"/>
        <v>0</v>
      </c>
      <c r="W63" s="2"/>
      <c r="X63" s="6">
        <f t="shared" si="50"/>
        <v>320.58</v>
      </c>
      <c r="Y63" s="2"/>
      <c r="Z63" s="7">
        <f t="shared" si="51"/>
        <v>0</v>
      </c>
    </row>
    <row r="64" spans="1:26" s="27" customFormat="1" outlineLevel="1" collapsed="1" x14ac:dyDescent="0.25">
      <c r="A64" s="25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-1048.8</v>
      </c>
      <c r="E64" s="1"/>
      <c r="F64" s="5">
        <f t="shared" ref="F64:F70" si="52">IF(D$12=0,0,D64/D$12)</f>
        <v>0</v>
      </c>
      <c r="G64" s="1"/>
      <c r="H64" s="1">
        <f>SUM(OSRRefH22_11x_0)</f>
        <v>0</v>
      </c>
      <c r="I64" s="1"/>
      <c r="J64" s="5">
        <f t="shared" ref="J64:J70" si="53">IF(H$12=0,0,H64/H$12)</f>
        <v>0</v>
      </c>
      <c r="K64" s="1"/>
      <c r="L64" s="1">
        <f t="shared" ref="L64:L70" si="54">+D64-H64</f>
        <v>-1048.8</v>
      </c>
      <c r="M64" s="1"/>
      <c r="N64" s="5">
        <f t="shared" ref="N64:N70" si="55">IF(H64=0,0,L64/H64)</f>
        <v>0</v>
      </c>
      <c r="O64" s="13"/>
      <c r="P64" s="1">
        <f>SUM(OSRRefP22_11x_0)</f>
        <v>-1048.8</v>
      </c>
      <c r="Q64" s="1"/>
      <c r="R64" s="5">
        <f t="shared" ref="R64:R70" si="56">IF(P$12=0,0,P64/P$12)</f>
        <v>0</v>
      </c>
      <c r="S64" s="1"/>
      <c r="T64" s="1">
        <f>SUM(OSRRefT22_11x_0)</f>
        <v>0</v>
      </c>
      <c r="U64" s="1"/>
      <c r="V64" s="5">
        <f t="shared" ref="V64:V70" si="57">IF(T$12=0,0,T64/T$12)</f>
        <v>0</v>
      </c>
      <c r="W64" s="1"/>
      <c r="X64" s="1">
        <f t="shared" ref="X64:X70" si="58">+P64-T64</f>
        <v>-1048.8</v>
      </c>
      <c r="Y64" s="1"/>
      <c r="Z64" s="5">
        <f t="shared" ref="Z64:Z70" si="59">IF(T64=0,0,X64/T64)</f>
        <v>0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>
        <v>-1048.8</v>
      </c>
      <c r="E65" s="2"/>
      <c r="F65" s="7">
        <f t="shared" si="52"/>
        <v>0</v>
      </c>
      <c r="G65" s="2"/>
      <c r="H65" s="6"/>
      <c r="I65" s="2"/>
      <c r="J65" s="7">
        <f t="shared" si="53"/>
        <v>0</v>
      </c>
      <c r="K65" s="2"/>
      <c r="L65" s="6">
        <f t="shared" si="54"/>
        <v>-1048.8</v>
      </c>
      <c r="M65" s="2"/>
      <c r="N65" s="7">
        <f t="shared" si="55"/>
        <v>0</v>
      </c>
      <c r="O65" s="11"/>
      <c r="P65" s="6">
        <v>-1048.8</v>
      </c>
      <c r="Q65" s="2"/>
      <c r="R65" s="7">
        <f t="shared" si="56"/>
        <v>0</v>
      </c>
      <c r="S65" s="2"/>
      <c r="T65" s="6"/>
      <c r="U65" s="2"/>
      <c r="V65" s="7">
        <f t="shared" si="57"/>
        <v>0</v>
      </c>
      <c r="W65" s="2"/>
      <c r="X65" s="6">
        <f t="shared" si="58"/>
        <v>-1048.8</v>
      </c>
      <c r="Y65" s="2"/>
      <c r="Z65" s="7">
        <f t="shared" si="59"/>
        <v>0</v>
      </c>
    </row>
    <row r="66" spans="1:26" s="24" customFormat="1" hidden="1" outlineLevel="2" x14ac:dyDescent="0.25">
      <c r="A66" s="26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52"/>
        <v>0</v>
      </c>
      <c r="G67" s="2"/>
      <c r="H67" s="6">
        <v>0</v>
      </c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/>
      <c r="Q67" s="2"/>
      <c r="R67" s="7">
        <f t="shared" si="56"/>
        <v>0</v>
      </c>
      <c r="S67" s="2"/>
      <c r="T67" s="6">
        <v>0</v>
      </c>
      <c r="U67" s="2"/>
      <c r="V67" s="7">
        <f t="shared" si="57"/>
        <v>0</v>
      </c>
      <c r="W67" s="2"/>
      <c r="X67" s="6">
        <f t="shared" si="58"/>
        <v>0</v>
      </c>
      <c r="Y67" s="2"/>
      <c r="Z67" s="7">
        <f t="shared" si="59"/>
        <v>0</v>
      </c>
    </row>
    <row r="68" spans="1:26" s="24" customFormat="1" hidden="1" outlineLevel="2" x14ac:dyDescent="0.25">
      <c r="A68" s="26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52"/>
        <v>0</v>
      </c>
      <c r="G68" s="2"/>
      <c r="H68" s="6">
        <v>0</v>
      </c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/>
      <c r="Q68" s="2"/>
      <c r="R68" s="7">
        <f t="shared" si="56"/>
        <v>0</v>
      </c>
      <c r="S68" s="2"/>
      <c r="T68" s="6">
        <v>0</v>
      </c>
      <c r="U68" s="2"/>
      <c r="V68" s="7">
        <f t="shared" si="57"/>
        <v>0</v>
      </c>
      <c r="W68" s="2"/>
      <c r="X68" s="6">
        <f t="shared" si="58"/>
        <v>0</v>
      </c>
      <c r="Y68" s="2"/>
      <c r="Z68" s="7">
        <f t="shared" si="59"/>
        <v>0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6"/>
      <c r="E69" s="2"/>
      <c r="F69" s="7">
        <f t="shared" si="52"/>
        <v>0</v>
      </c>
      <c r="G69" s="2"/>
      <c r="H69" s="6">
        <v>0</v>
      </c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/>
      <c r="Q69" s="2"/>
      <c r="R69" s="7">
        <f t="shared" si="56"/>
        <v>0</v>
      </c>
      <c r="S69" s="2"/>
      <c r="T69" s="6">
        <v>0</v>
      </c>
      <c r="U69" s="2"/>
      <c r="V69" s="7">
        <f t="shared" si="57"/>
        <v>0</v>
      </c>
      <c r="W69" s="2"/>
      <c r="X69" s="6">
        <f t="shared" si="58"/>
        <v>0</v>
      </c>
      <c r="Y69" s="2"/>
      <c r="Z69" s="7">
        <f t="shared" si="59"/>
        <v>0</v>
      </c>
    </row>
    <row r="70" spans="1:26" s="24" customFormat="1" hidden="1" outlineLevel="2" x14ac:dyDescent="0.25">
      <c r="A70" s="26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/>
      <c r="Q70" s="2"/>
      <c r="R70" s="7">
        <f t="shared" si="56"/>
        <v>0</v>
      </c>
      <c r="S70" s="2"/>
      <c r="T70" s="6">
        <v>0</v>
      </c>
      <c r="U70" s="2"/>
      <c r="V70" s="7">
        <f t="shared" si="57"/>
        <v>0</v>
      </c>
      <c r="W70" s="2"/>
      <c r="X70" s="6">
        <f t="shared" si="58"/>
        <v>0</v>
      </c>
      <c r="Y70" s="2"/>
      <c r="Z70" s="7">
        <f t="shared" si="59"/>
        <v>0</v>
      </c>
    </row>
    <row r="71" spans="1:26" s="27" customFormat="1" outlineLevel="1" collapsed="1" x14ac:dyDescent="0.25">
      <c r="A71" s="25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SUM(OSRRefD22_12x_0)</f>
        <v>36</v>
      </c>
      <c r="E71" s="1"/>
      <c r="F71" s="5">
        <f t="shared" ref="F71:F73" si="60">IF(D$12=0,0,D71/D$12)</f>
        <v>0</v>
      </c>
      <c r="G71" s="1"/>
      <c r="H71" s="1">
        <f>SUM(OSRRefH22_12x_0)</f>
        <v>0</v>
      </c>
      <c r="I71" s="1"/>
      <c r="J71" s="5">
        <f t="shared" ref="J71:J73" si="61">IF(H$12=0,0,H71/H$12)</f>
        <v>0</v>
      </c>
      <c r="K71" s="1"/>
      <c r="L71" s="1">
        <f t="shared" ref="L71:L73" si="62">+D71-H71</f>
        <v>36</v>
      </c>
      <c r="M71" s="1"/>
      <c r="N71" s="5">
        <f t="shared" ref="N71:N73" si="63">IF(H71=0,0,L71/H71)</f>
        <v>0</v>
      </c>
      <c r="O71" s="13"/>
      <c r="P71" s="1">
        <f>SUM(OSRRefP22_12x_0)</f>
        <v>509.03</v>
      </c>
      <c r="Q71" s="1"/>
      <c r="R71" s="5">
        <f t="shared" ref="R71:R73" si="64">IF(P$12=0,0,P71/P$12)</f>
        <v>0</v>
      </c>
      <c r="S71" s="1"/>
      <c r="T71" s="1">
        <f>SUM(OSRRefT22_12x_0)</f>
        <v>0</v>
      </c>
      <c r="U71" s="1"/>
      <c r="V71" s="5">
        <f t="shared" ref="V71:V73" si="65">IF(T$12=0,0,T71/T$12)</f>
        <v>0</v>
      </c>
      <c r="W71" s="1"/>
      <c r="X71" s="1">
        <f t="shared" ref="X71:X73" si="66">+P71-T71</f>
        <v>509.03</v>
      </c>
      <c r="Y71" s="1"/>
      <c r="Z71" s="5">
        <f t="shared" ref="Z71:Z73" si="67">IF(T71=0,0,X71/T71)</f>
        <v>0</v>
      </c>
    </row>
    <row r="72" spans="1:26" s="24" customFormat="1" hidden="1" outlineLevel="2" x14ac:dyDescent="0.25">
      <c r="A72" s="26"/>
      <c r="B72" s="11" t="str">
        <f>CONCATENATE("          ", "6303", " - ", "DATA PHONE LINES")</f>
        <v xml:space="preserve">          6303 - DATA PHONE LINES</v>
      </c>
      <c r="C72" s="11"/>
      <c r="D72" s="6"/>
      <c r="E72" s="2"/>
      <c r="F72" s="7">
        <f t="shared" si="60"/>
        <v>0</v>
      </c>
      <c r="G72" s="2"/>
      <c r="H72" s="6">
        <v>0</v>
      </c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/>
      <c r="Q72" s="2"/>
      <c r="R72" s="7">
        <f t="shared" si="64"/>
        <v>0</v>
      </c>
      <c r="S72" s="2"/>
      <c r="T72" s="6">
        <v>0</v>
      </c>
      <c r="U72" s="2"/>
      <c r="V72" s="7">
        <f t="shared" si="65"/>
        <v>0</v>
      </c>
      <c r="W72" s="2"/>
      <c r="X72" s="6">
        <f t="shared" si="66"/>
        <v>0</v>
      </c>
      <c r="Y72" s="2"/>
      <c r="Z72" s="7">
        <f t="shared" si="67"/>
        <v>0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36</v>
      </c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36</v>
      </c>
      <c r="M73" s="2"/>
      <c r="N73" s="7">
        <f t="shared" si="63"/>
        <v>0</v>
      </c>
      <c r="O73" s="11"/>
      <c r="P73" s="6">
        <v>509.03</v>
      </c>
      <c r="Q73" s="2"/>
      <c r="R73" s="7">
        <f t="shared" si="64"/>
        <v>0</v>
      </c>
      <c r="S73" s="2"/>
      <c r="T73" s="6"/>
      <c r="U73" s="2"/>
      <c r="V73" s="7">
        <f t="shared" si="65"/>
        <v>0</v>
      </c>
      <c r="W73" s="2"/>
      <c r="X73" s="6">
        <f t="shared" si="66"/>
        <v>509.03</v>
      </c>
      <c r="Y73" s="2"/>
      <c r="Z73" s="7">
        <f t="shared" si="67"/>
        <v>0</v>
      </c>
    </row>
    <row r="74" spans="1:26" s="27" customFormat="1" outlineLevel="1" collapsed="1" x14ac:dyDescent="0.25">
      <c r="A74" s="25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0</v>
      </c>
      <c r="E74" s="1"/>
      <c r="F74" s="5">
        <f t="shared" ref="F74:F75" si="68">IF(D$12=0,0,D74/D$12)</f>
        <v>0</v>
      </c>
      <c r="G74" s="1"/>
      <c r="H74" s="1">
        <f>SUM(OSRRefH22_13x_0)</f>
        <v>0</v>
      </c>
      <c r="I74" s="1"/>
      <c r="J74" s="5">
        <f t="shared" ref="J74:J75" si="69">IF(H$12=0,0,H74/H$12)</f>
        <v>0</v>
      </c>
      <c r="K74" s="1"/>
      <c r="L74" s="1">
        <f t="shared" ref="L74:L75" si="70">+D74-H74</f>
        <v>0</v>
      </c>
      <c r="M74" s="1"/>
      <c r="N74" s="5">
        <f t="shared" ref="N74:N75" si="71">IF(H74=0,0,L74/H74)</f>
        <v>0</v>
      </c>
      <c r="O74" s="13"/>
      <c r="P74" s="1">
        <f>SUM(OSRRefP22_13x_0)</f>
        <v>0</v>
      </c>
      <c r="Q74" s="1"/>
      <c r="R74" s="5">
        <f t="shared" ref="R74:R75" si="72">IF(P$12=0,0,P74/P$12)</f>
        <v>0</v>
      </c>
      <c r="S74" s="1"/>
      <c r="T74" s="1">
        <f>SUM(OSRRefT22_13x_0)</f>
        <v>0</v>
      </c>
      <c r="U74" s="1"/>
      <c r="V74" s="5">
        <f t="shared" ref="V74:V75" si="73">IF(T$12=0,0,T74/T$12)</f>
        <v>0</v>
      </c>
      <c r="W74" s="1"/>
      <c r="X74" s="1">
        <f t="shared" ref="X74:X75" si="74">+P74-T74</f>
        <v>0</v>
      </c>
      <c r="Y74" s="1"/>
      <c r="Z74" s="5">
        <f t="shared" ref="Z74:Z75" si="75">IF(T74=0,0,X74/T74)</f>
        <v>0</v>
      </c>
    </row>
    <row r="75" spans="1:26" s="24" customFormat="1" hidden="1" outlineLevel="2" x14ac:dyDescent="0.25">
      <c r="A75" s="26"/>
      <c r="B75" s="11" t="str">
        <f>CONCATENATE("          ", "6274", " - ", "UTILITIES")</f>
        <v xml:space="preserve">          6274 - UTILITIES</v>
      </c>
      <c r="C75" s="11"/>
      <c r="D75" s="6"/>
      <c r="E75" s="2"/>
      <c r="F75" s="7">
        <f t="shared" si="68"/>
        <v>0</v>
      </c>
      <c r="G75" s="2"/>
      <c r="H75" s="6">
        <v>0</v>
      </c>
      <c r="I75" s="2"/>
      <c r="J75" s="7">
        <f t="shared" si="69"/>
        <v>0</v>
      </c>
      <c r="K75" s="2"/>
      <c r="L75" s="6">
        <f t="shared" si="70"/>
        <v>0</v>
      </c>
      <c r="M75" s="2"/>
      <c r="N75" s="7">
        <f t="shared" si="71"/>
        <v>0</v>
      </c>
      <c r="O75" s="11"/>
      <c r="P75" s="6"/>
      <c r="Q75" s="2"/>
      <c r="R75" s="7">
        <f t="shared" si="72"/>
        <v>0</v>
      </c>
      <c r="S75" s="2"/>
      <c r="T75" s="6">
        <v>0</v>
      </c>
      <c r="U75" s="2"/>
      <c r="V75" s="7">
        <f t="shared" si="73"/>
        <v>0</v>
      </c>
      <c r="W75" s="2"/>
      <c r="X75" s="6">
        <f t="shared" si="74"/>
        <v>0</v>
      </c>
      <c r="Y75" s="2"/>
      <c r="Z75" s="7">
        <f t="shared" si="75"/>
        <v>0</v>
      </c>
    </row>
    <row r="76" spans="1:26" s="61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0">
        <f>+D18-D20+D77</f>
        <v>374.88</v>
      </c>
      <c r="E79" s="14"/>
      <c r="F79" s="22">
        <f>IF(D$12=0,0,D79/D$12)</f>
        <v>0</v>
      </c>
      <c r="G79" s="14"/>
      <c r="H79" s="20">
        <f>+H18-H20+H77</f>
        <v>-848</v>
      </c>
      <c r="I79" s="14"/>
      <c r="J79" s="22">
        <f>IF(H$12=0,0,H79/H$12)</f>
        <v>0</v>
      </c>
      <c r="K79" s="16"/>
      <c r="L79" s="20">
        <f>+D79-H79</f>
        <v>1222.8800000000001</v>
      </c>
      <c r="M79" s="16"/>
      <c r="N79" s="22">
        <f>IF(H79=0,0,L79/H79)</f>
        <v>-1.4420754716981132</v>
      </c>
      <c r="O79" s="29"/>
      <c r="P79" s="20">
        <f>+P18-P20+P77</f>
        <v>-8802.0500000000011</v>
      </c>
      <c r="Q79" s="14"/>
      <c r="R79" s="22">
        <f>IF(P$12=0,0,P79/P$12)</f>
        <v>0</v>
      </c>
      <c r="S79" s="14"/>
      <c r="T79" s="20">
        <f>+T18-T20+T77</f>
        <v>-10176</v>
      </c>
      <c r="U79" s="14"/>
      <c r="V79" s="22">
        <f>IF(T$12=0,0,T79/T$12)</f>
        <v>0</v>
      </c>
      <c r="W79" s="16"/>
      <c r="X79" s="20">
        <f>+P79-T79</f>
        <v>1373.9499999999989</v>
      </c>
      <c r="Y79" s="16"/>
      <c r="Z79" s="22">
        <f>IF(T79=0,0,X79/T79)</f>
        <v>-0.1350186713836477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4">
        <f>+D79-D81</f>
        <v>374.88</v>
      </c>
      <c r="E83" s="14"/>
      <c r="F83" s="35">
        <f>IF(D$12=0,0,D83/D$12)</f>
        <v>0</v>
      </c>
      <c r="G83" s="14"/>
      <c r="H83" s="34">
        <f>+H79-H81</f>
        <v>-848</v>
      </c>
      <c r="I83" s="14"/>
      <c r="J83" s="35">
        <f>IF(H$12=0,0,H83/H$12)</f>
        <v>0</v>
      </c>
      <c r="K83" s="16"/>
      <c r="L83" s="34">
        <f>D83-H83</f>
        <v>1222.8800000000001</v>
      </c>
      <c r="M83" s="16"/>
      <c r="N83" s="35">
        <f>IF(H83=0,0,L83/H83)</f>
        <v>-1.4420754716981132</v>
      </c>
      <c r="O83" s="29"/>
      <c r="P83" s="34">
        <f>+P79-P81</f>
        <v>-8802.0500000000011</v>
      </c>
      <c r="Q83" s="14"/>
      <c r="R83" s="35">
        <f>IF(P$12=0,0,P83/P$12)</f>
        <v>0</v>
      </c>
      <c r="S83" s="14"/>
      <c r="T83" s="34">
        <f>+T79-T81</f>
        <v>-10176</v>
      </c>
      <c r="U83" s="14"/>
      <c r="V83" s="35">
        <f>IF(T$12=0,0,T83/T$12)</f>
        <v>0</v>
      </c>
      <c r="W83" s="16"/>
      <c r="X83" s="34">
        <f>P83-T83</f>
        <v>1373.9499999999989</v>
      </c>
      <c r="Y83" s="16"/>
      <c r="Z83" s="35">
        <f>IF(T83=0,0,X83/T83)</f>
        <v>-0.1350186713836477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3">
        <f>SUM(D83:D85)</f>
        <v>374.88</v>
      </c>
      <c r="E86" s="14"/>
      <c r="F86" s="31">
        <f>IF(D$12=0,0,D86/D$12)</f>
        <v>0</v>
      </c>
      <c r="G86" s="14"/>
      <c r="H86" s="33">
        <f>SUM(H83:H85)</f>
        <v>-848</v>
      </c>
      <c r="I86" s="14"/>
      <c r="J86" s="31">
        <f>IF(H$12=0,0,H86/H$12)</f>
        <v>0</v>
      </c>
      <c r="K86" s="16"/>
      <c r="L86" s="33">
        <f>+D86-H86</f>
        <v>1222.8800000000001</v>
      </c>
      <c r="M86" s="16"/>
      <c r="N86" s="31">
        <f>IF(H86=0,0,L86/H86)</f>
        <v>-1.4420754716981132</v>
      </c>
      <c r="O86" s="29"/>
      <c r="P86" s="33">
        <f>SUM(P83:P85)</f>
        <v>-8802.0500000000011</v>
      </c>
      <c r="Q86" s="14"/>
      <c r="R86" s="31">
        <f>IF(P$12=0,0,P86/P$12)</f>
        <v>0</v>
      </c>
      <c r="S86" s="14"/>
      <c r="T86" s="33">
        <f>SUM(T83:T85)</f>
        <v>-10176</v>
      </c>
      <c r="U86" s="14"/>
      <c r="V86" s="31">
        <f>IF(T$12=0,0,T86/T$12)</f>
        <v>0</v>
      </c>
      <c r="W86" s="16"/>
      <c r="X86" s="33">
        <f>+P86-T86</f>
        <v>1373.9499999999989</v>
      </c>
      <c r="Y86" s="16"/>
      <c r="Z86" s="31">
        <f>IF(T86=0,0,X86/T86)</f>
        <v>-0.1350186713836477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6">
        <v>44454.686112384261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D12-D16</f>
        <v>0</v>
      </c>
      <c r="E19" s="14"/>
      <c r="F19" s="22">
        <f>IF(D$12=0,0,D19/D$12)</f>
        <v>0</v>
      </c>
      <c r="G19" s="14"/>
      <c r="H19" s="20">
        <f>H12-H16</f>
        <v>0</v>
      </c>
      <c r="I19" s="14"/>
      <c r="J19" s="22">
        <f>IF(H$12=0,0,H19/H$12)</f>
        <v>0</v>
      </c>
      <c r="K19" s="16"/>
      <c r="L19" s="20">
        <f>+D19-H19</f>
        <v>0</v>
      </c>
      <c r="M19" s="16"/>
      <c r="N19" s="22">
        <f>IF(H19=0,0,L19/H19)</f>
        <v>0</v>
      </c>
      <c r="O19" s="29"/>
      <c r="P19" s="20">
        <f>P12-P16</f>
        <v>0</v>
      </c>
      <c r="Q19" s="14"/>
      <c r="R19" s="22">
        <f>IF(P$12=0,0,P19/P$12)</f>
        <v>0</v>
      </c>
      <c r="S19" s="14"/>
      <c r="T19" s="20">
        <f>T12-T16</f>
        <v>0</v>
      </c>
      <c r="U19" s="14"/>
      <c r="V19" s="22">
        <f>IF(T$12=0,0,T19/T$12)</f>
        <v>0</v>
      </c>
      <c r="W19" s="16"/>
      <c r="X19" s="20">
        <f>+P19-T19</f>
        <v>0</v>
      </c>
      <c r="Y19" s="16"/>
      <c r="Z19" s="22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1">
        <f>SUM(OSRRefD22x_0)</f>
        <v>223.16</v>
      </c>
      <c r="E21" s="21"/>
      <c r="F21" s="30">
        <f t="shared" ref="F21:F31" si="14">IF(D$12=0,0,D21/D$12)</f>
        <v>0</v>
      </c>
      <c r="G21" s="21"/>
      <c r="H21" s="21">
        <f>SUM(OSRRefH22x_0)</f>
        <v>630</v>
      </c>
      <c r="I21" s="21"/>
      <c r="J21" s="30">
        <f t="shared" ref="J21:J31" si="15">IF(H$12=0,0,H21/H$12)</f>
        <v>0</v>
      </c>
      <c r="K21" s="4"/>
      <c r="L21" s="21">
        <f t="shared" ref="L21:L31" si="16">+D21-H21</f>
        <v>-406.84000000000003</v>
      </c>
      <c r="M21" s="4"/>
      <c r="N21" s="30">
        <f t="shared" ref="N21:N31" si="17">IF(H21=0,0,L21/H21)</f>
        <v>-0.64577777777777778</v>
      </c>
      <c r="O21" s="10"/>
      <c r="P21" s="21">
        <f>SUM(OSRRefP22x_0)</f>
        <v>5526.57</v>
      </c>
      <c r="Q21" s="21"/>
      <c r="R21" s="30">
        <f t="shared" ref="R21:R31" si="18">IF(P$12=0,0,P21/P$12)</f>
        <v>0</v>
      </c>
      <c r="S21" s="21"/>
      <c r="T21" s="21">
        <f>SUM(OSRRefT22x_0)</f>
        <v>7560</v>
      </c>
      <c r="U21" s="21"/>
      <c r="V21" s="30">
        <f t="shared" ref="V21:V31" si="19">IF(T$12=0,0,T21/T$12)</f>
        <v>0</v>
      </c>
      <c r="W21" s="4"/>
      <c r="X21" s="21">
        <f t="shared" ref="X21:X31" si="20">+P21-T21</f>
        <v>-2033.4300000000003</v>
      </c>
      <c r="Y21" s="4"/>
      <c r="Z21" s="30">
        <f t="shared" ref="Z21:Z31" si="21">IF(T21=0,0,X21/T21)</f>
        <v>-0.26897222222222228</v>
      </c>
    </row>
    <row r="22" spans="1:26" s="27" customFormat="1" outlineLevel="1" collapsed="1" x14ac:dyDescent="0.25">
      <c r="A22" s="25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3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191.51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191.51</v>
      </c>
      <c r="Y23" s="2"/>
      <c r="Z23" s="7">
        <f t="shared" si="21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718.51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718.51</v>
      </c>
      <c r="Y25" s="2"/>
      <c r="Z25" s="7">
        <f t="shared" si="21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377.03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377.03</v>
      </c>
      <c r="Y27" s="2"/>
      <c r="Z27" s="7">
        <f t="shared" si="21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93.89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93.89</v>
      </c>
      <c r="Y29" s="2"/>
      <c r="Z29" s="7">
        <f t="shared" si="21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112.49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112.49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0</v>
      </c>
      <c r="Y31" s="2"/>
      <c r="Z31" s="7">
        <f t="shared" si="21"/>
        <v>0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>
        <v>2259.48</v>
      </c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2259.48</v>
      </c>
      <c r="Y34" s="2"/>
      <c r="Z34" s="7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3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7" customFormat="1" outlineLevel="1" collapsed="1" x14ac:dyDescent="0.25">
      <c r="A45" s="25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0</v>
      </c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0</v>
      </c>
      <c r="U48" s="2"/>
      <c r="V48" s="7">
        <f t="shared" si="35"/>
        <v>0</v>
      </c>
      <c r="W48" s="2"/>
      <c r="X48" s="6">
        <f t="shared" si="36"/>
        <v>0</v>
      </c>
      <c r="Y48" s="2"/>
      <c r="Z48" s="7">
        <f t="shared" si="37"/>
        <v>0</v>
      </c>
    </row>
    <row r="49" spans="1:26" s="27" customFormat="1" outlineLevel="1" collapsed="1" x14ac:dyDescent="0.25">
      <c r="A49" s="25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58.07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-571.92999999999995</v>
      </c>
      <c r="M49" s="1"/>
      <c r="N49" s="5">
        <f t="shared" si="33"/>
        <v>-0.90782539682539676</v>
      </c>
      <c r="O49" s="13"/>
      <c r="P49" s="1">
        <f>SUM(OSRRefP22_5x_0)</f>
        <v>696.4</v>
      </c>
      <c r="Q49" s="1"/>
      <c r="R49" s="5">
        <f t="shared" si="34"/>
        <v>0</v>
      </c>
      <c r="S49" s="1"/>
      <c r="T49" s="1">
        <f>SUM(OSRRefT22_5x_0)</f>
        <v>7560</v>
      </c>
      <c r="U49" s="1"/>
      <c r="V49" s="5">
        <f t="shared" si="35"/>
        <v>0</v>
      </c>
      <c r="W49" s="1"/>
      <c r="X49" s="1">
        <f t="shared" si="36"/>
        <v>-6863.6</v>
      </c>
      <c r="Y49" s="1"/>
      <c r="Z49" s="5">
        <f t="shared" si="37"/>
        <v>-0.90788359788359796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58.07</v>
      </c>
      <c r="E50" s="2"/>
      <c r="F50" s="7">
        <f t="shared" si="30"/>
        <v>0</v>
      </c>
      <c r="G50" s="2"/>
      <c r="H50" s="6">
        <v>630</v>
      </c>
      <c r="I50" s="2"/>
      <c r="J50" s="7">
        <f t="shared" si="31"/>
        <v>0</v>
      </c>
      <c r="K50" s="2"/>
      <c r="L50" s="6">
        <f t="shared" si="32"/>
        <v>-571.92999999999995</v>
      </c>
      <c r="M50" s="2"/>
      <c r="N50" s="7">
        <f t="shared" si="33"/>
        <v>-0.90782539682539676</v>
      </c>
      <c r="O50" s="11"/>
      <c r="P50" s="6">
        <v>696.4</v>
      </c>
      <c r="Q50" s="2"/>
      <c r="R50" s="7">
        <f t="shared" si="34"/>
        <v>0</v>
      </c>
      <c r="S50" s="2"/>
      <c r="T50" s="6">
        <v>7560</v>
      </c>
      <c r="U50" s="2"/>
      <c r="V50" s="7">
        <f t="shared" si="35"/>
        <v>0</v>
      </c>
      <c r="W50" s="2"/>
      <c r="X50" s="6">
        <f t="shared" si="36"/>
        <v>-6863.6</v>
      </c>
      <c r="Y50" s="2"/>
      <c r="Z50" s="7">
        <f t="shared" si="37"/>
        <v>-0.90788359788359796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0</v>
      </c>
      <c r="U52" s="2"/>
      <c r="V52" s="7">
        <f t="shared" si="35"/>
        <v>0</v>
      </c>
      <c r="W52" s="2"/>
      <c r="X52" s="6">
        <f t="shared" si="36"/>
        <v>0</v>
      </c>
      <c r="Y52" s="2"/>
      <c r="Z52" s="7">
        <f t="shared" si="37"/>
        <v>0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0</v>
      </c>
      <c r="U54" s="2"/>
      <c r="V54" s="7">
        <f t="shared" si="35"/>
        <v>0</v>
      </c>
      <c r="W54" s="2"/>
      <c r="X54" s="6">
        <f t="shared" si="36"/>
        <v>0</v>
      </c>
      <c r="Y54" s="2"/>
      <c r="Z54" s="7">
        <f t="shared" si="37"/>
        <v>0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SUM(OSRRefD22_8x_0)</f>
        <v>165.09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165.09</v>
      </c>
      <c r="M55" s="1"/>
      <c r="N55" s="5">
        <f t="shared" si="33"/>
        <v>0</v>
      </c>
      <c r="O55" s="13"/>
      <c r="P55" s="1">
        <f>SUM(OSRRefP22_8x_0)</f>
        <v>740.94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740.94</v>
      </c>
      <c r="Y55" s="1"/>
      <c r="Z55" s="5">
        <f t="shared" si="37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0</v>
      </c>
      <c r="U56" s="2"/>
      <c r="V56" s="7">
        <f t="shared" si="35"/>
        <v>0</v>
      </c>
      <c r="W56" s="2"/>
      <c r="X56" s="6">
        <f t="shared" si="36"/>
        <v>0</v>
      </c>
      <c r="Y56" s="2"/>
      <c r="Z56" s="7">
        <f t="shared" si="37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/>
      <c r="Q57" s="2"/>
      <c r="R57" s="7">
        <f t="shared" si="34"/>
        <v>0</v>
      </c>
      <c r="S57" s="2"/>
      <c r="T57" s="6">
        <v>0</v>
      </c>
      <c r="U57" s="2"/>
      <c r="V57" s="7">
        <f t="shared" si="35"/>
        <v>0</v>
      </c>
      <c r="W57" s="2"/>
      <c r="X57" s="6">
        <f t="shared" si="36"/>
        <v>0</v>
      </c>
      <c r="Y57" s="2"/>
      <c r="Z57" s="7">
        <f t="shared" si="37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165.09</v>
      </c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165.09</v>
      </c>
      <c r="M58" s="2"/>
      <c r="N58" s="7">
        <f t="shared" si="33"/>
        <v>0</v>
      </c>
      <c r="O58" s="11"/>
      <c r="P58" s="6">
        <v>740.94</v>
      </c>
      <c r="Q58" s="2"/>
      <c r="R58" s="7">
        <f t="shared" si="34"/>
        <v>0</v>
      </c>
      <c r="S58" s="2"/>
      <c r="T58" s="6">
        <v>0</v>
      </c>
      <c r="U58" s="2"/>
      <c r="V58" s="7">
        <f t="shared" si="35"/>
        <v>0</v>
      </c>
      <c r="W58" s="2"/>
      <c r="X58" s="6">
        <f t="shared" si="36"/>
        <v>740.94</v>
      </c>
      <c r="Y58" s="2"/>
      <c r="Z58" s="7">
        <f t="shared" si="37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0</v>
      </c>
      <c r="E59" s="2"/>
      <c r="F59" s="7">
        <f t="shared" si="30"/>
        <v>0</v>
      </c>
      <c r="G59" s="2"/>
      <c r="H59" s="6">
        <v>0</v>
      </c>
      <c r="I59" s="2"/>
      <c r="J59" s="7">
        <f t="shared" si="31"/>
        <v>0</v>
      </c>
      <c r="K59" s="2"/>
      <c r="L59" s="6">
        <f t="shared" si="32"/>
        <v>0</v>
      </c>
      <c r="M59" s="2"/>
      <c r="N59" s="7">
        <f t="shared" si="33"/>
        <v>0</v>
      </c>
      <c r="O59" s="11"/>
      <c r="P59" s="6">
        <v>0</v>
      </c>
      <c r="Q59" s="2"/>
      <c r="R59" s="7">
        <f t="shared" si="34"/>
        <v>0</v>
      </c>
      <c r="S59" s="2"/>
      <c r="T59" s="6">
        <v>0</v>
      </c>
      <c r="U59" s="2"/>
      <c r="V59" s="7">
        <f t="shared" si="35"/>
        <v>0</v>
      </c>
      <c r="W59" s="2"/>
      <c r="X59" s="6">
        <f t="shared" si="36"/>
        <v>0</v>
      </c>
      <c r="Y59" s="2"/>
      <c r="Z59" s="7">
        <f t="shared" si="37"/>
        <v>0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3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286.62</v>
      </c>
      <c r="Q61" s="2"/>
      <c r="R61" s="7">
        <f t="shared" si="42"/>
        <v>0</v>
      </c>
      <c r="S61" s="2"/>
      <c r="T61" s="6"/>
      <c r="U61" s="2"/>
      <c r="V61" s="7">
        <f t="shared" si="43"/>
        <v>0</v>
      </c>
      <c r="W61" s="2"/>
      <c r="X61" s="6">
        <f t="shared" si="44"/>
        <v>286.62</v>
      </c>
      <c r="Y61" s="2"/>
      <c r="Z61" s="7">
        <f t="shared" si="45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38"/>
        <v>0</v>
      </c>
      <c r="G62" s="2"/>
      <c r="H62" s="6">
        <v>0</v>
      </c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/>
      <c r="Q62" s="2"/>
      <c r="R62" s="7">
        <f t="shared" si="42"/>
        <v>0</v>
      </c>
      <c r="S62" s="2"/>
      <c r="T62" s="6">
        <v>0</v>
      </c>
      <c r="U62" s="2"/>
      <c r="V62" s="7">
        <f t="shared" si="43"/>
        <v>0</v>
      </c>
      <c r="W62" s="2"/>
      <c r="X62" s="6">
        <f t="shared" si="44"/>
        <v>0</v>
      </c>
      <c r="Y62" s="2"/>
      <c r="Z62" s="7">
        <f t="shared" si="45"/>
        <v>0</v>
      </c>
    </row>
    <row r="63" spans="1:26" s="27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3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4" customFormat="1" hidden="1" outlineLevel="2" x14ac:dyDescent="0.25">
      <c r="A65" s="26"/>
      <c r="B65" s="11" t="str">
        <f>CONCATENATE("          ", "6239", " - ", "KITCHEN SUPPLIES")</f>
        <v xml:space="preserve">          6239 - KITCHEN SUPPLIES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0</v>
      </c>
      <c r="U65" s="2"/>
      <c r="V65" s="7">
        <f t="shared" si="51"/>
        <v>0</v>
      </c>
      <c r="W65" s="2"/>
      <c r="X65" s="6">
        <f t="shared" si="52"/>
        <v>0</v>
      </c>
      <c r="Y65" s="2"/>
      <c r="Z65" s="7">
        <f t="shared" si="53"/>
        <v>0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0</v>
      </c>
      <c r="U66" s="2"/>
      <c r="V66" s="7">
        <f t="shared" si="51"/>
        <v>0</v>
      </c>
      <c r="W66" s="2"/>
      <c r="X66" s="6">
        <f t="shared" si="52"/>
        <v>0</v>
      </c>
      <c r="Y66" s="2"/>
      <c r="Z66" s="7">
        <f t="shared" si="53"/>
        <v>0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46"/>
        <v>0</v>
      </c>
      <c r="G67" s="2"/>
      <c r="H67" s="6">
        <v>0</v>
      </c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0</v>
      </c>
      <c r="U67" s="2"/>
      <c r="V67" s="7">
        <f t="shared" si="51"/>
        <v>0</v>
      </c>
      <c r="W67" s="2"/>
      <c r="X67" s="6">
        <f t="shared" si="52"/>
        <v>0</v>
      </c>
      <c r="Y67" s="2"/>
      <c r="Z67" s="7">
        <f t="shared" si="53"/>
        <v>0</v>
      </c>
    </row>
    <row r="68" spans="1:26" s="24" customFormat="1" hidden="1" outlineLevel="2" x14ac:dyDescent="0.25">
      <c r="A68" s="26"/>
      <c r="B68" s="11" t="str">
        <f>CONCATENATE("          ", "6244", " - ", "SAFETY SUPPLY EXPENSE")</f>
        <v xml:space="preserve">          6244 - SAFETY SUPPLY EXPENSE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0</v>
      </c>
      <c r="U68" s="2"/>
      <c r="V68" s="7">
        <f t="shared" si="51"/>
        <v>0</v>
      </c>
      <c r="W68" s="2"/>
      <c r="X68" s="6">
        <f t="shared" si="52"/>
        <v>0</v>
      </c>
      <c r="Y68" s="2"/>
      <c r="Z68" s="7">
        <f t="shared" si="53"/>
        <v>0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/>
      <c r="Q69" s="2"/>
      <c r="R69" s="7">
        <f t="shared" si="50"/>
        <v>0</v>
      </c>
      <c r="S69" s="2"/>
      <c r="T69" s="6">
        <v>0</v>
      </c>
      <c r="U69" s="2"/>
      <c r="V69" s="7">
        <f t="shared" si="51"/>
        <v>0</v>
      </c>
      <c r="W69" s="2"/>
      <c r="X69" s="6">
        <f t="shared" si="52"/>
        <v>0</v>
      </c>
      <c r="Y69" s="2"/>
      <c r="Z69" s="7">
        <f t="shared" si="53"/>
        <v>0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0</v>
      </c>
      <c r="M70" s="2"/>
      <c r="N70" s="7">
        <f t="shared" si="49"/>
        <v>0</v>
      </c>
      <c r="O70" s="11"/>
      <c r="P70" s="6"/>
      <c r="Q70" s="2"/>
      <c r="R70" s="7">
        <f t="shared" si="50"/>
        <v>0</v>
      </c>
      <c r="S70" s="2"/>
      <c r="T70" s="6">
        <v>0</v>
      </c>
      <c r="U70" s="2"/>
      <c r="V70" s="7">
        <f t="shared" si="51"/>
        <v>0</v>
      </c>
      <c r="W70" s="2"/>
      <c r="X70" s="6">
        <f t="shared" si="52"/>
        <v>0</v>
      </c>
      <c r="Y70" s="2"/>
      <c r="Z70" s="7">
        <f t="shared" si="53"/>
        <v>0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1"/>
      <c r="P71" s="6"/>
      <c r="Q71" s="2"/>
      <c r="R71" s="7">
        <f t="shared" si="50"/>
        <v>0</v>
      </c>
      <c r="S71" s="2"/>
      <c r="T71" s="6">
        <v>0</v>
      </c>
      <c r="U71" s="2"/>
      <c r="V71" s="7">
        <f t="shared" si="51"/>
        <v>0</v>
      </c>
      <c r="W71" s="2"/>
      <c r="X71" s="6">
        <f t="shared" si="52"/>
        <v>0</v>
      </c>
      <c r="Y71" s="2"/>
      <c r="Z71" s="7">
        <f t="shared" si="53"/>
        <v>0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3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25">
      <c r="A73" s="26"/>
      <c r="B73" s="11" t="str">
        <f>CONCATENATE("          ", "6303", " - ", "DATA PHONE LINES")</f>
        <v xml:space="preserve">          6303 - DATA PHONE LINES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/>
      <c r="E74" s="2"/>
      <c r="F74" s="7">
        <f t="shared" si="54"/>
        <v>0</v>
      </c>
      <c r="G74" s="2"/>
      <c r="H74" s="6">
        <v>0</v>
      </c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>
        <v>49.7</v>
      </c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49.7</v>
      </c>
      <c r="Y74" s="2"/>
      <c r="Z74" s="7">
        <f t="shared" si="61"/>
        <v>0</v>
      </c>
    </row>
    <row r="75" spans="1:26" s="27" customFormat="1" outlineLevel="1" collapsed="1" x14ac:dyDescent="0.25">
      <c r="A75" s="25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3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25">
      <c r="A76" s="26"/>
      <c r="B76" s="11" t="str">
        <f>CONCATENATE("          ", "6292", " - ", "TRAVEL/CONFERENCE")</f>
        <v xml:space="preserve">          6292 - TRAVEL/CONFERENCE</v>
      </c>
      <c r="C76" s="11"/>
      <c r="D76" s="6"/>
      <c r="E76" s="2"/>
      <c r="F76" s="7">
        <f t="shared" si="62"/>
        <v>0</v>
      </c>
      <c r="G76" s="2"/>
      <c r="H76" s="6"/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/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0</v>
      </c>
      <c r="Y76" s="2"/>
      <c r="Z76" s="7">
        <f t="shared" si="69"/>
        <v>0</v>
      </c>
    </row>
    <row r="77" spans="1:26" s="61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0">
        <f>+D19-D21+D78</f>
        <v>-223.16</v>
      </c>
      <c r="E80" s="14"/>
      <c r="F80" s="22">
        <f>IF(D$12=0,0,D80/D$12)</f>
        <v>0</v>
      </c>
      <c r="G80" s="14"/>
      <c r="H80" s="20">
        <f>+H19-H21+H78</f>
        <v>-630</v>
      </c>
      <c r="I80" s="14"/>
      <c r="J80" s="22">
        <f>IF(H$12=0,0,H80/H$12)</f>
        <v>0</v>
      </c>
      <c r="K80" s="16"/>
      <c r="L80" s="20">
        <f>+D80-H80</f>
        <v>406.84000000000003</v>
      </c>
      <c r="M80" s="16"/>
      <c r="N80" s="22">
        <f>IF(H80=0,0,L80/H80)</f>
        <v>-0.64577777777777778</v>
      </c>
      <c r="O80" s="29"/>
      <c r="P80" s="20">
        <f>+P19-P21+P78</f>
        <v>-5526.57</v>
      </c>
      <c r="Q80" s="14"/>
      <c r="R80" s="22">
        <f>IF(P$12=0,0,P80/P$12)</f>
        <v>0</v>
      </c>
      <c r="S80" s="14"/>
      <c r="T80" s="20">
        <f>+T19-T21+T78</f>
        <v>-7560</v>
      </c>
      <c r="U80" s="14"/>
      <c r="V80" s="22">
        <f>IF(T$12=0,0,T80/T$12)</f>
        <v>0</v>
      </c>
      <c r="W80" s="16"/>
      <c r="X80" s="20">
        <f>+P80-T80</f>
        <v>2033.4300000000003</v>
      </c>
      <c r="Y80" s="16"/>
      <c r="Z80" s="22">
        <f>IF(T80=0,0,X80/T80)</f>
        <v>-0.26897222222222228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4">
        <f>+D80-D82</f>
        <v>-223.16</v>
      </c>
      <c r="E84" s="14"/>
      <c r="F84" s="35">
        <f>IF(D$12=0,0,D84/D$12)</f>
        <v>0</v>
      </c>
      <c r="G84" s="14"/>
      <c r="H84" s="34">
        <f>+H80-H82</f>
        <v>-630</v>
      </c>
      <c r="I84" s="14"/>
      <c r="J84" s="35">
        <f>IF(H$12=0,0,H84/H$12)</f>
        <v>0</v>
      </c>
      <c r="K84" s="16"/>
      <c r="L84" s="34">
        <f>D84-H84</f>
        <v>406.84000000000003</v>
      </c>
      <c r="M84" s="16"/>
      <c r="N84" s="35">
        <f>IF(H84=0,0,L84/H84)</f>
        <v>-0.64577777777777778</v>
      </c>
      <c r="O84" s="29"/>
      <c r="P84" s="34">
        <f>+P80-P82</f>
        <v>-5526.57</v>
      </c>
      <c r="Q84" s="14"/>
      <c r="R84" s="35">
        <f>IF(P$12=0,0,P84/P$12)</f>
        <v>0</v>
      </c>
      <c r="S84" s="14"/>
      <c r="T84" s="34">
        <f>+T80-T82</f>
        <v>-7560</v>
      </c>
      <c r="U84" s="14"/>
      <c r="V84" s="35">
        <f>IF(T$12=0,0,T84/T$12)</f>
        <v>0</v>
      </c>
      <c r="W84" s="16"/>
      <c r="X84" s="34">
        <f>P84-T84</f>
        <v>2033.4300000000003</v>
      </c>
      <c r="Y84" s="16"/>
      <c r="Z84" s="35">
        <f>IF(T84=0,0,X84/T84)</f>
        <v>-0.26897222222222228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3">
        <f>SUM(D84:D86)</f>
        <v>-223.16</v>
      </c>
      <c r="E87" s="14"/>
      <c r="F87" s="31">
        <f>IF(D$12=0,0,D87/D$12)</f>
        <v>0</v>
      </c>
      <c r="G87" s="14"/>
      <c r="H87" s="33">
        <f>SUM(H84:H86)</f>
        <v>-630</v>
      </c>
      <c r="I87" s="14"/>
      <c r="J87" s="31">
        <f>IF(H$12=0,0,H87/H$12)</f>
        <v>0</v>
      </c>
      <c r="K87" s="16"/>
      <c r="L87" s="33">
        <f>+D87-H87</f>
        <v>406.84000000000003</v>
      </c>
      <c r="M87" s="16"/>
      <c r="N87" s="31">
        <f>IF(H87=0,0,L87/H87)</f>
        <v>-0.64577777777777778</v>
      </c>
      <c r="O87" s="29"/>
      <c r="P87" s="33">
        <f>SUM(P84:P86)</f>
        <v>-5526.57</v>
      </c>
      <c r="Q87" s="14"/>
      <c r="R87" s="31">
        <f>IF(P$12=0,0,P87/P$12)</f>
        <v>0</v>
      </c>
      <c r="S87" s="14"/>
      <c r="T87" s="33">
        <f>SUM(T84:T86)</f>
        <v>-7560</v>
      </c>
      <c r="U87" s="14"/>
      <c r="V87" s="31">
        <f>IF(T$12=0,0,T87/T$12)</f>
        <v>0</v>
      </c>
      <c r="W87" s="16"/>
      <c r="X87" s="33">
        <f>+P87-T87</f>
        <v>2033.4300000000003</v>
      </c>
      <c r="Y87" s="16"/>
      <c r="Z87" s="31">
        <f>IF(T87=0,0,X87/T87)</f>
        <v>-0.26897222222222228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6">
        <v>44454.686112384261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 t="s">
        <v>56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--974.91</f>
        <v>974.91</v>
      </c>
      <c r="Q14" s="2"/>
      <c r="R14" s="19"/>
      <c r="S14" s="2"/>
      <c r="T14" s="2"/>
      <c r="U14" s="2"/>
      <c r="V14" s="19"/>
      <c r="W14" s="2"/>
      <c r="X14" s="2">
        <f t="shared" si="2"/>
        <v>974.91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0</v>
      </c>
      <c r="M17" s="4"/>
      <c r="N17" s="12">
        <f t="shared" ref="N17:N19" si="8">IF(H17=0,0,L17/H17)</f>
        <v>0</v>
      </c>
      <c r="O17" s="10"/>
      <c r="P17" s="4">
        <f>SUM(OSRRefP16x_0)</f>
        <v>-2369.56</v>
      </c>
      <c r="Q17" s="4"/>
      <c r="R17" s="12">
        <f t="shared" ref="R17:R19" si="9">IF(P$12=0,0,P17/P$12)</f>
        <v>-2.4305423064693152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-2369.56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0</v>
      </c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0</v>
      </c>
      <c r="U18" s="2"/>
      <c r="V18" s="19">
        <f t="shared" si="10"/>
        <v>0</v>
      </c>
      <c r="W18" s="2"/>
      <c r="X18" s="2">
        <f t="shared" si="11"/>
        <v>0</v>
      </c>
      <c r="Y18" s="2"/>
      <c r="Z18" s="19">
        <f t="shared" si="12"/>
        <v>0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-2369.56</v>
      </c>
      <c r="Q19" s="2"/>
      <c r="R19" s="19">
        <f t="shared" si="9"/>
        <v>-2.4305423064693152</v>
      </c>
      <c r="S19" s="2"/>
      <c r="T19" s="2"/>
      <c r="U19" s="2"/>
      <c r="V19" s="19">
        <f t="shared" si="10"/>
        <v>0</v>
      </c>
      <c r="W19" s="2"/>
      <c r="X19" s="2">
        <f t="shared" si="11"/>
        <v>-2369.56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0</v>
      </c>
      <c r="I21" s="14"/>
      <c r="J21" s="22">
        <f>IF(H$12=0,0,H21/H$12)</f>
        <v>0</v>
      </c>
      <c r="K21" s="16"/>
      <c r="L21" s="20">
        <f>+D21-H21</f>
        <v>0</v>
      </c>
      <c r="M21" s="16"/>
      <c r="N21" s="22">
        <f>IF(H21=0,0,L21/H21)</f>
        <v>0</v>
      </c>
      <c r="O21" s="29"/>
      <c r="P21" s="20">
        <f>P12-P17</f>
        <v>3344.47</v>
      </c>
      <c r="Q21" s="14"/>
      <c r="R21" s="22">
        <f>IF(P$12=0,0,P21/P$12)</f>
        <v>3.4305423064693152</v>
      </c>
      <c r="S21" s="14"/>
      <c r="T21" s="20">
        <f>T12-T17</f>
        <v>0</v>
      </c>
      <c r="U21" s="14"/>
      <c r="V21" s="22">
        <f>IF(T$12=0,0,T21/T$12)</f>
        <v>0</v>
      </c>
      <c r="W21" s="16"/>
      <c r="X21" s="20">
        <f>+P21-T21</f>
        <v>3344.47</v>
      </c>
      <c r="Y21" s="16"/>
      <c r="Z21" s="22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1">
        <f>SUM(OSRRefD22x_0)</f>
        <v>-1036.0899999999999</v>
      </c>
      <c r="E23" s="21"/>
      <c r="F23" s="30">
        <f t="shared" ref="F23:F33" si="13">IF(D$12=0,0,D23/D$12)</f>
        <v>0</v>
      </c>
      <c r="G23" s="21"/>
      <c r="H23" s="21">
        <f>SUM(OSRRefH22x_0)</f>
        <v>1280</v>
      </c>
      <c r="I23" s="21"/>
      <c r="J23" s="30">
        <f t="shared" ref="J23:J33" si="14">IF(H$12=0,0,H23/H$12)</f>
        <v>0</v>
      </c>
      <c r="K23" s="4"/>
      <c r="L23" s="21">
        <f t="shared" ref="L23:L33" si="15">+D23-H23</f>
        <v>-2316.09</v>
      </c>
      <c r="M23" s="4"/>
      <c r="N23" s="30">
        <f t="shared" ref="N23:N33" si="16">IF(H23=0,0,L23/H23)</f>
        <v>-1.8094453125000001</v>
      </c>
      <c r="O23" s="10"/>
      <c r="P23" s="21">
        <f>SUM(OSRRefP22x_0)</f>
        <v>20706.489999999998</v>
      </c>
      <c r="Q23" s="21"/>
      <c r="R23" s="30">
        <f t="shared" ref="R23:R33" si="17">IF(P$12=0,0,P23/P$12)</f>
        <v>21.23938619975177</v>
      </c>
      <c r="S23" s="21"/>
      <c r="T23" s="21">
        <f>SUM(OSRRefT22x_0)</f>
        <v>22972</v>
      </c>
      <c r="U23" s="21"/>
      <c r="V23" s="30">
        <f t="shared" ref="V23:V33" si="18">IF(T$12=0,0,T23/T$12)</f>
        <v>0</v>
      </c>
      <c r="W23" s="4"/>
      <c r="X23" s="21">
        <f t="shared" ref="X23:X33" si="19">+P23-T23</f>
        <v>-2265.510000000002</v>
      </c>
      <c r="Y23" s="4"/>
      <c r="Z23" s="30">
        <f t="shared" ref="Z23:Z33" si="20">IF(T23=0,0,X23/T23)</f>
        <v>-9.8620494515061899E-2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0</v>
      </c>
      <c r="I24" s="1"/>
      <c r="J24" s="5">
        <f t="shared" si="14"/>
        <v>0</v>
      </c>
      <c r="K24" s="1"/>
      <c r="L24" s="1">
        <f t="shared" si="15"/>
        <v>0</v>
      </c>
      <c r="M24" s="1"/>
      <c r="N24" s="5">
        <f t="shared" si="16"/>
        <v>0</v>
      </c>
      <c r="O24" s="13"/>
      <c r="P24" s="1">
        <f>SUM(OSRRefP22_0x_0)</f>
        <v>702.51</v>
      </c>
      <c r="Q24" s="1"/>
      <c r="R24" s="5">
        <f t="shared" si="17"/>
        <v>0.72058959288549718</v>
      </c>
      <c r="S24" s="1"/>
      <c r="T24" s="1">
        <f>SUM(OSRRefT22_0x_0)</f>
        <v>0</v>
      </c>
      <c r="U24" s="1"/>
      <c r="V24" s="5">
        <f t="shared" si="18"/>
        <v>0</v>
      </c>
      <c r="W24" s="1"/>
      <c r="X24" s="1">
        <f t="shared" si="19"/>
        <v>702.51</v>
      </c>
      <c r="Y24" s="1"/>
      <c r="Z24" s="5">
        <f t="shared" si="20"/>
        <v>0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0</v>
      </c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/>
      <c r="Q25" s="2"/>
      <c r="R25" s="7">
        <f t="shared" si="17"/>
        <v>0</v>
      </c>
      <c r="S25" s="2"/>
      <c r="T25" s="6">
        <v>0</v>
      </c>
      <c r="U25" s="2"/>
      <c r="V25" s="7">
        <f t="shared" si="18"/>
        <v>0</v>
      </c>
      <c r="W25" s="2"/>
      <c r="X25" s="6">
        <f t="shared" si="19"/>
        <v>0</v>
      </c>
      <c r="Y25" s="2"/>
      <c r="Z25" s="7">
        <f t="shared" si="20"/>
        <v>0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/>
      <c r="Q26" s="2"/>
      <c r="R26" s="7">
        <f t="shared" si="17"/>
        <v>0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0</v>
      </c>
      <c r="Y26" s="2"/>
      <c r="Z26" s="7">
        <f t="shared" si="20"/>
        <v>0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702.51</v>
      </c>
      <c r="Q27" s="2"/>
      <c r="R27" s="7">
        <f t="shared" si="17"/>
        <v>0.72058959288549718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702.51</v>
      </c>
      <c r="Y27" s="2"/>
      <c r="Z27" s="7">
        <f t="shared" si="20"/>
        <v>0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0</v>
      </c>
      <c r="M34" s="1"/>
      <c r="N34" s="5">
        <f t="shared" ref="N34:N44" si="24">IF(H34=0,0,L34/H34)</f>
        <v>0</v>
      </c>
      <c r="O34" s="13"/>
      <c r="P34" s="1">
        <f>SUM(OSRRefP22_1x_0)</f>
        <v>0</v>
      </c>
      <c r="Q34" s="1"/>
      <c r="R34" s="5">
        <f t="shared" ref="R34:R44" si="25">IF(P$12=0,0,P34/P$12)</f>
        <v>0</v>
      </c>
      <c r="S34" s="1"/>
      <c r="T34" s="1">
        <f>SUM(OSRRefT22_1x_0)</f>
        <v>0</v>
      </c>
      <c r="U34" s="1"/>
      <c r="V34" s="5">
        <f t="shared" ref="V34:V44" si="26">IF(T$12=0,0,T34/T$12)</f>
        <v>0</v>
      </c>
      <c r="W34" s="1"/>
      <c r="X34" s="1">
        <f t="shared" ref="X34:X44" si="27">+P34-T34</f>
        <v>0</v>
      </c>
      <c r="Y34" s="1"/>
      <c r="Z34" s="5">
        <f t="shared" ref="Z34:Z44" si="28">IF(T34=0,0,X34/T34)</f>
        <v>0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9" si="29">IF(D$12=0,0,D45/D$12)</f>
        <v>0</v>
      </c>
      <c r="G45" s="1"/>
      <c r="H45" s="1">
        <f>SUM(OSRRefH22_2x_0)</f>
        <v>0</v>
      </c>
      <c r="I45" s="1"/>
      <c r="J45" s="5">
        <f t="shared" ref="J45:J59" si="30">IF(H$12=0,0,H45/H$12)</f>
        <v>0</v>
      </c>
      <c r="K45" s="1"/>
      <c r="L45" s="1">
        <f t="shared" ref="L45:L59" si="31">+D45-H45</f>
        <v>0</v>
      </c>
      <c r="M45" s="1"/>
      <c r="N45" s="5">
        <f t="shared" ref="N45:N59" si="32">IF(H45=0,0,L45/H45)</f>
        <v>0</v>
      </c>
      <c r="O45" s="13"/>
      <c r="P45" s="1">
        <f>SUM(OSRRefP22_2x_0)</f>
        <v>83.83</v>
      </c>
      <c r="Q45" s="1"/>
      <c r="R45" s="5">
        <f t="shared" ref="R45:R59" si="33">IF(P$12=0,0,P45/P$12)</f>
        <v>8.5987424480208435E-2</v>
      </c>
      <c r="S45" s="1"/>
      <c r="T45" s="1">
        <f>SUM(OSRRefT22_2x_0)</f>
        <v>0</v>
      </c>
      <c r="U45" s="1"/>
      <c r="V45" s="5">
        <f t="shared" ref="V45:V59" si="34">IF(T$12=0,0,T45/T$12)</f>
        <v>0</v>
      </c>
      <c r="W45" s="1"/>
      <c r="X45" s="1">
        <f t="shared" ref="X45:X59" si="35">+P45-T45</f>
        <v>83.83</v>
      </c>
      <c r="Y45" s="1"/>
      <c r="Z45" s="5">
        <f t="shared" ref="Z45:Z59" si="36">IF(T45=0,0,X45/T45)</f>
        <v>0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0</v>
      </c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83.83</v>
      </c>
      <c r="Q46" s="2"/>
      <c r="R46" s="7">
        <f t="shared" si="33"/>
        <v>8.5987424480208435E-2</v>
      </c>
      <c r="S46" s="2"/>
      <c r="T46" s="6">
        <v>0</v>
      </c>
      <c r="U46" s="2"/>
      <c r="V46" s="7">
        <f t="shared" si="34"/>
        <v>0</v>
      </c>
      <c r="W46" s="2"/>
      <c r="X46" s="6">
        <f t="shared" si="35"/>
        <v>83.83</v>
      </c>
      <c r="Y46" s="2"/>
      <c r="Z46" s="7">
        <f t="shared" si="36"/>
        <v>0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0</v>
      </c>
      <c r="Q47" s="1"/>
      <c r="R47" s="5">
        <f t="shared" si="33"/>
        <v>0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0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29"/>
        <v>0</v>
      </c>
      <c r="G48" s="2"/>
      <c r="H48" s="6">
        <v>0</v>
      </c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/>
      <c r="Q48" s="2"/>
      <c r="R48" s="7">
        <f t="shared" si="33"/>
        <v>0</v>
      </c>
      <c r="S48" s="2"/>
      <c r="T48" s="6">
        <v>0</v>
      </c>
      <c r="U48" s="2"/>
      <c r="V48" s="7">
        <f t="shared" si="34"/>
        <v>0</v>
      </c>
      <c r="W48" s="2"/>
      <c r="X48" s="6">
        <f t="shared" si="35"/>
        <v>0</v>
      </c>
      <c r="Y48" s="2"/>
      <c r="Z48" s="7">
        <f t="shared" si="36"/>
        <v>0</v>
      </c>
    </row>
    <row r="49" spans="1:26" s="27" customFormat="1" outlineLevel="1" collapsed="1" x14ac:dyDescent="0.25">
      <c r="A49" s="25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SUM(OSRRefD22_4x_0)</f>
        <v>-1165.26</v>
      </c>
      <c r="E49" s="1"/>
      <c r="F49" s="5">
        <f t="shared" si="29"/>
        <v>0</v>
      </c>
      <c r="G49" s="1"/>
      <c r="H49" s="1">
        <f>SUM(OSRRefH22_4x_0)</f>
        <v>1280</v>
      </c>
      <c r="I49" s="1"/>
      <c r="J49" s="5">
        <f t="shared" si="30"/>
        <v>0</v>
      </c>
      <c r="K49" s="1"/>
      <c r="L49" s="1">
        <f t="shared" si="31"/>
        <v>-2445.2600000000002</v>
      </c>
      <c r="M49" s="1"/>
      <c r="N49" s="5">
        <f t="shared" si="32"/>
        <v>-1.9103593750000001</v>
      </c>
      <c r="O49" s="13"/>
      <c r="P49" s="1">
        <f>SUM(OSRRefP22_4x_0)</f>
        <v>19059.36</v>
      </c>
      <c r="Q49" s="1"/>
      <c r="R49" s="5">
        <f t="shared" si="33"/>
        <v>19.549866141489986</v>
      </c>
      <c r="S49" s="1"/>
      <c r="T49" s="1">
        <f>SUM(OSRRefT22_4x_0)</f>
        <v>22972</v>
      </c>
      <c r="U49" s="1"/>
      <c r="V49" s="5">
        <f t="shared" si="34"/>
        <v>0</v>
      </c>
      <c r="W49" s="1"/>
      <c r="X49" s="1">
        <f t="shared" si="35"/>
        <v>-3912.6399999999994</v>
      </c>
      <c r="Y49" s="1"/>
      <c r="Z49" s="5">
        <f t="shared" si="36"/>
        <v>-0.17032213129026638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-1165.26</v>
      </c>
      <c r="E50" s="2"/>
      <c r="F50" s="7">
        <f t="shared" si="29"/>
        <v>0</v>
      </c>
      <c r="G50" s="2"/>
      <c r="H50" s="6">
        <v>1280</v>
      </c>
      <c r="I50" s="2"/>
      <c r="J50" s="7">
        <f t="shared" si="30"/>
        <v>0</v>
      </c>
      <c r="K50" s="2"/>
      <c r="L50" s="6">
        <f t="shared" si="31"/>
        <v>-2445.2600000000002</v>
      </c>
      <c r="M50" s="2"/>
      <c r="N50" s="7">
        <f t="shared" si="32"/>
        <v>-1.9103593750000001</v>
      </c>
      <c r="O50" s="11"/>
      <c r="P50" s="6">
        <v>19059.36</v>
      </c>
      <c r="Q50" s="2"/>
      <c r="R50" s="7">
        <f t="shared" si="33"/>
        <v>19.549866141489986</v>
      </c>
      <c r="S50" s="2"/>
      <c r="T50" s="6">
        <v>22972</v>
      </c>
      <c r="U50" s="2"/>
      <c r="V50" s="7">
        <f t="shared" si="34"/>
        <v>0</v>
      </c>
      <c r="W50" s="2"/>
      <c r="X50" s="6">
        <f t="shared" si="35"/>
        <v>-3912.6399999999994</v>
      </c>
      <c r="Y50" s="2"/>
      <c r="Z50" s="7">
        <f t="shared" si="36"/>
        <v>-0.17032213129026638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0</v>
      </c>
      <c r="Q51" s="1"/>
      <c r="R51" s="5">
        <f t="shared" si="33"/>
        <v>0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0</v>
      </c>
      <c r="Y51" s="1"/>
      <c r="Z51" s="5">
        <f t="shared" si="36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>
        <v>0</v>
      </c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/>
      <c r="Q52" s="2"/>
      <c r="R52" s="7">
        <f t="shared" si="33"/>
        <v>0</v>
      </c>
      <c r="S52" s="2"/>
      <c r="T52" s="6">
        <v>0</v>
      </c>
      <c r="U52" s="2"/>
      <c r="V52" s="7">
        <f t="shared" si="34"/>
        <v>0</v>
      </c>
      <c r="W52" s="2"/>
      <c r="X52" s="6">
        <f t="shared" si="35"/>
        <v>0</v>
      </c>
      <c r="Y52" s="2"/>
      <c r="Z52" s="7">
        <f t="shared" si="36"/>
        <v>0</v>
      </c>
    </row>
    <row r="53" spans="1:26" s="27" customFormat="1" outlineLevel="1" collapsed="1" x14ac:dyDescent="0.25">
      <c r="A53" s="25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96.3</v>
      </c>
      <c r="Q53" s="1"/>
      <c r="R53" s="5">
        <f t="shared" si="33"/>
        <v>9.8778348770655749E-2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96.3</v>
      </c>
      <c r="Y53" s="1"/>
      <c r="Z53" s="5">
        <f t="shared" si="36"/>
        <v>0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96.3</v>
      </c>
      <c r="Q54" s="2"/>
      <c r="R54" s="7">
        <f t="shared" si="33"/>
        <v>9.8778348770655749E-2</v>
      </c>
      <c r="S54" s="2"/>
      <c r="T54" s="6"/>
      <c r="U54" s="2"/>
      <c r="V54" s="7">
        <f t="shared" si="34"/>
        <v>0</v>
      </c>
      <c r="W54" s="2"/>
      <c r="X54" s="6">
        <f t="shared" si="35"/>
        <v>96.3</v>
      </c>
      <c r="Y54" s="2"/>
      <c r="Z54" s="7">
        <f t="shared" si="36"/>
        <v>0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7.28</v>
      </c>
      <c r="Q55" s="1"/>
      <c r="R55" s="5">
        <f t="shared" si="33"/>
        <v>7.467355961063073E-3</v>
      </c>
      <c r="S55" s="1"/>
      <c r="T55" s="1">
        <f>SUM(OSRRefT22_7x_0)</f>
        <v>0</v>
      </c>
      <c r="U55" s="1"/>
      <c r="V55" s="5">
        <f t="shared" si="34"/>
        <v>0</v>
      </c>
      <c r="W55" s="1"/>
      <c r="X55" s="1">
        <f t="shared" si="35"/>
        <v>7.28</v>
      </c>
      <c r="Y55" s="1"/>
      <c r="Z55" s="5">
        <f t="shared" si="36"/>
        <v>0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7.28</v>
      </c>
      <c r="Q56" s="2"/>
      <c r="R56" s="7">
        <f t="shared" si="33"/>
        <v>7.467355961063073E-3</v>
      </c>
      <c r="S56" s="2"/>
      <c r="T56" s="6">
        <v>0</v>
      </c>
      <c r="U56" s="2"/>
      <c r="V56" s="7">
        <f t="shared" si="34"/>
        <v>0</v>
      </c>
      <c r="W56" s="2"/>
      <c r="X56" s="6">
        <f t="shared" si="35"/>
        <v>7.28</v>
      </c>
      <c r="Y56" s="2"/>
      <c r="Z56" s="7">
        <f t="shared" si="36"/>
        <v>0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129.16999999999999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129.16999999999999</v>
      </c>
      <c r="M57" s="1"/>
      <c r="N57" s="5">
        <f t="shared" si="32"/>
        <v>0</v>
      </c>
      <c r="O57" s="13"/>
      <c r="P57" s="1">
        <f>SUM(OSRRefP22_8x_0)</f>
        <v>757.21</v>
      </c>
      <c r="Q57" s="1"/>
      <c r="R57" s="5">
        <f t="shared" si="33"/>
        <v>0.77669733616436398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757.21</v>
      </c>
      <c r="Y57" s="1"/>
      <c r="Z57" s="5">
        <f t="shared" si="36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129.16999999999999</v>
      </c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129.16999999999999</v>
      </c>
      <c r="M58" s="2"/>
      <c r="N58" s="7">
        <f t="shared" si="32"/>
        <v>0</v>
      </c>
      <c r="O58" s="11"/>
      <c r="P58" s="6">
        <v>557.21</v>
      </c>
      <c r="Q58" s="2"/>
      <c r="R58" s="7">
        <f t="shared" si="33"/>
        <v>0.5715501943769169</v>
      </c>
      <c r="S58" s="2"/>
      <c r="T58" s="6"/>
      <c r="U58" s="2"/>
      <c r="V58" s="7">
        <f t="shared" si="34"/>
        <v>0</v>
      </c>
      <c r="W58" s="2"/>
      <c r="X58" s="6">
        <f t="shared" si="35"/>
        <v>557.21</v>
      </c>
      <c r="Y58" s="2"/>
      <c r="Z58" s="7">
        <f t="shared" si="36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200</v>
      </c>
      <c r="Q59" s="2"/>
      <c r="R59" s="7">
        <f t="shared" si="33"/>
        <v>0.20514714178744706</v>
      </c>
      <c r="S59" s="2"/>
      <c r="T59" s="6"/>
      <c r="U59" s="2"/>
      <c r="V59" s="7">
        <f t="shared" si="34"/>
        <v>0</v>
      </c>
      <c r="W59" s="2"/>
      <c r="X59" s="6">
        <f t="shared" si="35"/>
        <v>200</v>
      </c>
      <c r="Y59" s="2"/>
      <c r="Z59" s="7">
        <f t="shared" si="36"/>
        <v>0</v>
      </c>
    </row>
    <row r="60" spans="1:26" s="27" customFormat="1" outlineLevel="1" collapsed="1" x14ac:dyDescent="0.25">
      <c r="A60" s="25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SUM(OSRRefD22_9x_0)</f>
        <v>0</v>
      </c>
      <c r="E60" s="1"/>
      <c r="F60" s="5">
        <f t="shared" ref="F60:F69" si="37">IF(D$12=0,0,D60/D$12)</f>
        <v>0</v>
      </c>
      <c r="G60" s="1"/>
      <c r="H60" s="1">
        <f>SUM(OSRRefH22_9x_0)</f>
        <v>0</v>
      </c>
      <c r="I60" s="1"/>
      <c r="J60" s="5">
        <f t="shared" ref="J60:J69" si="38">IF(H$12=0,0,H60/H$12)</f>
        <v>0</v>
      </c>
      <c r="K60" s="1"/>
      <c r="L60" s="1">
        <f t="shared" ref="L60:L69" si="39">+D60-H60</f>
        <v>0</v>
      </c>
      <c r="M60" s="1"/>
      <c r="N60" s="5">
        <f t="shared" ref="N60:N69" si="40">IF(H60=0,0,L60/H60)</f>
        <v>0</v>
      </c>
      <c r="O60" s="13"/>
      <c r="P60" s="1">
        <f>SUM(OSRRefP22_9x_0)</f>
        <v>0</v>
      </c>
      <c r="Q60" s="1"/>
      <c r="R60" s="5">
        <f t="shared" ref="R60:R69" si="41">IF(P$12=0,0,P60/P$12)</f>
        <v>0</v>
      </c>
      <c r="S60" s="1"/>
      <c r="T60" s="1">
        <f>SUM(OSRRefT22_9x_0)</f>
        <v>0</v>
      </c>
      <c r="U60" s="1"/>
      <c r="V60" s="5">
        <f t="shared" ref="V60:V69" si="42">IF(T$12=0,0,T60/T$12)</f>
        <v>0</v>
      </c>
      <c r="W60" s="1"/>
      <c r="X60" s="1">
        <f t="shared" ref="X60:X69" si="43">+P60-T60</f>
        <v>0</v>
      </c>
      <c r="Y60" s="1"/>
      <c r="Z60" s="5">
        <f t="shared" ref="Z60:Z69" si="44">IF(T60=0,0,X60/T60)</f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6"/>
      <c r="E61" s="2"/>
      <c r="F61" s="7">
        <f t="shared" si="37"/>
        <v>0</v>
      </c>
      <c r="G61" s="2"/>
      <c r="H61" s="6">
        <v>0</v>
      </c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/>
      <c r="Q61" s="2"/>
      <c r="R61" s="7">
        <f t="shared" si="41"/>
        <v>0</v>
      </c>
      <c r="S61" s="2"/>
      <c r="T61" s="6">
        <v>0</v>
      </c>
      <c r="U61" s="2"/>
      <c r="V61" s="7">
        <f t="shared" si="42"/>
        <v>0</v>
      </c>
      <c r="W61" s="2"/>
      <c r="X61" s="6">
        <f t="shared" si="43"/>
        <v>0</v>
      </c>
      <c r="Y61" s="2"/>
      <c r="Z61" s="7">
        <f t="shared" si="44"/>
        <v>0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SUM(OSRRefD22_10x_0)</f>
        <v>0</v>
      </c>
      <c r="E62" s="1"/>
      <c r="F62" s="5">
        <f t="shared" si="37"/>
        <v>0</v>
      </c>
      <c r="G62" s="1"/>
      <c r="H62" s="1">
        <f>SUM(OSRRefH22_10x_0)</f>
        <v>0</v>
      </c>
      <c r="I62" s="1"/>
      <c r="J62" s="5">
        <f t="shared" si="38"/>
        <v>0</v>
      </c>
      <c r="K62" s="1"/>
      <c r="L62" s="1">
        <f t="shared" si="39"/>
        <v>0</v>
      </c>
      <c r="M62" s="1"/>
      <c r="N62" s="5">
        <f t="shared" si="40"/>
        <v>0</v>
      </c>
      <c r="O62" s="13"/>
      <c r="P62" s="1">
        <f>SUM(OSRRefP22_10x_0)</f>
        <v>0</v>
      </c>
      <c r="Q62" s="1"/>
      <c r="R62" s="5">
        <f t="shared" si="41"/>
        <v>0</v>
      </c>
      <c r="S62" s="1"/>
      <c r="T62" s="1">
        <f>SUM(OSRRefT22_10x_0)</f>
        <v>0</v>
      </c>
      <c r="U62" s="1"/>
      <c r="V62" s="5">
        <f t="shared" si="42"/>
        <v>0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37"/>
        <v>0</v>
      </c>
      <c r="G63" s="2"/>
      <c r="H63" s="6">
        <v>0</v>
      </c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/>
      <c r="Q63" s="2"/>
      <c r="R63" s="7">
        <f t="shared" si="41"/>
        <v>0</v>
      </c>
      <c r="S63" s="2"/>
      <c r="T63" s="6">
        <v>0</v>
      </c>
      <c r="U63" s="2"/>
      <c r="V63" s="7">
        <f t="shared" si="42"/>
        <v>0</v>
      </c>
      <c r="W63" s="2"/>
      <c r="X63" s="6">
        <f t="shared" si="43"/>
        <v>0</v>
      </c>
      <c r="Y63" s="2"/>
      <c r="Z63" s="7">
        <f t="shared" si="44"/>
        <v>0</v>
      </c>
    </row>
    <row r="64" spans="1:26" s="27" customFormat="1" outlineLevel="1" collapsed="1" x14ac:dyDescent="0.25">
      <c r="A64" s="25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SUM(OSRRefD22_11x_0)</f>
        <v>0</v>
      </c>
      <c r="E64" s="1"/>
      <c r="F64" s="5">
        <f t="shared" si="37"/>
        <v>0</v>
      </c>
      <c r="G64" s="1"/>
      <c r="H64" s="1">
        <f>SUM(OSRRefH22_11x_0)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SUM(OSRRefP22_11x_0)</f>
        <v>0</v>
      </c>
      <c r="Q64" s="1"/>
      <c r="R64" s="5">
        <f t="shared" si="41"/>
        <v>0</v>
      </c>
      <c r="S64" s="1"/>
      <c r="T64" s="1">
        <f>SUM(OSRRefT22_11x_0)</f>
        <v>0</v>
      </c>
      <c r="U64" s="1"/>
      <c r="V64" s="5">
        <f t="shared" si="42"/>
        <v>0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37"/>
        <v>0</v>
      </c>
      <c r="G65" s="2"/>
      <c r="H65" s="6">
        <v>0</v>
      </c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/>
      <c r="Q65" s="2"/>
      <c r="R65" s="7">
        <f t="shared" si="41"/>
        <v>0</v>
      </c>
      <c r="S65" s="2"/>
      <c r="T65" s="6">
        <v>0</v>
      </c>
      <c r="U65" s="2"/>
      <c r="V65" s="7">
        <f t="shared" si="42"/>
        <v>0</v>
      </c>
      <c r="W65" s="2"/>
      <c r="X65" s="6">
        <f t="shared" si="43"/>
        <v>0</v>
      </c>
      <c r="Y65" s="2"/>
      <c r="Z65" s="7">
        <f t="shared" si="44"/>
        <v>0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0</v>
      </c>
      <c r="E66" s="1"/>
      <c r="F66" s="5">
        <f t="shared" si="37"/>
        <v>0</v>
      </c>
      <c r="G66" s="1"/>
      <c r="H66" s="1">
        <f>SUM(OSRRefH22_12x_0)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SUM(OSRRefP22_12x_0)</f>
        <v>0</v>
      </c>
      <c r="Q66" s="1"/>
      <c r="R66" s="5">
        <f t="shared" si="41"/>
        <v>0</v>
      </c>
      <c r="S66" s="1"/>
      <c r="T66" s="1">
        <f>SUM(OSRRefT22_12x_0)</f>
        <v>0</v>
      </c>
      <c r="U66" s="1"/>
      <c r="V66" s="5">
        <f t="shared" si="42"/>
        <v>0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6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37"/>
        <v>0</v>
      </c>
      <c r="G67" s="2"/>
      <c r="H67" s="6">
        <v>0</v>
      </c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0</v>
      </c>
      <c r="Y67" s="2"/>
      <c r="Z67" s="7">
        <f t="shared" si="44"/>
        <v>0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37"/>
        <v>0</v>
      </c>
      <c r="G68" s="2"/>
      <c r="H68" s="6">
        <v>0</v>
      </c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/>
      <c r="Q68" s="2"/>
      <c r="R68" s="7">
        <f t="shared" si="41"/>
        <v>0</v>
      </c>
      <c r="S68" s="2"/>
      <c r="T68" s="6">
        <v>0</v>
      </c>
      <c r="U68" s="2"/>
      <c r="V68" s="7">
        <f t="shared" si="42"/>
        <v>0</v>
      </c>
      <c r="W68" s="2"/>
      <c r="X68" s="6">
        <f t="shared" si="43"/>
        <v>0</v>
      </c>
      <c r="Y68" s="2"/>
      <c r="Z68" s="7">
        <f t="shared" si="44"/>
        <v>0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6"/>
      <c r="E69" s="2"/>
      <c r="F69" s="7">
        <f t="shared" si="37"/>
        <v>0</v>
      </c>
      <c r="G69" s="2"/>
      <c r="H69" s="6">
        <v>0</v>
      </c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/>
      <c r="Q69" s="2"/>
      <c r="R69" s="7">
        <f t="shared" si="41"/>
        <v>0</v>
      </c>
      <c r="S69" s="2"/>
      <c r="T69" s="6">
        <v>0</v>
      </c>
      <c r="U69" s="2"/>
      <c r="V69" s="7">
        <f t="shared" si="42"/>
        <v>0</v>
      </c>
      <c r="W69" s="2"/>
      <c r="X69" s="6">
        <f t="shared" si="43"/>
        <v>0</v>
      </c>
      <c r="Y69" s="2"/>
      <c r="Z69" s="7">
        <f t="shared" si="44"/>
        <v>0</v>
      </c>
    </row>
    <row r="70" spans="1:26" s="27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0</v>
      </c>
      <c r="E70" s="1"/>
      <c r="F70" s="5">
        <f t="shared" ref="F70:F75" si="45">IF(D$12=0,0,D70/D$12)</f>
        <v>0</v>
      </c>
      <c r="G70" s="1"/>
      <c r="H70" s="1">
        <f>SUM(OSRRefH22_13x_0)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3"/>
      <c r="P70" s="1">
        <f>SUM(OSRRefP22_13x_0)</f>
        <v>0</v>
      </c>
      <c r="Q70" s="1"/>
      <c r="R70" s="5">
        <f t="shared" ref="R70:R75" si="49">IF(P$12=0,0,P70/P$12)</f>
        <v>0</v>
      </c>
      <c r="S70" s="1"/>
      <c r="T70" s="1">
        <f>SUM(OSRRefT22_13x_0)</f>
        <v>0</v>
      </c>
      <c r="U70" s="1"/>
      <c r="V70" s="5">
        <f t="shared" ref="V70:V75" si="50">IF(T$12=0,0,T70/T$12)</f>
        <v>0</v>
      </c>
      <c r="W70" s="1"/>
      <c r="X70" s="1">
        <f t="shared" ref="X70:X75" si="51">+P70-T70</f>
        <v>0</v>
      </c>
      <c r="Y70" s="1"/>
      <c r="Z70" s="5">
        <f t="shared" ref="Z70:Z75" si="52">IF(T70=0,0,X70/T70)</f>
        <v>0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5"/>
        <v>0</v>
      </c>
      <c r="G71" s="2"/>
      <c r="H71" s="6">
        <v>0</v>
      </c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/>
      <c r="Q71" s="2"/>
      <c r="R71" s="7">
        <f t="shared" si="49"/>
        <v>0</v>
      </c>
      <c r="S71" s="2"/>
      <c r="T71" s="6">
        <v>0</v>
      </c>
      <c r="U71" s="2"/>
      <c r="V71" s="7">
        <f t="shared" si="50"/>
        <v>0</v>
      </c>
      <c r="W71" s="2"/>
      <c r="X71" s="6">
        <f t="shared" si="51"/>
        <v>0</v>
      </c>
      <c r="Y71" s="2"/>
      <c r="Z71" s="7">
        <f t="shared" si="52"/>
        <v>0</v>
      </c>
    </row>
    <row r="72" spans="1:26" s="27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45"/>
        <v>0</v>
      </c>
      <c r="G72" s="1"/>
      <c r="H72" s="1">
        <f>SUM(OSRRefH22_14x_0)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SUM(OSRRefP22_14x_0)</f>
        <v>0</v>
      </c>
      <c r="Q72" s="1"/>
      <c r="R72" s="5">
        <f t="shared" si="49"/>
        <v>0</v>
      </c>
      <c r="S72" s="1"/>
      <c r="T72" s="1">
        <f>SUM(OSRRefT22_14x_0)</f>
        <v>0</v>
      </c>
      <c r="U72" s="1"/>
      <c r="V72" s="5">
        <f t="shared" si="50"/>
        <v>0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/>
      <c r="Q73" s="2"/>
      <c r="R73" s="7">
        <f t="shared" si="49"/>
        <v>0</v>
      </c>
      <c r="S73" s="2"/>
      <c r="T73" s="6">
        <v>0</v>
      </c>
      <c r="U73" s="2"/>
      <c r="V73" s="7">
        <f t="shared" si="50"/>
        <v>0</v>
      </c>
      <c r="W73" s="2"/>
      <c r="X73" s="6">
        <f t="shared" si="51"/>
        <v>0</v>
      </c>
      <c r="Y73" s="2"/>
      <c r="Z73" s="7">
        <f t="shared" si="52"/>
        <v>0</v>
      </c>
    </row>
    <row r="74" spans="1:26" s="27" customFormat="1" outlineLevel="1" collapsed="1" x14ac:dyDescent="0.25">
      <c r="A74" s="25"/>
      <c r="B74" s="13" t="str">
        <f>CONCATENATE("     ","Travel                                            ")</f>
        <v xml:space="preserve">     Travel                                            </v>
      </c>
      <c r="C74" s="13"/>
      <c r="D74" s="1">
        <f>SUM(OSRRefD22_15x_0)</f>
        <v>0</v>
      </c>
      <c r="E74" s="1"/>
      <c r="F74" s="5">
        <f t="shared" si="45"/>
        <v>0</v>
      </c>
      <c r="G74" s="1"/>
      <c r="H74" s="1">
        <f>SUM(OSRRefH22_15x_0)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3"/>
      <c r="P74" s="1">
        <f>SUM(OSRRefP22_15x_0)</f>
        <v>0</v>
      </c>
      <c r="Q74" s="1"/>
      <c r="R74" s="5">
        <f t="shared" si="49"/>
        <v>0</v>
      </c>
      <c r="S74" s="1"/>
      <c r="T74" s="1">
        <f>SUM(OSRRefT22_15x_0)</f>
        <v>0</v>
      </c>
      <c r="U74" s="1"/>
      <c r="V74" s="5">
        <f t="shared" si="50"/>
        <v>0</v>
      </c>
      <c r="W74" s="1"/>
      <c r="X74" s="1">
        <f t="shared" si="51"/>
        <v>0</v>
      </c>
      <c r="Y74" s="1"/>
      <c r="Z74" s="5">
        <f t="shared" si="52"/>
        <v>0</v>
      </c>
    </row>
    <row r="75" spans="1:26" s="24" customFormat="1" hidden="1" outlineLevel="2" x14ac:dyDescent="0.25">
      <c r="A75" s="26"/>
      <c r="B75" s="11" t="str">
        <f>CONCATENATE("          ", "6292", " - ", "TRAVEL/CONFERENCE")</f>
        <v xml:space="preserve">          6292 - TRAVEL/CONFERENCE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/>
      <c r="Q75" s="2"/>
      <c r="R75" s="7">
        <f t="shared" si="49"/>
        <v>0</v>
      </c>
      <c r="S75" s="2"/>
      <c r="T75" s="6">
        <v>0</v>
      </c>
      <c r="U75" s="2"/>
      <c r="V75" s="7">
        <f t="shared" si="50"/>
        <v>0</v>
      </c>
      <c r="W75" s="2"/>
      <c r="X75" s="6">
        <f t="shared" si="51"/>
        <v>0</v>
      </c>
      <c r="Y75" s="2"/>
      <c r="Z75" s="7">
        <f t="shared" si="52"/>
        <v>0</v>
      </c>
    </row>
    <row r="76" spans="1:26" s="61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0">
        <f>+D21-D23+D77</f>
        <v>1036.0899999999999</v>
      </c>
      <c r="E79" s="14"/>
      <c r="F79" s="22">
        <f>IF(D$12=0,0,D79/D$12)</f>
        <v>0</v>
      </c>
      <c r="G79" s="14"/>
      <c r="H79" s="20">
        <f>+H21-H23+H77</f>
        <v>-1280</v>
      </c>
      <c r="I79" s="14"/>
      <c r="J79" s="22">
        <f>IF(H$12=0,0,H79/H$12)</f>
        <v>0</v>
      </c>
      <c r="K79" s="16"/>
      <c r="L79" s="20">
        <f>+D79-H79</f>
        <v>2316.09</v>
      </c>
      <c r="M79" s="16"/>
      <c r="N79" s="22">
        <f>IF(H79=0,0,L79/H79)</f>
        <v>-1.8094453125000001</v>
      </c>
      <c r="O79" s="29"/>
      <c r="P79" s="20">
        <f>+P21-P23+P77</f>
        <v>-17362.019999999997</v>
      </c>
      <c r="Q79" s="14"/>
      <c r="R79" s="22">
        <f>IF(P$12=0,0,P79/P$12)</f>
        <v>-17.808843893282454</v>
      </c>
      <c r="S79" s="14"/>
      <c r="T79" s="20">
        <f>+T21-T23+T77</f>
        <v>-22972</v>
      </c>
      <c r="U79" s="14"/>
      <c r="V79" s="22">
        <f>IF(T$12=0,0,T79/T$12)</f>
        <v>0</v>
      </c>
      <c r="W79" s="16"/>
      <c r="X79" s="20">
        <f>+P79-T79</f>
        <v>5609.9800000000032</v>
      </c>
      <c r="Y79" s="16"/>
      <c r="Z79" s="22">
        <f>IF(T79=0,0,X79/T79)</f>
        <v>-0.24420947240118418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61.52</v>
      </c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61.52</v>
      </c>
      <c r="M81" s="4"/>
      <c r="N81" s="12">
        <f>IF(H81=0,0,L81/H81)</f>
        <v>0</v>
      </c>
      <c r="O81" s="10"/>
      <c r="P81" s="4">
        <v>269.85000000000002</v>
      </c>
      <c r="Q81" s="4"/>
      <c r="R81" s="12">
        <f>IF(P$12=0,0,P81/P$12)</f>
        <v>0.27679478105671296</v>
      </c>
      <c r="S81" s="4"/>
      <c r="T81" s="4"/>
      <c r="U81" s="4"/>
      <c r="V81" s="12">
        <f>IF(T$12=0,0,T81/T$12)</f>
        <v>0</v>
      </c>
      <c r="W81" s="4"/>
      <c r="X81" s="4">
        <f>+P81-T81</f>
        <v>269.85000000000002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4">
        <f>+D79-D81</f>
        <v>974.56999999999994</v>
      </c>
      <c r="E83" s="14"/>
      <c r="F83" s="35">
        <f>IF(D$12=0,0,D83/D$12)</f>
        <v>0</v>
      </c>
      <c r="G83" s="14"/>
      <c r="H83" s="34">
        <f>+H79-H81</f>
        <v>-1280</v>
      </c>
      <c r="I83" s="14"/>
      <c r="J83" s="35">
        <f>IF(H$12=0,0,H83/H$12)</f>
        <v>0</v>
      </c>
      <c r="K83" s="16"/>
      <c r="L83" s="34">
        <f>D83-H83</f>
        <v>2254.5699999999997</v>
      </c>
      <c r="M83" s="16"/>
      <c r="N83" s="35">
        <f>IF(H83=0,0,L83/H83)</f>
        <v>-1.7613828124999997</v>
      </c>
      <c r="O83" s="29"/>
      <c r="P83" s="34">
        <f>+P79-P81</f>
        <v>-17631.869999999995</v>
      </c>
      <c r="Q83" s="14"/>
      <c r="R83" s="35">
        <f>IF(P$12=0,0,P83/P$12)</f>
        <v>-18.085638674339165</v>
      </c>
      <c r="S83" s="14"/>
      <c r="T83" s="34">
        <f>+T79-T81</f>
        <v>-22972</v>
      </c>
      <c r="U83" s="14"/>
      <c r="V83" s="35">
        <f>IF(T$12=0,0,T83/T$12)</f>
        <v>0</v>
      </c>
      <c r="W83" s="16"/>
      <c r="X83" s="34">
        <f>P83-T83</f>
        <v>5340.1300000000047</v>
      </c>
      <c r="Y83" s="16"/>
      <c r="Z83" s="35">
        <f>IF(T83=0,0,X83/T83)</f>
        <v>-0.2324625631203206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3">
        <f>SUM(D83:D85)</f>
        <v>974.56999999999994</v>
      </c>
      <c r="E86" s="14"/>
      <c r="F86" s="31">
        <f>IF(D$12=0,0,D86/D$12)</f>
        <v>0</v>
      </c>
      <c r="G86" s="14"/>
      <c r="H86" s="33">
        <f>SUM(H83:H85)</f>
        <v>-1280</v>
      </c>
      <c r="I86" s="14"/>
      <c r="J86" s="31">
        <f>IF(H$12=0,0,H86/H$12)</f>
        <v>0</v>
      </c>
      <c r="K86" s="16"/>
      <c r="L86" s="33">
        <f>+D86-H86</f>
        <v>2254.5699999999997</v>
      </c>
      <c r="M86" s="16"/>
      <c r="N86" s="31">
        <f>IF(H86=0,0,L86/H86)</f>
        <v>-1.7613828124999997</v>
      </c>
      <c r="O86" s="29"/>
      <c r="P86" s="33">
        <f>SUM(P83:P85)</f>
        <v>-17631.869999999995</v>
      </c>
      <c r="Q86" s="14"/>
      <c r="R86" s="31">
        <f>IF(P$12=0,0,P86/P$12)</f>
        <v>-18.085638674339165</v>
      </c>
      <c r="S86" s="14"/>
      <c r="T86" s="33">
        <f>SUM(T83:T85)</f>
        <v>-22972</v>
      </c>
      <c r="U86" s="14"/>
      <c r="V86" s="31">
        <f>IF(T$12=0,0,T86/T$12)</f>
        <v>0</v>
      </c>
      <c r="W86" s="16"/>
      <c r="X86" s="33">
        <f>+P86-T86</f>
        <v>5340.1300000000047</v>
      </c>
      <c r="Y86" s="16"/>
      <c r="Z86" s="31">
        <f>IF(T86=0,0,X86/T86)</f>
        <v>-0.2324625631203206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6">
        <v>44454.686112384261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17061.97</v>
      </c>
      <c r="E12" s="4"/>
      <c r="F12" s="12"/>
      <c r="G12" s="4"/>
      <c r="H12" s="4">
        <f>SUM(OSRRefH13x_0)</f>
        <v>10890</v>
      </c>
      <c r="I12" s="4"/>
      <c r="J12" s="12"/>
      <c r="K12" s="4"/>
      <c r="L12" s="4">
        <f t="shared" ref="L12:L16" si="0">+D12-H12</f>
        <v>6171.9700000000012</v>
      </c>
      <c r="M12" s="4"/>
      <c r="N12" s="12">
        <f t="shared" ref="N12:N16" si="1">IF(H12=0,0,L12/H12)</f>
        <v>0.56675573921028477</v>
      </c>
      <c r="O12" s="10"/>
      <c r="P12" s="4">
        <f>SUM(OSRRefP13x_0)</f>
        <v>94228.160000000003</v>
      </c>
      <c r="Q12" s="4"/>
      <c r="R12" s="12"/>
      <c r="S12" s="4"/>
      <c r="T12" s="4">
        <f>SUM(OSRRefT13x_0)</f>
        <v>233685</v>
      </c>
      <c r="U12" s="4"/>
      <c r="V12" s="12"/>
      <c r="W12" s="4"/>
      <c r="X12" s="4">
        <f t="shared" ref="X12:X16" si="2">+P12-T12</f>
        <v>-139456.84</v>
      </c>
      <c r="Y12" s="4"/>
      <c r="Z12" s="12">
        <f t="shared" ref="Z12:Z16" si="3">IF(T12=0,0,X12/T12)</f>
        <v>-0.59677274964161153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3387</v>
      </c>
      <c r="I13" s="2"/>
      <c r="J13" s="19"/>
      <c r="K13" s="2"/>
      <c r="L13" s="2">
        <f t="shared" si="0"/>
        <v>-3387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72679</v>
      </c>
      <c r="U13" s="2"/>
      <c r="V13" s="19"/>
      <c r="W13" s="2"/>
      <c r="X13" s="2">
        <f t="shared" si="2"/>
        <v>-72679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--9799.52</f>
        <v>9799.52</v>
      </c>
      <c r="E14" s="2"/>
      <c r="F14" s="19"/>
      <c r="G14" s="2"/>
      <c r="H14" s="2"/>
      <c r="I14" s="2"/>
      <c r="J14" s="19"/>
      <c r="K14" s="2"/>
      <c r="L14" s="2">
        <f t="shared" si="0"/>
        <v>9799.52</v>
      </c>
      <c r="M14" s="2"/>
      <c r="N14" s="19">
        <f t="shared" si="1"/>
        <v>0</v>
      </c>
      <c r="O14" s="11"/>
      <c r="P14" s="2">
        <f>--49082.44</f>
        <v>49082.44</v>
      </c>
      <c r="Q14" s="2"/>
      <c r="R14" s="19"/>
      <c r="S14" s="2"/>
      <c r="T14" s="2"/>
      <c r="U14" s="2"/>
      <c r="V14" s="19"/>
      <c r="W14" s="2"/>
      <c r="X14" s="2">
        <f t="shared" si="2"/>
        <v>49082.44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7503</v>
      </c>
      <c r="I15" s="2"/>
      <c r="J15" s="19"/>
      <c r="K15" s="2"/>
      <c r="L15" s="2">
        <f t="shared" si="0"/>
        <v>-7503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161006</v>
      </c>
      <c r="U15" s="2"/>
      <c r="V15" s="19"/>
      <c r="W15" s="2"/>
      <c r="X15" s="2">
        <f t="shared" si="2"/>
        <v>-161006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--7262.45</f>
        <v>7262.45</v>
      </c>
      <c r="E16" s="2"/>
      <c r="F16" s="19"/>
      <c r="G16" s="2"/>
      <c r="H16" s="2"/>
      <c r="I16" s="2"/>
      <c r="J16" s="19"/>
      <c r="K16" s="2"/>
      <c r="L16" s="2">
        <f t="shared" si="0"/>
        <v>7262.45</v>
      </c>
      <c r="M16" s="2"/>
      <c r="N16" s="19">
        <f t="shared" si="1"/>
        <v>0</v>
      </c>
      <c r="O16" s="11"/>
      <c r="P16" s="2">
        <f>--45145.72</f>
        <v>45145.72</v>
      </c>
      <c r="Q16" s="2"/>
      <c r="R16" s="19"/>
      <c r="S16" s="2"/>
      <c r="T16" s="2"/>
      <c r="U16" s="2"/>
      <c r="V16" s="19"/>
      <c r="W16" s="2"/>
      <c r="X16" s="2">
        <f t="shared" si="2"/>
        <v>45145.72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5421.68</v>
      </c>
      <c r="E18" s="4"/>
      <c r="F18" s="12">
        <f t="shared" ref="F18:F21" si="4">IF(D$12=0,0,D18/D$12)</f>
        <v>0.31776400966594126</v>
      </c>
      <c r="G18" s="4"/>
      <c r="H18" s="4">
        <f>SUM(OSRRefH16x_0)</f>
        <v>2831</v>
      </c>
      <c r="I18" s="4"/>
      <c r="J18" s="12">
        <f t="shared" ref="J18:J21" si="5">IF(H$12=0,0,H18/H$12)</f>
        <v>0.25996326905417816</v>
      </c>
      <c r="K18" s="4"/>
      <c r="L18" s="4">
        <f t="shared" ref="L18:L21" si="6">+D18-H18</f>
        <v>2590.6800000000003</v>
      </c>
      <c r="M18" s="4"/>
      <c r="N18" s="12">
        <f t="shared" ref="N18:N21" si="7">IF(H18=0,0,L18/H18)</f>
        <v>0.91511126810314392</v>
      </c>
      <c r="O18" s="10"/>
      <c r="P18" s="4">
        <f>SUM(OSRRefP16x_0)</f>
        <v>34819.31</v>
      </c>
      <c r="Q18" s="4"/>
      <c r="R18" s="12">
        <f t="shared" ref="R18:R21" si="8">IF(P$12=0,0,P18/P$12)</f>
        <v>0.36952127686670305</v>
      </c>
      <c r="S18" s="4"/>
      <c r="T18" s="4">
        <f>SUM(OSRRefT16x_0)</f>
        <v>73448</v>
      </c>
      <c r="U18" s="4"/>
      <c r="V18" s="12">
        <f t="shared" ref="V18:V21" si="9">IF(T$12=0,0,T18/T$12)</f>
        <v>0.31430344266854954</v>
      </c>
      <c r="W18" s="4"/>
      <c r="X18" s="4">
        <f t="shared" ref="X18:X21" si="10">+P18-T18</f>
        <v>-38628.69</v>
      </c>
      <c r="Y18" s="4"/>
      <c r="Z18" s="12">
        <f t="shared" ref="Z18:Z21" si="11">IF(T18=0,0,X18/T18)</f>
        <v>-0.52593249646008067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2831</v>
      </c>
      <c r="I19" s="2"/>
      <c r="J19" s="19">
        <f t="shared" si="5"/>
        <v>0.25996326905417816</v>
      </c>
      <c r="K19" s="2"/>
      <c r="L19" s="2">
        <f t="shared" si="6"/>
        <v>-2831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73448</v>
      </c>
      <c r="U19" s="2"/>
      <c r="V19" s="19">
        <f t="shared" si="9"/>
        <v>0.31430344266854954</v>
      </c>
      <c r="W19" s="2"/>
      <c r="X19" s="2">
        <f t="shared" si="10"/>
        <v>-73448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5530.68</v>
      </c>
      <c r="E20" s="2"/>
      <c r="F20" s="19">
        <f t="shared" si="4"/>
        <v>0.32415248649481859</v>
      </c>
      <c r="G20" s="2"/>
      <c r="H20" s="2"/>
      <c r="I20" s="2"/>
      <c r="J20" s="19">
        <f t="shared" si="5"/>
        <v>0</v>
      </c>
      <c r="K20" s="2"/>
      <c r="L20" s="2">
        <f t="shared" si="6"/>
        <v>5530.68</v>
      </c>
      <c r="M20" s="2"/>
      <c r="N20" s="19">
        <f t="shared" si="7"/>
        <v>0</v>
      </c>
      <c r="O20" s="11"/>
      <c r="P20" s="2">
        <v>29292.3</v>
      </c>
      <c r="Q20" s="2"/>
      <c r="R20" s="19">
        <f t="shared" si="8"/>
        <v>0.31086566903142326</v>
      </c>
      <c r="S20" s="2"/>
      <c r="T20" s="2"/>
      <c r="U20" s="2"/>
      <c r="V20" s="19">
        <f t="shared" si="9"/>
        <v>0</v>
      </c>
      <c r="W20" s="2"/>
      <c r="X20" s="2">
        <f t="shared" si="10"/>
        <v>29292.3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-109</v>
      </c>
      <c r="E21" s="2"/>
      <c r="F21" s="19">
        <f t="shared" si="4"/>
        <v>-6.3884768288773215E-3</v>
      </c>
      <c r="G21" s="2"/>
      <c r="H21" s="2"/>
      <c r="I21" s="2"/>
      <c r="J21" s="19">
        <f t="shared" si="5"/>
        <v>0</v>
      </c>
      <c r="K21" s="2"/>
      <c r="L21" s="2">
        <f t="shared" si="6"/>
        <v>-109</v>
      </c>
      <c r="M21" s="2"/>
      <c r="N21" s="19">
        <f t="shared" si="7"/>
        <v>0</v>
      </c>
      <c r="O21" s="11"/>
      <c r="P21" s="2">
        <v>5527.01</v>
      </c>
      <c r="Q21" s="2"/>
      <c r="R21" s="19">
        <f t="shared" si="8"/>
        <v>5.8655607835279816E-2</v>
      </c>
      <c r="S21" s="2"/>
      <c r="T21" s="2"/>
      <c r="U21" s="2"/>
      <c r="V21" s="19">
        <f t="shared" si="9"/>
        <v>0</v>
      </c>
      <c r="W21" s="2"/>
      <c r="X21" s="2">
        <f t="shared" si="10"/>
        <v>5527.01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11640.29</v>
      </c>
      <c r="E23" s="14"/>
      <c r="F23" s="22">
        <f>IF(D$12=0,0,D23/D$12)</f>
        <v>0.68223599033405868</v>
      </c>
      <c r="G23" s="14"/>
      <c r="H23" s="20">
        <f>H12-H18</f>
        <v>8059</v>
      </c>
      <c r="I23" s="14"/>
      <c r="J23" s="22">
        <f>IF(H$12=0,0,H23/H$12)</f>
        <v>0.7400367309458219</v>
      </c>
      <c r="K23" s="16"/>
      <c r="L23" s="20">
        <f>+D23-H23</f>
        <v>3581.2900000000009</v>
      </c>
      <c r="M23" s="16"/>
      <c r="N23" s="22">
        <f>IF(H23=0,0,L23/H23)</f>
        <v>0.44438391860032272</v>
      </c>
      <c r="O23" s="29"/>
      <c r="P23" s="20">
        <f>P12-P18</f>
        <v>59408.850000000006</v>
      </c>
      <c r="Q23" s="14"/>
      <c r="R23" s="22">
        <f>IF(P$12=0,0,P23/P$12)</f>
        <v>0.63047872313329689</v>
      </c>
      <c r="S23" s="14"/>
      <c r="T23" s="20">
        <f>T12-T18</f>
        <v>160237</v>
      </c>
      <c r="U23" s="14"/>
      <c r="V23" s="22">
        <f>IF(T$12=0,0,T23/T$12)</f>
        <v>0.68569655733145041</v>
      </c>
      <c r="W23" s="16"/>
      <c r="X23" s="20">
        <f>+P23-T23</f>
        <v>-100828.15</v>
      </c>
      <c r="Y23" s="16"/>
      <c r="Z23" s="22">
        <f>IF(T23=0,0,X23/T23)</f>
        <v>-0.62924387001753646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52241.710000000006</v>
      </c>
      <c r="E25" s="21"/>
      <c r="F25" s="30">
        <f t="shared" ref="F25:F35" si="12">IF(D$12=0,0,D25/D$12)</f>
        <v>3.0618803104213641</v>
      </c>
      <c r="G25" s="21"/>
      <c r="H25" s="21">
        <f>SUM(OSRRefH22x_0)</f>
        <v>46083.412875092312</v>
      </c>
      <c r="I25" s="21"/>
      <c r="J25" s="30">
        <f t="shared" ref="J25:J35" si="13">IF(H$12=0,0,H25/H$12)</f>
        <v>4.2317183540029673</v>
      </c>
      <c r="K25" s="4"/>
      <c r="L25" s="21">
        <f t="shared" ref="L25:L35" si="14">+D25-H25</f>
        <v>6158.2971249076945</v>
      </c>
      <c r="M25" s="4"/>
      <c r="N25" s="30">
        <f t="shared" ref="N25:N35" si="15">IF(H25=0,0,L25/H25)</f>
        <v>0.13363370333702435</v>
      </c>
      <c r="O25" s="10"/>
      <c r="P25" s="21">
        <f>SUM(OSRRefP22x_0)</f>
        <v>721319.13999999966</v>
      </c>
      <c r="Q25" s="21"/>
      <c r="R25" s="30">
        <f t="shared" ref="R25:R35" si="16">IF(P$12=0,0,P25/P$12)</f>
        <v>7.655027329409803</v>
      </c>
      <c r="S25" s="21"/>
      <c r="T25" s="21">
        <f>SUM(OSRRefT22x_0)</f>
        <v>669321.67845838459</v>
      </c>
      <c r="U25" s="21"/>
      <c r="V25" s="30">
        <f t="shared" ref="V25:V35" si="17">IF(T$12=0,0,T25/T$12)</f>
        <v>2.8642047134321182</v>
      </c>
      <c r="W25" s="4"/>
      <c r="X25" s="21">
        <f t="shared" ref="X25:X35" si="18">+P25-T25</f>
        <v>51997.461541615077</v>
      </c>
      <c r="Y25" s="4"/>
      <c r="Z25" s="30">
        <f t="shared" ref="Z25:Z35" si="19">IF(T25=0,0,X25/T25)</f>
        <v>7.7686803244410449E-2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14117.14</v>
      </c>
      <c r="E26" s="1"/>
      <c r="F26" s="5">
        <f t="shared" si="12"/>
        <v>0.82740386954144207</v>
      </c>
      <c r="G26" s="1"/>
      <c r="H26" s="1">
        <f>SUM(OSRRefH22_0x_0)</f>
        <v>5801.0408750923107</v>
      </c>
      <c r="I26" s="1"/>
      <c r="J26" s="5">
        <f t="shared" si="13"/>
        <v>0.53269429523345369</v>
      </c>
      <c r="K26" s="1"/>
      <c r="L26" s="1">
        <f t="shared" si="14"/>
        <v>8316.0991249076887</v>
      </c>
      <c r="M26" s="1"/>
      <c r="N26" s="5">
        <f t="shared" si="15"/>
        <v>1.433552926788394</v>
      </c>
      <c r="O26" s="13"/>
      <c r="P26" s="1">
        <f>SUM(OSRRefP22_0x_0)</f>
        <v>163160.98000000001</v>
      </c>
      <c r="Q26" s="1"/>
      <c r="R26" s="5">
        <f t="shared" si="16"/>
        <v>1.7315522238787215</v>
      </c>
      <c r="S26" s="1"/>
      <c r="T26" s="1">
        <f>SUM(OSRRefT22_0x_0)</f>
        <v>74078.812858384597</v>
      </c>
      <c r="U26" s="1"/>
      <c r="V26" s="5">
        <f t="shared" si="17"/>
        <v>0.31700285794289151</v>
      </c>
      <c r="W26" s="1"/>
      <c r="X26" s="1">
        <f t="shared" si="18"/>
        <v>89082.167141615413</v>
      </c>
      <c r="Y26" s="1"/>
      <c r="Z26" s="5">
        <f t="shared" si="19"/>
        <v>1.2025323261039902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1530.77</v>
      </c>
      <c r="E27" s="2"/>
      <c r="F27" s="7">
        <f t="shared" si="12"/>
        <v>8.9718244727894844E-2</v>
      </c>
      <c r="G27" s="2"/>
      <c r="H27" s="6">
        <v>719.19679740000004</v>
      </c>
      <c r="I27" s="2"/>
      <c r="J27" s="7">
        <f t="shared" si="13"/>
        <v>6.6041946501377416E-2</v>
      </c>
      <c r="K27" s="2"/>
      <c r="L27" s="6">
        <f t="shared" si="14"/>
        <v>811.57320259999995</v>
      </c>
      <c r="M27" s="2"/>
      <c r="N27" s="7">
        <f t="shared" si="15"/>
        <v>1.1284438494914799</v>
      </c>
      <c r="O27" s="11"/>
      <c r="P27" s="6">
        <v>18875.099999999999</v>
      </c>
      <c r="Q27" s="2"/>
      <c r="R27" s="7">
        <f t="shared" si="16"/>
        <v>0.20031273029209101</v>
      </c>
      <c r="S27" s="2"/>
      <c r="T27" s="6">
        <v>8483.2050930000005</v>
      </c>
      <c r="U27" s="2"/>
      <c r="V27" s="7">
        <f t="shared" si="17"/>
        <v>3.6301881134861033E-2</v>
      </c>
      <c r="W27" s="2"/>
      <c r="X27" s="6">
        <f t="shared" si="18"/>
        <v>10391.894906999998</v>
      </c>
      <c r="Y27" s="2"/>
      <c r="Z27" s="7">
        <f t="shared" si="19"/>
        <v>1.2249963065934799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608.28</v>
      </c>
      <c r="E28" s="2"/>
      <c r="F28" s="7">
        <f t="shared" si="12"/>
        <v>3.5651217297885292E-2</v>
      </c>
      <c r="G28" s="2"/>
      <c r="H28" s="6">
        <v>483.46498200000002</v>
      </c>
      <c r="I28" s="2"/>
      <c r="J28" s="7">
        <f t="shared" si="13"/>
        <v>4.4395315151515152E-2</v>
      </c>
      <c r="K28" s="2"/>
      <c r="L28" s="6">
        <f t="shared" si="14"/>
        <v>124.81501799999995</v>
      </c>
      <c r="M28" s="2"/>
      <c r="N28" s="7">
        <f t="shared" si="15"/>
        <v>0.25816764946173487</v>
      </c>
      <c r="O28" s="11"/>
      <c r="P28" s="6">
        <v>7974.22</v>
      </c>
      <c r="Q28" s="2"/>
      <c r="R28" s="7">
        <f t="shared" si="16"/>
        <v>8.4626718806777079E-2</v>
      </c>
      <c r="S28" s="2"/>
      <c r="T28" s="6">
        <v>7602.6873779999996</v>
      </c>
      <c r="U28" s="2"/>
      <c r="V28" s="7">
        <f t="shared" si="17"/>
        <v>3.2533912651646443E-2</v>
      </c>
      <c r="W28" s="2"/>
      <c r="X28" s="6">
        <f t="shared" si="18"/>
        <v>371.53262200000063</v>
      </c>
      <c r="Y28" s="2"/>
      <c r="Z28" s="7">
        <f t="shared" si="19"/>
        <v>4.8868591266176438E-2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6634.06</v>
      </c>
      <c r="E29" s="2"/>
      <c r="F29" s="7">
        <f t="shared" si="12"/>
        <v>0.38882145496680631</v>
      </c>
      <c r="G29" s="2"/>
      <c r="H29" s="6">
        <v>3212.6923076923099</v>
      </c>
      <c r="I29" s="2"/>
      <c r="J29" s="7">
        <f t="shared" si="13"/>
        <v>0.2950130677403407</v>
      </c>
      <c r="K29" s="2"/>
      <c r="L29" s="6">
        <f t="shared" si="14"/>
        <v>3421.3676923076905</v>
      </c>
      <c r="M29" s="2"/>
      <c r="N29" s="7">
        <f t="shared" si="15"/>
        <v>1.064953429905422</v>
      </c>
      <c r="O29" s="11"/>
      <c r="P29" s="6">
        <v>80735.75</v>
      </c>
      <c r="Q29" s="2"/>
      <c r="R29" s="7">
        <f t="shared" si="16"/>
        <v>0.85681127594977968</v>
      </c>
      <c r="S29" s="2"/>
      <c r="T29" s="6">
        <v>39134.884615384603</v>
      </c>
      <c r="U29" s="2"/>
      <c r="V29" s="7">
        <f t="shared" si="17"/>
        <v>0.16746853505952286</v>
      </c>
      <c r="W29" s="2"/>
      <c r="X29" s="6">
        <f t="shared" si="18"/>
        <v>41600.865384615397</v>
      </c>
      <c r="Y29" s="2"/>
      <c r="Z29" s="7">
        <f t="shared" si="19"/>
        <v>1.0630123429126292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51.8</v>
      </c>
      <c r="E30" s="2"/>
      <c r="F30" s="7">
        <f t="shared" si="12"/>
        <v>3.0359917406958276E-3</v>
      </c>
      <c r="G30" s="2"/>
      <c r="H30" s="6">
        <v>29.300908</v>
      </c>
      <c r="I30" s="2"/>
      <c r="J30" s="7">
        <f t="shared" si="13"/>
        <v>2.690625160697888E-3</v>
      </c>
      <c r="K30" s="2"/>
      <c r="L30" s="6">
        <f t="shared" si="14"/>
        <v>22.499091999999997</v>
      </c>
      <c r="M30" s="2"/>
      <c r="N30" s="7">
        <f t="shared" si="15"/>
        <v>0.76786330307579542</v>
      </c>
      <c r="O30" s="11"/>
      <c r="P30" s="6">
        <v>698.73</v>
      </c>
      <c r="Q30" s="2"/>
      <c r="R30" s="7">
        <f t="shared" si="16"/>
        <v>7.4152992056726987E-3</v>
      </c>
      <c r="S30" s="2"/>
      <c r="T30" s="6">
        <v>460.76893200000001</v>
      </c>
      <c r="U30" s="2"/>
      <c r="V30" s="7">
        <f t="shared" si="17"/>
        <v>1.9717522819179666E-3</v>
      </c>
      <c r="W30" s="2"/>
      <c r="X30" s="6">
        <f t="shared" si="18"/>
        <v>237.96106800000001</v>
      </c>
      <c r="Y30" s="2"/>
      <c r="Z30" s="7">
        <f t="shared" si="19"/>
        <v>0.51644338728983574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2343.89</v>
      </c>
      <c r="E31" s="2"/>
      <c r="F31" s="7">
        <f t="shared" si="12"/>
        <v>0.13737510967373637</v>
      </c>
      <c r="G31" s="2"/>
      <c r="H31" s="6">
        <v>434.17788000000002</v>
      </c>
      <c r="I31" s="2"/>
      <c r="J31" s="7">
        <f t="shared" si="13"/>
        <v>3.9869410468319558E-2</v>
      </c>
      <c r="K31" s="2"/>
      <c r="L31" s="6">
        <f t="shared" si="14"/>
        <v>1909.7121199999999</v>
      </c>
      <c r="M31" s="2"/>
      <c r="N31" s="7">
        <f t="shared" si="15"/>
        <v>4.3984555823064957</v>
      </c>
      <c r="O31" s="11"/>
      <c r="P31" s="6">
        <v>19834.61</v>
      </c>
      <c r="Q31" s="2"/>
      <c r="R31" s="7">
        <f t="shared" si="16"/>
        <v>0.21049556735481198</v>
      </c>
      <c r="S31" s="2"/>
      <c r="T31" s="6">
        <v>5644.3124399999997</v>
      </c>
      <c r="U31" s="2"/>
      <c r="V31" s="7">
        <f t="shared" si="17"/>
        <v>2.4153507670582192E-2</v>
      </c>
      <c r="W31" s="2"/>
      <c r="X31" s="6">
        <f t="shared" si="18"/>
        <v>14190.297560000001</v>
      </c>
      <c r="Y31" s="2"/>
      <c r="Z31" s="7">
        <f t="shared" si="19"/>
        <v>2.5140878912791016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1440.4</v>
      </c>
      <c r="E33" s="2"/>
      <c r="F33" s="7">
        <f t="shared" si="12"/>
        <v>8.4421669947843073E-2</v>
      </c>
      <c r="G33" s="2"/>
      <c r="H33" s="6">
        <v>417.22899999999998</v>
      </c>
      <c r="I33" s="2"/>
      <c r="J33" s="7">
        <f t="shared" si="13"/>
        <v>3.831303948576676E-2</v>
      </c>
      <c r="K33" s="2"/>
      <c r="L33" s="6">
        <f t="shared" si="14"/>
        <v>1023.171</v>
      </c>
      <c r="M33" s="2"/>
      <c r="N33" s="7">
        <f t="shared" si="15"/>
        <v>2.4523007748742298</v>
      </c>
      <c r="O33" s="11"/>
      <c r="P33" s="6">
        <v>18139.68</v>
      </c>
      <c r="Q33" s="2"/>
      <c r="R33" s="7">
        <f t="shared" si="16"/>
        <v>0.19250805703942431</v>
      </c>
      <c r="S33" s="2"/>
      <c r="T33" s="6">
        <v>5311.7070000000003</v>
      </c>
      <c r="U33" s="2"/>
      <c r="V33" s="7">
        <f t="shared" si="17"/>
        <v>2.2730200911483409E-2</v>
      </c>
      <c r="W33" s="2"/>
      <c r="X33" s="6">
        <f t="shared" si="18"/>
        <v>12827.973</v>
      </c>
      <c r="Y33" s="2"/>
      <c r="Z33" s="7">
        <f t="shared" si="19"/>
        <v>2.415037764695982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872.28</v>
      </c>
      <c r="E34" s="2"/>
      <c r="F34" s="7">
        <f t="shared" si="12"/>
        <v>5.1124225397184496E-2</v>
      </c>
      <c r="G34" s="2"/>
      <c r="H34" s="6">
        <v>504.97899999999998</v>
      </c>
      <c r="I34" s="2"/>
      <c r="J34" s="7">
        <f t="shared" si="13"/>
        <v>4.6370890725436181E-2</v>
      </c>
      <c r="K34" s="2"/>
      <c r="L34" s="6">
        <f t="shared" si="14"/>
        <v>367.30099999999999</v>
      </c>
      <c r="M34" s="2"/>
      <c r="N34" s="7">
        <f t="shared" si="15"/>
        <v>0.72735895948148344</v>
      </c>
      <c r="O34" s="11"/>
      <c r="P34" s="6">
        <v>11254.42</v>
      </c>
      <c r="Q34" s="2"/>
      <c r="R34" s="7">
        <f t="shared" si="16"/>
        <v>0.11943796843746073</v>
      </c>
      <c r="S34" s="2"/>
      <c r="T34" s="6">
        <v>7441.2474000000002</v>
      </c>
      <c r="U34" s="2"/>
      <c r="V34" s="7">
        <f t="shared" si="17"/>
        <v>3.1843068232877594E-2</v>
      </c>
      <c r="W34" s="2"/>
      <c r="X34" s="6">
        <f t="shared" si="18"/>
        <v>3813.1725999999999</v>
      </c>
      <c r="Y34" s="2"/>
      <c r="Z34" s="7">
        <f t="shared" si="19"/>
        <v>0.51243728302864922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635.66</v>
      </c>
      <c r="E35" s="2"/>
      <c r="F35" s="7">
        <f t="shared" si="12"/>
        <v>3.7255955789395945E-2</v>
      </c>
      <c r="G35" s="2"/>
      <c r="H35" s="6"/>
      <c r="I35" s="2"/>
      <c r="J35" s="7">
        <f t="shared" si="13"/>
        <v>0</v>
      </c>
      <c r="K35" s="2"/>
      <c r="L35" s="6">
        <f t="shared" si="14"/>
        <v>635.66</v>
      </c>
      <c r="M35" s="2"/>
      <c r="N35" s="7">
        <f t="shared" si="15"/>
        <v>0</v>
      </c>
      <c r="O35" s="11"/>
      <c r="P35" s="6">
        <v>5648.47</v>
      </c>
      <c r="Q35" s="2"/>
      <c r="R35" s="7">
        <f t="shared" si="16"/>
        <v>5.9944606792704004E-2</v>
      </c>
      <c r="S35" s="2"/>
      <c r="T35" s="6"/>
      <c r="U35" s="2"/>
      <c r="V35" s="7">
        <f t="shared" si="17"/>
        <v>0</v>
      </c>
      <c r="W35" s="2"/>
      <c r="X35" s="6">
        <f t="shared" si="18"/>
        <v>5648.47</v>
      </c>
      <c r="Y35" s="2"/>
      <c r="Z35" s="7">
        <f t="shared" si="19"/>
        <v>0</v>
      </c>
    </row>
    <row r="36" spans="1:26" s="27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16852.73</v>
      </c>
      <c r="E36" s="1"/>
      <c r="F36" s="5">
        <f t="shared" ref="F36:F46" si="20">IF(D$12=0,0,D36/D$12)</f>
        <v>0.98773646888372202</v>
      </c>
      <c r="G36" s="1"/>
      <c r="H36" s="1">
        <f>SUM(OSRRefH22_1x_0)</f>
        <v>10347.371999999999</v>
      </c>
      <c r="I36" s="1"/>
      <c r="J36" s="5">
        <f t="shared" ref="J36:J46" si="21">IF(H$12=0,0,H36/H$12)</f>
        <v>0.9501719008264462</v>
      </c>
      <c r="K36" s="1"/>
      <c r="L36" s="1">
        <f t="shared" ref="L36:L46" si="22">+D36-H36</f>
        <v>6505.3580000000002</v>
      </c>
      <c r="M36" s="1"/>
      <c r="N36" s="5">
        <f t="shared" ref="N36:N46" si="23">IF(H36=0,0,L36/H36)</f>
        <v>0.62869663910797835</v>
      </c>
      <c r="O36" s="13"/>
      <c r="P36" s="1">
        <f>SUM(OSRRefP22_1x_0)</f>
        <v>208764.41999999998</v>
      </c>
      <c r="Q36" s="1"/>
      <c r="R36" s="5">
        <f t="shared" ref="R36:R46" si="24">IF(P$12=0,0,P36/P$12)</f>
        <v>2.2155204983308598</v>
      </c>
      <c r="S36" s="1"/>
      <c r="T36" s="1">
        <f>SUM(OSRRefT22_1x_0)</f>
        <v>164465.86559999999</v>
      </c>
      <c r="U36" s="1"/>
      <c r="V36" s="5">
        <f t="shared" ref="V36:V46" si="25">IF(T$12=0,0,T36/T$12)</f>
        <v>0.7037929931317799</v>
      </c>
      <c r="W36" s="1"/>
      <c r="X36" s="1">
        <f t="shared" ref="X36:X46" si="26">+P36-T36</f>
        <v>44298.554399999994</v>
      </c>
      <c r="Y36" s="1"/>
      <c r="Z36" s="5">
        <f t="shared" ref="Z36:Z46" si="27">IF(T36=0,0,X36/T36)</f>
        <v>0.26934801478951992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12905.62</v>
      </c>
      <c r="E38" s="2"/>
      <c r="F38" s="7">
        <f t="shared" si="20"/>
        <v>0.75639682873665814</v>
      </c>
      <c r="G38" s="2"/>
      <c r="H38" s="6">
        <v>4543.7219999999998</v>
      </c>
      <c r="I38" s="2"/>
      <c r="J38" s="7">
        <f t="shared" si="21"/>
        <v>0.41723801652892561</v>
      </c>
      <c r="K38" s="2"/>
      <c r="L38" s="6">
        <f t="shared" si="22"/>
        <v>8361.898000000001</v>
      </c>
      <c r="M38" s="2"/>
      <c r="N38" s="7">
        <f t="shared" si="23"/>
        <v>1.8403190159961373</v>
      </c>
      <c r="O38" s="11"/>
      <c r="P38" s="6">
        <v>169250.19</v>
      </c>
      <c r="Q38" s="2"/>
      <c r="R38" s="7">
        <f t="shared" si="24"/>
        <v>1.796174201003182</v>
      </c>
      <c r="S38" s="2"/>
      <c r="T38" s="6">
        <v>59068.385999999999</v>
      </c>
      <c r="U38" s="2"/>
      <c r="V38" s="7">
        <f t="shared" si="25"/>
        <v>0.2527692663200462</v>
      </c>
      <c r="W38" s="2"/>
      <c r="X38" s="6">
        <f t="shared" si="26"/>
        <v>110181.804</v>
      </c>
      <c r="Y38" s="2"/>
      <c r="Z38" s="7">
        <f t="shared" si="27"/>
        <v>1.8653261323239814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3068.89</v>
      </c>
      <c r="E40" s="2"/>
      <c r="F40" s="7">
        <f t="shared" si="20"/>
        <v>0.17986727206764516</v>
      </c>
      <c r="G40" s="2"/>
      <c r="H40" s="6">
        <v>2966.4</v>
      </c>
      <c r="I40" s="2"/>
      <c r="J40" s="7">
        <f t="shared" si="21"/>
        <v>0.27239669421487606</v>
      </c>
      <c r="K40" s="2"/>
      <c r="L40" s="6">
        <f t="shared" si="22"/>
        <v>102.48999999999978</v>
      </c>
      <c r="M40" s="2"/>
      <c r="N40" s="7">
        <f t="shared" si="23"/>
        <v>3.4550296655879102E-2</v>
      </c>
      <c r="O40" s="11"/>
      <c r="P40" s="6">
        <v>34461.919999999998</v>
      </c>
      <c r="Q40" s="2"/>
      <c r="R40" s="7">
        <f t="shared" si="24"/>
        <v>0.3657284616403419</v>
      </c>
      <c r="S40" s="2"/>
      <c r="T40" s="6">
        <v>36542.339999999997</v>
      </c>
      <c r="U40" s="2"/>
      <c r="V40" s="7">
        <f t="shared" si="25"/>
        <v>0.1563743500866551</v>
      </c>
      <c r="W40" s="2"/>
      <c r="X40" s="6">
        <f t="shared" si="26"/>
        <v>-2080.4199999999983</v>
      </c>
      <c r="Y40" s="2"/>
      <c r="Z40" s="7">
        <f t="shared" si="27"/>
        <v>-5.6931767369029967E-2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792.54</v>
      </c>
      <c r="E41" s="2"/>
      <c r="F41" s="7">
        <f t="shared" si="20"/>
        <v>4.6450673632646169E-2</v>
      </c>
      <c r="G41" s="2"/>
      <c r="H41" s="6">
        <v>1815.84</v>
      </c>
      <c r="I41" s="2"/>
      <c r="J41" s="7">
        <f t="shared" si="21"/>
        <v>0.16674380165289254</v>
      </c>
      <c r="K41" s="2"/>
      <c r="L41" s="6">
        <f t="shared" si="22"/>
        <v>-1023.3</v>
      </c>
      <c r="M41" s="2"/>
      <c r="N41" s="7">
        <f t="shared" si="23"/>
        <v>-0.56354084060269627</v>
      </c>
      <c r="O41" s="11"/>
      <c r="P41" s="6">
        <v>4818.9399999999996</v>
      </c>
      <c r="Q41" s="2"/>
      <c r="R41" s="7">
        <f t="shared" si="24"/>
        <v>5.1141187517616808E-2</v>
      </c>
      <c r="S41" s="2"/>
      <c r="T41" s="6">
        <v>36362.196000000004</v>
      </c>
      <c r="U41" s="2"/>
      <c r="V41" s="7">
        <f t="shared" si="25"/>
        <v>0.15560346620450607</v>
      </c>
      <c r="W41" s="2"/>
      <c r="X41" s="6">
        <f t="shared" si="26"/>
        <v>-31543.256000000005</v>
      </c>
      <c r="Y41" s="2"/>
      <c r="Z41" s="7">
        <f t="shared" si="27"/>
        <v>-0.86747390064120444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85.68</v>
      </c>
      <c r="E43" s="2"/>
      <c r="F43" s="7">
        <f t="shared" si="20"/>
        <v>5.0216944467725592E-3</v>
      </c>
      <c r="G43" s="2"/>
      <c r="H43" s="6">
        <v>1021.41</v>
      </c>
      <c r="I43" s="2"/>
      <c r="J43" s="7">
        <f t="shared" si="21"/>
        <v>9.3793388429752059E-2</v>
      </c>
      <c r="K43" s="2"/>
      <c r="L43" s="6">
        <f t="shared" si="22"/>
        <v>-935.73</v>
      </c>
      <c r="M43" s="2"/>
      <c r="N43" s="7">
        <f t="shared" si="23"/>
        <v>-0.91611595735307083</v>
      </c>
      <c r="O43" s="11"/>
      <c r="P43" s="6">
        <v>233.37</v>
      </c>
      <c r="Q43" s="2"/>
      <c r="R43" s="7">
        <f t="shared" si="24"/>
        <v>2.4766481697191156E-3</v>
      </c>
      <c r="S43" s="2"/>
      <c r="T43" s="6">
        <v>4475.5411999999997</v>
      </c>
      <c r="U43" s="2"/>
      <c r="V43" s="7">
        <f t="shared" si="25"/>
        <v>1.9152026017930118E-2</v>
      </c>
      <c r="W43" s="2"/>
      <c r="X43" s="6">
        <f t="shared" si="26"/>
        <v>-4242.1711999999998</v>
      </c>
      <c r="Y43" s="2"/>
      <c r="Z43" s="7">
        <f t="shared" si="27"/>
        <v>-0.94785658547842211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28017.402399999999</v>
      </c>
      <c r="U44" s="2"/>
      <c r="V44" s="7">
        <f t="shared" si="25"/>
        <v>0.11989388450264245</v>
      </c>
      <c r="W44" s="2"/>
      <c r="X44" s="6">
        <f t="shared" si="26"/>
        <v>-28017.402399999999</v>
      </c>
      <c r="Y44" s="2"/>
      <c r="Z44" s="7">
        <f t="shared" si="27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38.29</v>
      </c>
      <c r="E47" s="1"/>
      <c r="F47" s="5">
        <f t="shared" ref="F47:F55" si="28">IF(D$12=0,0,D47/D$12)</f>
        <v>2.244172273190024E-3</v>
      </c>
      <c r="G47" s="1"/>
      <c r="H47" s="1">
        <f>SUM(OSRRefH22_2x_0)</f>
        <v>300</v>
      </c>
      <c r="I47" s="1"/>
      <c r="J47" s="5">
        <f t="shared" ref="J47:J55" si="29">IF(H$12=0,0,H47/H$12)</f>
        <v>2.7548209366391185E-2</v>
      </c>
      <c r="K47" s="1"/>
      <c r="L47" s="1">
        <f t="shared" ref="L47:L55" si="30">+D47-H47</f>
        <v>-261.70999999999998</v>
      </c>
      <c r="M47" s="1"/>
      <c r="N47" s="5">
        <f t="shared" ref="N47:N55" si="31">IF(H47=0,0,L47/H47)</f>
        <v>-0.87236666666666662</v>
      </c>
      <c r="O47" s="13"/>
      <c r="P47" s="1">
        <f>SUM(OSRRefP22_2x_0)</f>
        <v>338.36</v>
      </c>
      <c r="Q47" s="1"/>
      <c r="R47" s="5">
        <f t="shared" ref="R47:R55" si="32">IF(P$12=0,0,P47/P$12)</f>
        <v>3.5908586138156577E-3</v>
      </c>
      <c r="S47" s="1"/>
      <c r="T47" s="1">
        <f>SUM(OSRRefT22_2x_0)</f>
        <v>6479</v>
      </c>
      <c r="U47" s="1"/>
      <c r="V47" s="5">
        <f t="shared" ref="V47:V55" si="33">IF(T$12=0,0,T47/T$12)</f>
        <v>2.7725356783704559E-2</v>
      </c>
      <c r="W47" s="1"/>
      <c r="X47" s="1">
        <f t="shared" ref="X47:X55" si="34">+P47-T47</f>
        <v>-6140.64</v>
      </c>
      <c r="Y47" s="1"/>
      <c r="Z47" s="5">
        <f t="shared" ref="Z47:Z55" si="35">IF(T47=0,0,X47/T47)</f>
        <v>-0.94777589134125639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38.29</v>
      </c>
      <c r="E48" s="2"/>
      <c r="F48" s="7">
        <f t="shared" si="28"/>
        <v>2.244172273190024E-3</v>
      </c>
      <c r="G48" s="2"/>
      <c r="H48" s="6">
        <v>300</v>
      </c>
      <c r="I48" s="2"/>
      <c r="J48" s="7">
        <f t="shared" si="29"/>
        <v>2.7548209366391185E-2</v>
      </c>
      <c r="K48" s="2"/>
      <c r="L48" s="6">
        <f t="shared" si="30"/>
        <v>-261.70999999999998</v>
      </c>
      <c r="M48" s="2"/>
      <c r="N48" s="7">
        <f t="shared" si="31"/>
        <v>-0.87236666666666662</v>
      </c>
      <c r="O48" s="11"/>
      <c r="P48" s="6">
        <v>338.36</v>
      </c>
      <c r="Q48" s="2"/>
      <c r="R48" s="7">
        <f t="shared" si="32"/>
        <v>3.5908586138156577E-3</v>
      </c>
      <c r="S48" s="2"/>
      <c r="T48" s="6">
        <v>6479</v>
      </c>
      <c r="U48" s="2"/>
      <c r="V48" s="7">
        <f t="shared" si="33"/>
        <v>2.7725356783704559E-2</v>
      </c>
      <c r="W48" s="2"/>
      <c r="X48" s="6">
        <f t="shared" si="34"/>
        <v>-6140.64</v>
      </c>
      <c r="Y48" s="2"/>
      <c r="Z48" s="7">
        <f t="shared" si="35"/>
        <v>-0.94777589134125639</v>
      </c>
    </row>
    <row r="49" spans="1:26" s="27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-2.67</v>
      </c>
      <c r="E49" s="1"/>
      <c r="F49" s="5">
        <f t="shared" si="28"/>
        <v>-1.5648837736791237E-4</v>
      </c>
      <c r="G49" s="1"/>
      <c r="H49" s="1">
        <f>SUM(OSRRefH22_3x_0)</f>
        <v>5</v>
      </c>
      <c r="I49" s="1"/>
      <c r="J49" s="5">
        <f t="shared" si="29"/>
        <v>4.591368227731864E-4</v>
      </c>
      <c r="K49" s="1"/>
      <c r="L49" s="1">
        <f t="shared" si="30"/>
        <v>-7.67</v>
      </c>
      <c r="M49" s="1"/>
      <c r="N49" s="5">
        <f t="shared" si="31"/>
        <v>-1.534</v>
      </c>
      <c r="O49" s="13"/>
      <c r="P49" s="1">
        <f>SUM(OSRRefP22_3x_0)</f>
        <v>13.53</v>
      </c>
      <c r="Q49" s="1"/>
      <c r="R49" s="5">
        <f t="shared" si="32"/>
        <v>1.4358764938209552E-4</v>
      </c>
      <c r="S49" s="1"/>
      <c r="T49" s="1">
        <f>SUM(OSRRefT22_3x_0)</f>
        <v>90</v>
      </c>
      <c r="U49" s="1"/>
      <c r="V49" s="5">
        <f t="shared" si="33"/>
        <v>3.8513383400731754E-4</v>
      </c>
      <c r="W49" s="1"/>
      <c r="X49" s="1">
        <f t="shared" si="34"/>
        <v>-76.47</v>
      </c>
      <c r="Y49" s="1"/>
      <c r="Z49" s="5">
        <f t="shared" si="35"/>
        <v>-0.84966666666666668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-2.67</v>
      </c>
      <c r="E50" s="2"/>
      <c r="F50" s="7">
        <f t="shared" si="28"/>
        <v>-1.5648837736791237E-4</v>
      </c>
      <c r="G50" s="2"/>
      <c r="H50" s="6">
        <v>5</v>
      </c>
      <c r="I50" s="2"/>
      <c r="J50" s="7">
        <f t="shared" si="29"/>
        <v>4.591368227731864E-4</v>
      </c>
      <c r="K50" s="2"/>
      <c r="L50" s="6">
        <f t="shared" si="30"/>
        <v>-7.67</v>
      </c>
      <c r="M50" s="2"/>
      <c r="N50" s="7">
        <f t="shared" si="31"/>
        <v>-1.534</v>
      </c>
      <c r="O50" s="11"/>
      <c r="P50" s="6">
        <v>13.53</v>
      </c>
      <c r="Q50" s="2"/>
      <c r="R50" s="7">
        <f t="shared" si="32"/>
        <v>1.4358764938209552E-4</v>
      </c>
      <c r="S50" s="2"/>
      <c r="T50" s="6">
        <v>90</v>
      </c>
      <c r="U50" s="2"/>
      <c r="V50" s="7">
        <f t="shared" si="33"/>
        <v>3.8513383400731754E-4</v>
      </c>
      <c r="W50" s="2"/>
      <c r="X50" s="6">
        <f t="shared" si="34"/>
        <v>-76.47</v>
      </c>
      <c r="Y50" s="2"/>
      <c r="Z50" s="7">
        <f t="shared" si="35"/>
        <v>-0.84966666666666668</v>
      </c>
    </row>
    <row r="51" spans="1:26" s="27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510.58</v>
      </c>
      <c r="E51" s="1"/>
      <c r="F51" s="5">
        <f t="shared" si="28"/>
        <v>2.992503210356131E-2</v>
      </c>
      <c r="G51" s="1"/>
      <c r="H51" s="1">
        <f>SUM(OSRRefH22_4x_0)</f>
        <v>860</v>
      </c>
      <c r="I51" s="1"/>
      <c r="J51" s="5">
        <f t="shared" si="29"/>
        <v>7.897153351698806E-2</v>
      </c>
      <c r="K51" s="1"/>
      <c r="L51" s="1">
        <f t="shared" si="30"/>
        <v>-349.42</v>
      </c>
      <c r="M51" s="1"/>
      <c r="N51" s="5">
        <f t="shared" si="31"/>
        <v>-0.40630232558139534</v>
      </c>
      <c r="O51" s="13"/>
      <c r="P51" s="1">
        <f>SUM(OSRRefP22_4x_0)</f>
        <v>2909.49</v>
      </c>
      <c r="Q51" s="1"/>
      <c r="R51" s="5">
        <f t="shared" si="32"/>
        <v>3.0877075388079312E-2</v>
      </c>
      <c r="S51" s="1"/>
      <c r="T51" s="1">
        <f>SUM(OSRRefT22_4x_0)</f>
        <v>28242</v>
      </c>
      <c r="U51" s="1"/>
      <c r="V51" s="5">
        <f t="shared" si="33"/>
        <v>0.12085499711149625</v>
      </c>
      <c r="W51" s="1"/>
      <c r="X51" s="1">
        <f t="shared" si="34"/>
        <v>-25332.510000000002</v>
      </c>
      <c r="Y51" s="1"/>
      <c r="Z51" s="5">
        <f t="shared" si="35"/>
        <v>-0.89698002974293611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510.58</v>
      </c>
      <c r="E52" s="2"/>
      <c r="F52" s="7">
        <f t="shared" si="28"/>
        <v>2.992503210356131E-2</v>
      </c>
      <c r="G52" s="2"/>
      <c r="H52" s="6">
        <v>860</v>
      </c>
      <c r="I52" s="2"/>
      <c r="J52" s="7">
        <f t="shared" si="29"/>
        <v>7.897153351698806E-2</v>
      </c>
      <c r="K52" s="2"/>
      <c r="L52" s="6">
        <f t="shared" si="30"/>
        <v>-349.42</v>
      </c>
      <c r="M52" s="2"/>
      <c r="N52" s="7">
        <f t="shared" si="31"/>
        <v>-0.40630232558139534</v>
      </c>
      <c r="O52" s="11"/>
      <c r="P52" s="6">
        <v>2909.49</v>
      </c>
      <c r="Q52" s="2"/>
      <c r="R52" s="7">
        <f t="shared" si="32"/>
        <v>3.0877075388079312E-2</v>
      </c>
      <c r="S52" s="2"/>
      <c r="T52" s="6">
        <v>28242</v>
      </c>
      <c r="U52" s="2"/>
      <c r="V52" s="7">
        <f t="shared" si="33"/>
        <v>0.12085499711149625</v>
      </c>
      <c r="W52" s="2"/>
      <c r="X52" s="6">
        <f t="shared" si="34"/>
        <v>-25332.510000000002</v>
      </c>
      <c r="Y52" s="2"/>
      <c r="Z52" s="7">
        <f t="shared" si="35"/>
        <v>-0.89698002974293611</v>
      </c>
    </row>
    <row r="53" spans="1:26" s="27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14006.39</v>
      </c>
      <c r="E53" s="1"/>
      <c r="F53" s="5">
        <f t="shared" si="28"/>
        <v>0.82091282542402777</v>
      </c>
      <c r="G53" s="1"/>
      <c r="H53" s="1">
        <f>SUM(OSRRefH22_5x_0)</f>
        <v>13630</v>
      </c>
      <c r="I53" s="1"/>
      <c r="J53" s="5">
        <f t="shared" si="29"/>
        <v>1.2516069788797062</v>
      </c>
      <c r="K53" s="1"/>
      <c r="L53" s="1">
        <f t="shared" si="30"/>
        <v>376.38999999999942</v>
      </c>
      <c r="M53" s="1"/>
      <c r="N53" s="5">
        <f t="shared" si="31"/>
        <v>2.7614820249449702E-2</v>
      </c>
      <c r="O53" s="13"/>
      <c r="P53" s="1">
        <f>SUM(OSRRefP22_5x_0)</f>
        <v>166897.19</v>
      </c>
      <c r="Q53" s="1"/>
      <c r="R53" s="5">
        <f t="shared" si="32"/>
        <v>1.771202897307981</v>
      </c>
      <c r="S53" s="1"/>
      <c r="T53" s="1">
        <f>SUM(OSRRefT22_5x_0)</f>
        <v>163788</v>
      </c>
      <c r="U53" s="1"/>
      <c r="V53" s="5">
        <f t="shared" si="33"/>
        <v>0.70089222671545026</v>
      </c>
      <c r="W53" s="1"/>
      <c r="X53" s="1">
        <f t="shared" si="34"/>
        <v>3109.1900000000023</v>
      </c>
      <c r="Y53" s="1"/>
      <c r="Z53" s="5">
        <f t="shared" si="35"/>
        <v>1.8983014628666341E-2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6">
        <v>10597.27</v>
      </c>
      <c r="E54" s="2"/>
      <c r="F54" s="7">
        <f t="shared" si="28"/>
        <v>0.62110471416841073</v>
      </c>
      <c r="G54" s="2"/>
      <c r="H54" s="6"/>
      <c r="I54" s="2"/>
      <c r="J54" s="7">
        <f t="shared" si="29"/>
        <v>0</v>
      </c>
      <c r="K54" s="2"/>
      <c r="L54" s="6">
        <f t="shared" si="30"/>
        <v>10597.27</v>
      </c>
      <c r="M54" s="2"/>
      <c r="N54" s="7">
        <f t="shared" si="31"/>
        <v>0</v>
      </c>
      <c r="O54" s="11"/>
      <c r="P54" s="6">
        <v>127167.13</v>
      </c>
      <c r="Q54" s="2"/>
      <c r="R54" s="7">
        <f t="shared" si="32"/>
        <v>1.3495660957403817</v>
      </c>
      <c r="S54" s="2"/>
      <c r="T54" s="6"/>
      <c r="U54" s="2"/>
      <c r="V54" s="7">
        <f t="shared" si="33"/>
        <v>0</v>
      </c>
      <c r="W54" s="2"/>
      <c r="X54" s="6">
        <f t="shared" si="34"/>
        <v>127167.13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3409.12</v>
      </c>
      <c r="E55" s="2"/>
      <c r="F55" s="7">
        <f t="shared" si="28"/>
        <v>0.19980811125561701</v>
      </c>
      <c r="G55" s="2"/>
      <c r="H55" s="6">
        <v>13630</v>
      </c>
      <c r="I55" s="2"/>
      <c r="J55" s="7">
        <f t="shared" si="29"/>
        <v>1.2516069788797062</v>
      </c>
      <c r="K55" s="2"/>
      <c r="L55" s="6">
        <f t="shared" si="30"/>
        <v>-10220.880000000001</v>
      </c>
      <c r="M55" s="2"/>
      <c r="N55" s="7">
        <f t="shared" si="31"/>
        <v>-0.74988114453411603</v>
      </c>
      <c r="O55" s="11"/>
      <c r="P55" s="6">
        <v>39730.06</v>
      </c>
      <c r="Q55" s="2"/>
      <c r="R55" s="7">
        <f t="shared" si="32"/>
        <v>0.42163680156759931</v>
      </c>
      <c r="S55" s="2"/>
      <c r="T55" s="6">
        <v>163788</v>
      </c>
      <c r="U55" s="2"/>
      <c r="V55" s="7">
        <f t="shared" si="33"/>
        <v>0.70089222671545026</v>
      </c>
      <c r="W55" s="2"/>
      <c r="X55" s="6">
        <f t="shared" si="34"/>
        <v>-124057.94</v>
      </c>
      <c r="Y55" s="2"/>
      <c r="Z55" s="7">
        <f t="shared" si="35"/>
        <v>-0.75742997044960558</v>
      </c>
    </row>
    <row r="56" spans="1:26" s="27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0</v>
      </c>
      <c r="I56" s="1"/>
      <c r="J56" s="5">
        <f t="shared" ref="J56:J69" si="37">IF(H$12=0,0,H56/H$12)</f>
        <v>0</v>
      </c>
      <c r="K56" s="1"/>
      <c r="L56" s="1">
        <f t="shared" ref="L56:L69" si="38">+D56-H56</f>
        <v>0</v>
      </c>
      <c r="M56" s="1"/>
      <c r="N56" s="5">
        <f t="shared" ref="N56:N69" si="39">IF(H56=0,0,L56/H56)</f>
        <v>0</v>
      </c>
      <c r="O56" s="13"/>
      <c r="P56" s="1">
        <f>SUM(OSRRefP22_6x_0)</f>
        <v>10</v>
      </c>
      <c r="Q56" s="1"/>
      <c r="R56" s="5">
        <f t="shared" ref="R56:R69" si="40">IF(P$12=0,0,P56/P$12)</f>
        <v>1.061253875699154E-4</v>
      </c>
      <c r="S56" s="1"/>
      <c r="T56" s="1">
        <f>SUM(OSRRefT22_6x_0)</f>
        <v>200</v>
      </c>
      <c r="U56" s="1"/>
      <c r="V56" s="5">
        <f t="shared" ref="V56:V69" si="41">IF(T$12=0,0,T56/T$12)</f>
        <v>8.5585296446070568E-4</v>
      </c>
      <c r="W56" s="1"/>
      <c r="X56" s="1">
        <f t="shared" ref="X56:X69" si="42">+P56-T56</f>
        <v>-190</v>
      </c>
      <c r="Y56" s="1"/>
      <c r="Z56" s="5">
        <f t="shared" ref="Z56:Z69" si="43">IF(T56=0,0,X56/T56)</f>
        <v>-0.95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10</v>
      </c>
      <c r="Q57" s="2"/>
      <c r="R57" s="7">
        <f t="shared" si="40"/>
        <v>1.061253875699154E-4</v>
      </c>
      <c r="S57" s="2"/>
      <c r="T57" s="6">
        <v>200</v>
      </c>
      <c r="U57" s="2"/>
      <c r="V57" s="7">
        <f t="shared" si="41"/>
        <v>8.5585296446070568E-4</v>
      </c>
      <c r="W57" s="2"/>
      <c r="X57" s="6">
        <f t="shared" si="42"/>
        <v>-190</v>
      </c>
      <c r="Y57" s="2"/>
      <c r="Z57" s="7">
        <f t="shared" si="43"/>
        <v>-0.95</v>
      </c>
    </row>
    <row r="58" spans="1:26" s="27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267.86</v>
      </c>
      <c r="E58" s="1"/>
      <c r="F58" s="5">
        <f t="shared" si="36"/>
        <v>1.569924223287229E-2</v>
      </c>
      <c r="G58" s="1"/>
      <c r="H58" s="1">
        <f>SUM(OSRRefH22_7x_0)</f>
        <v>95</v>
      </c>
      <c r="I58" s="1"/>
      <c r="J58" s="5">
        <f t="shared" si="37"/>
        <v>8.7235996326905426E-3</v>
      </c>
      <c r="K58" s="1"/>
      <c r="L58" s="1">
        <f t="shared" si="38"/>
        <v>172.86</v>
      </c>
      <c r="M58" s="1"/>
      <c r="N58" s="5">
        <f t="shared" si="39"/>
        <v>1.8195789473684212</v>
      </c>
      <c r="O58" s="13"/>
      <c r="P58" s="1">
        <f>SUM(OSRRefP22_7x_0)</f>
        <v>2361.3200000000002</v>
      </c>
      <c r="Q58" s="1"/>
      <c r="R58" s="5">
        <f t="shared" si="40"/>
        <v>2.5059600017659264E-2</v>
      </c>
      <c r="S58" s="1"/>
      <c r="T58" s="1">
        <f>SUM(OSRRefT22_7x_0)</f>
        <v>1445</v>
      </c>
      <c r="U58" s="1"/>
      <c r="V58" s="5">
        <f t="shared" si="41"/>
        <v>6.1835376682285986E-3</v>
      </c>
      <c r="W58" s="1"/>
      <c r="X58" s="1">
        <f t="shared" si="42"/>
        <v>916.32000000000016</v>
      </c>
      <c r="Y58" s="1"/>
      <c r="Z58" s="5">
        <f t="shared" si="43"/>
        <v>0.63413148788927343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267.86</v>
      </c>
      <c r="E59" s="2"/>
      <c r="F59" s="7">
        <f t="shared" si="36"/>
        <v>1.569924223287229E-2</v>
      </c>
      <c r="G59" s="2"/>
      <c r="H59" s="6">
        <v>95</v>
      </c>
      <c r="I59" s="2"/>
      <c r="J59" s="7">
        <f t="shared" si="37"/>
        <v>8.7235996326905426E-3</v>
      </c>
      <c r="K59" s="2"/>
      <c r="L59" s="6">
        <f t="shared" si="38"/>
        <v>172.86</v>
      </c>
      <c r="M59" s="2"/>
      <c r="N59" s="7">
        <f t="shared" si="39"/>
        <v>1.8195789473684212</v>
      </c>
      <c r="O59" s="11"/>
      <c r="P59" s="6">
        <v>2361.3200000000002</v>
      </c>
      <c r="Q59" s="2"/>
      <c r="R59" s="7">
        <f t="shared" si="40"/>
        <v>2.5059600017659264E-2</v>
      </c>
      <c r="S59" s="2"/>
      <c r="T59" s="6">
        <v>1445</v>
      </c>
      <c r="U59" s="2"/>
      <c r="V59" s="7">
        <f t="shared" si="41"/>
        <v>6.1835376682285986E-3</v>
      </c>
      <c r="W59" s="2"/>
      <c r="X59" s="6">
        <f t="shared" si="42"/>
        <v>916.32000000000016</v>
      </c>
      <c r="Y59" s="2"/>
      <c r="Z59" s="7">
        <f t="shared" si="43"/>
        <v>0.63413148788927343</v>
      </c>
    </row>
    <row r="60" spans="1:26" s="27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2498.69</v>
      </c>
      <c r="Q60" s="1"/>
      <c r="R60" s="5">
        <f t="shared" si="40"/>
        <v>2.6517444466707191E-2</v>
      </c>
      <c r="S60" s="1"/>
      <c r="T60" s="1">
        <f>SUM(OSRRefT22_8x_0)</f>
        <v>1810</v>
      </c>
      <c r="U60" s="1"/>
      <c r="V60" s="5">
        <f t="shared" si="41"/>
        <v>7.745469328369386E-3</v>
      </c>
      <c r="W60" s="1"/>
      <c r="X60" s="1">
        <f t="shared" si="42"/>
        <v>688.69</v>
      </c>
      <c r="Y60" s="1"/>
      <c r="Z60" s="5">
        <f t="shared" si="43"/>
        <v>0.38049171270718235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>
        <v>0</v>
      </c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2498.69</v>
      </c>
      <c r="Q61" s="2"/>
      <c r="R61" s="7">
        <f t="shared" si="40"/>
        <v>2.6517444466707191E-2</v>
      </c>
      <c r="S61" s="2"/>
      <c r="T61" s="6">
        <v>1810</v>
      </c>
      <c r="U61" s="2"/>
      <c r="V61" s="7">
        <f t="shared" si="41"/>
        <v>7.745469328369386E-3</v>
      </c>
      <c r="W61" s="2"/>
      <c r="X61" s="6">
        <f t="shared" si="42"/>
        <v>688.69</v>
      </c>
      <c r="Y61" s="2"/>
      <c r="Z61" s="7">
        <f t="shared" si="43"/>
        <v>0.38049171270718235</v>
      </c>
    </row>
    <row r="62" spans="1:26" s="27" customFormat="1" outlineLevel="1" collapsed="1" x14ac:dyDescent="0.25">
      <c r="A62" s="25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1376.74</v>
      </c>
      <c r="E62" s="1"/>
      <c r="F62" s="5">
        <f t="shared" si="36"/>
        <v>8.0690565040262049E-2</v>
      </c>
      <c r="G62" s="1"/>
      <c r="H62" s="1">
        <f>SUM(OSRRefH22_9x_0)</f>
        <v>705</v>
      </c>
      <c r="I62" s="1"/>
      <c r="J62" s="5">
        <f t="shared" si="37"/>
        <v>6.4738292011019286E-2</v>
      </c>
      <c r="K62" s="1"/>
      <c r="L62" s="1">
        <f t="shared" si="38"/>
        <v>671.74</v>
      </c>
      <c r="M62" s="1"/>
      <c r="N62" s="5">
        <f t="shared" si="39"/>
        <v>0.95282269503546102</v>
      </c>
      <c r="O62" s="13"/>
      <c r="P62" s="1">
        <f>SUM(OSRRefP22_9x_0)</f>
        <v>8430.82</v>
      </c>
      <c r="Q62" s="1"/>
      <c r="R62" s="5">
        <f t="shared" si="40"/>
        <v>8.9472404003219416E-2</v>
      </c>
      <c r="S62" s="1"/>
      <c r="T62" s="1">
        <f>SUM(OSRRefT22_9x_0)</f>
        <v>8460</v>
      </c>
      <c r="U62" s="1"/>
      <c r="V62" s="5">
        <f t="shared" si="41"/>
        <v>3.6202580396687847E-2</v>
      </c>
      <c r="W62" s="1"/>
      <c r="X62" s="1">
        <f t="shared" si="42"/>
        <v>-29.180000000000291</v>
      </c>
      <c r="Y62" s="1"/>
      <c r="Z62" s="5">
        <f t="shared" si="43"/>
        <v>-3.4491725768321857E-3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6">
        <v>1376.74</v>
      </c>
      <c r="E63" s="2"/>
      <c r="F63" s="7">
        <f t="shared" si="36"/>
        <v>8.0690565040262049E-2</v>
      </c>
      <c r="G63" s="2"/>
      <c r="H63" s="6">
        <v>705</v>
      </c>
      <c r="I63" s="2"/>
      <c r="J63" s="7">
        <f t="shared" si="37"/>
        <v>6.4738292011019286E-2</v>
      </c>
      <c r="K63" s="2"/>
      <c r="L63" s="6">
        <f t="shared" si="38"/>
        <v>671.74</v>
      </c>
      <c r="M63" s="2"/>
      <c r="N63" s="7">
        <f t="shared" si="39"/>
        <v>0.95282269503546102</v>
      </c>
      <c r="O63" s="11"/>
      <c r="P63" s="6">
        <v>8430.82</v>
      </c>
      <c r="Q63" s="2"/>
      <c r="R63" s="7">
        <f t="shared" si="40"/>
        <v>8.9472404003219416E-2</v>
      </c>
      <c r="S63" s="2"/>
      <c r="T63" s="6">
        <v>8460</v>
      </c>
      <c r="U63" s="2"/>
      <c r="V63" s="7">
        <f t="shared" si="41"/>
        <v>3.6202580396687847E-2</v>
      </c>
      <c r="W63" s="2"/>
      <c r="X63" s="6">
        <f t="shared" si="42"/>
        <v>-29.180000000000291</v>
      </c>
      <c r="Y63" s="2"/>
      <c r="Z63" s="7">
        <f t="shared" si="43"/>
        <v>-3.4491725768321857E-3</v>
      </c>
    </row>
    <row r="64" spans="1:26" s="27" customFormat="1" outlineLevel="1" collapsed="1" x14ac:dyDescent="0.25">
      <c r="A64" s="25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-815.7</v>
      </c>
      <c r="E64" s="1"/>
      <c r="F64" s="5">
        <f t="shared" si="36"/>
        <v>-4.7808078434084689E-2</v>
      </c>
      <c r="G64" s="1"/>
      <c r="H64" s="1">
        <f>SUM(OSRRefH22_10x_0)</f>
        <v>7253</v>
      </c>
      <c r="I64" s="1"/>
      <c r="J64" s="5">
        <f t="shared" si="37"/>
        <v>0.66602387511478423</v>
      </c>
      <c r="K64" s="1"/>
      <c r="L64" s="1">
        <f t="shared" si="38"/>
        <v>-8068.7</v>
      </c>
      <c r="M64" s="1"/>
      <c r="N64" s="5">
        <f t="shared" si="39"/>
        <v>-1.1124638080794154</v>
      </c>
      <c r="O64" s="13"/>
      <c r="P64" s="1">
        <f>SUM(OSRRefP22_10x_0)</f>
        <v>79764.45</v>
      </c>
      <c r="Q64" s="1"/>
      <c r="R64" s="5">
        <f t="shared" si="40"/>
        <v>0.84650331705511384</v>
      </c>
      <c r="S64" s="1"/>
      <c r="T64" s="1">
        <f>SUM(OSRRefT22_10x_0)</f>
        <v>89606</v>
      </c>
      <c r="U64" s="1"/>
      <c r="V64" s="5">
        <f t="shared" si="41"/>
        <v>0.38344780366732995</v>
      </c>
      <c r="W64" s="1"/>
      <c r="X64" s="1">
        <f t="shared" si="42"/>
        <v>-9841.5500000000029</v>
      </c>
      <c r="Y64" s="1"/>
      <c r="Z64" s="5">
        <f t="shared" si="43"/>
        <v>-0.10983137289913625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6">
        <v>-815.7</v>
      </c>
      <c r="E65" s="2"/>
      <c r="F65" s="7">
        <f t="shared" si="36"/>
        <v>-4.7808078434084689E-2</v>
      </c>
      <c r="G65" s="2"/>
      <c r="H65" s="6">
        <v>7253</v>
      </c>
      <c r="I65" s="2"/>
      <c r="J65" s="7">
        <f t="shared" si="37"/>
        <v>0.66602387511478423</v>
      </c>
      <c r="K65" s="2"/>
      <c r="L65" s="6">
        <f t="shared" si="38"/>
        <v>-8068.7</v>
      </c>
      <c r="M65" s="2"/>
      <c r="N65" s="7">
        <f t="shared" si="39"/>
        <v>-1.1124638080794154</v>
      </c>
      <c r="O65" s="11"/>
      <c r="P65" s="6">
        <v>79764.45</v>
      </c>
      <c r="Q65" s="2"/>
      <c r="R65" s="7">
        <f t="shared" si="40"/>
        <v>0.84650331705511384</v>
      </c>
      <c r="S65" s="2"/>
      <c r="T65" s="6">
        <v>89606</v>
      </c>
      <c r="U65" s="2"/>
      <c r="V65" s="7">
        <f t="shared" si="41"/>
        <v>0.38344780366732995</v>
      </c>
      <c r="W65" s="2"/>
      <c r="X65" s="6">
        <f t="shared" si="42"/>
        <v>-9841.5500000000029</v>
      </c>
      <c r="Y65" s="2"/>
      <c r="Z65" s="7">
        <f t="shared" si="43"/>
        <v>-0.10983137289913625</v>
      </c>
    </row>
    <row r="66" spans="1:26" s="27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1964.36</v>
      </c>
      <c r="E66" s="1"/>
      <c r="F66" s="5">
        <f t="shared" si="36"/>
        <v>0.11513090223461885</v>
      </c>
      <c r="G66" s="1"/>
      <c r="H66" s="1">
        <f>SUM(OSRRefH22_11x_0)</f>
        <v>0</v>
      </c>
      <c r="I66" s="1"/>
      <c r="J66" s="5">
        <f t="shared" si="37"/>
        <v>0</v>
      </c>
      <c r="K66" s="1"/>
      <c r="L66" s="1">
        <f t="shared" si="38"/>
        <v>1964.36</v>
      </c>
      <c r="M66" s="1"/>
      <c r="N66" s="5">
        <f t="shared" si="39"/>
        <v>0</v>
      </c>
      <c r="O66" s="13"/>
      <c r="P66" s="1">
        <f>SUM(OSRRefP22_11x_0)</f>
        <v>26743.119999999999</v>
      </c>
      <c r="Q66" s="1"/>
      <c r="R66" s="5">
        <f t="shared" si="40"/>
        <v>0.28381239748287557</v>
      </c>
      <c r="S66" s="1"/>
      <c r="T66" s="1">
        <f>SUM(OSRRefT22_11x_0)</f>
        <v>24063</v>
      </c>
      <c r="U66" s="1"/>
      <c r="V66" s="5">
        <f t="shared" si="41"/>
        <v>0.1029719494190898</v>
      </c>
      <c r="W66" s="1"/>
      <c r="X66" s="1">
        <f t="shared" si="42"/>
        <v>2680.119999999999</v>
      </c>
      <c r="Y66" s="1"/>
      <c r="Z66" s="5">
        <f t="shared" si="43"/>
        <v>0.11137929601462823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6">
        <v>10.039999999999999</v>
      </c>
      <c r="E67" s="2"/>
      <c r="F67" s="7">
        <f t="shared" si="36"/>
        <v>5.8844318680668169E-4</v>
      </c>
      <c r="G67" s="2"/>
      <c r="H67" s="6"/>
      <c r="I67" s="2"/>
      <c r="J67" s="7">
        <f t="shared" si="37"/>
        <v>0</v>
      </c>
      <c r="K67" s="2"/>
      <c r="L67" s="6">
        <f t="shared" si="38"/>
        <v>10.039999999999999</v>
      </c>
      <c r="M67" s="2"/>
      <c r="N67" s="7">
        <f t="shared" si="39"/>
        <v>0</v>
      </c>
      <c r="O67" s="11"/>
      <c r="P67" s="6">
        <v>10.039999999999999</v>
      </c>
      <c r="Q67" s="2"/>
      <c r="R67" s="7">
        <f t="shared" si="40"/>
        <v>1.0654988912019506E-4</v>
      </c>
      <c r="S67" s="2"/>
      <c r="T67" s="6"/>
      <c r="U67" s="2"/>
      <c r="V67" s="7">
        <f t="shared" si="41"/>
        <v>0</v>
      </c>
      <c r="W67" s="2"/>
      <c r="X67" s="6">
        <f t="shared" si="42"/>
        <v>10.039999999999999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107.78</v>
      </c>
      <c r="E68" s="2"/>
      <c r="F68" s="7">
        <f t="shared" si="36"/>
        <v>6.3169727762972267E-3</v>
      </c>
      <c r="G68" s="2"/>
      <c r="H68" s="6"/>
      <c r="I68" s="2"/>
      <c r="J68" s="7">
        <f t="shared" si="37"/>
        <v>0</v>
      </c>
      <c r="K68" s="2"/>
      <c r="L68" s="6">
        <f t="shared" si="38"/>
        <v>107.78</v>
      </c>
      <c r="M68" s="2"/>
      <c r="N68" s="7">
        <f t="shared" si="39"/>
        <v>0</v>
      </c>
      <c r="O68" s="11"/>
      <c r="P68" s="6">
        <v>7575.64</v>
      </c>
      <c r="Q68" s="2"/>
      <c r="R68" s="7">
        <f t="shared" si="40"/>
        <v>8.0396773109015399E-2</v>
      </c>
      <c r="S68" s="2"/>
      <c r="T68" s="6">
        <v>3769</v>
      </c>
      <c r="U68" s="2"/>
      <c r="V68" s="7">
        <f t="shared" si="41"/>
        <v>1.6128549115261997E-2</v>
      </c>
      <c r="W68" s="2"/>
      <c r="X68" s="6">
        <f t="shared" si="42"/>
        <v>3806.6400000000003</v>
      </c>
      <c r="Y68" s="2"/>
      <c r="Z68" s="7">
        <f t="shared" si="43"/>
        <v>1.0099867338816664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1846.54</v>
      </c>
      <c r="E69" s="2"/>
      <c r="F69" s="7">
        <f t="shared" si="36"/>
        <v>0.10822548627151495</v>
      </c>
      <c r="G69" s="2"/>
      <c r="H69" s="6"/>
      <c r="I69" s="2"/>
      <c r="J69" s="7">
        <f t="shared" si="37"/>
        <v>0</v>
      </c>
      <c r="K69" s="2"/>
      <c r="L69" s="6">
        <f t="shared" si="38"/>
        <v>1846.54</v>
      </c>
      <c r="M69" s="2"/>
      <c r="N69" s="7">
        <f t="shared" si="39"/>
        <v>0</v>
      </c>
      <c r="O69" s="11"/>
      <c r="P69" s="6">
        <v>19157.439999999999</v>
      </c>
      <c r="Q69" s="2"/>
      <c r="R69" s="7">
        <f t="shared" si="40"/>
        <v>0.20330907448474</v>
      </c>
      <c r="S69" s="2"/>
      <c r="T69" s="6">
        <v>20294</v>
      </c>
      <c r="U69" s="2"/>
      <c r="V69" s="7">
        <f t="shared" si="41"/>
        <v>8.6843400303827797E-2</v>
      </c>
      <c r="W69" s="2"/>
      <c r="X69" s="6">
        <f t="shared" si="42"/>
        <v>-1136.5600000000013</v>
      </c>
      <c r="Y69" s="2"/>
      <c r="Z69" s="7">
        <f t="shared" si="43"/>
        <v>-5.6004730462205644E-2</v>
      </c>
    </row>
    <row r="70" spans="1:26" s="27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3227.48</v>
      </c>
      <c r="E70" s="1"/>
      <c r="F70" s="5">
        <f t="shared" ref="F70:F75" si="44">IF(D$12=0,0,D70/D$12)</f>
        <v>0.18916221280426584</v>
      </c>
      <c r="G70" s="1"/>
      <c r="H70" s="1">
        <f>SUM(OSRRefH22_12x_0)</f>
        <v>3802</v>
      </c>
      <c r="I70" s="1"/>
      <c r="J70" s="5">
        <f t="shared" ref="J70:J75" si="45">IF(H$12=0,0,H70/H$12)</f>
        <v>0.34912764003673097</v>
      </c>
      <c r="K70" s="1"/>
      <c r="L70" s="1">
        <f t="shared" ref="L70:L75" si="46">+D70-H70</f>
        <v>-574.52</v>
      </c>
      <c r="M70" s="1"/>
      <c r="N70" s="5">
        <f t="shared" ref="N70:N75" si="47">IF(H70=0,0,L70/H70)</f>
        <v>-0.15110994213571805</v>
      </c>
      <c r="O70" s="13"/>
      <c r="P70" s="1">
        <f>SUM(OSRRefP22_12x_0)</f>
        <v>34018.85</v>
      </c>
      <c r="Q70" s="1"/>
      <c r="R70" s="5">
        <f t="shared" ref="R70:R75" si="48">IF(P$12=0,0,P70/P$12)</f>
        <v>0.36102636409328165</v>
      </c>
      <c r="S70" s="1"/>
      <c r="T70" s="1">
        <f>SUM(OSRRefT22_12x_0)</f>
        <v>50526</v>
      </c>
      <c r="U70" s="1"/>
      <c r="V70" s="5">
        <f t="shared" ref="V70:V75" si="49">IF(T$12=0,0,T70/T$12)</f>
        <v>0.21621413441170806</v>
      </c>
      <c r="W70" s="1"/>
      <c r="X70" s="1">
        <f t="shared" ref="X70:X75" si="50">+P70-T70</f>
        <v>-16507.150000000001</v>
      </c>
      <c r="Y70" s="1"/>
      <c r="Z70" s="5">
        <f t="shared" ref="Z70:Z75" si="51">IF(T70=0,0,X70/T70)</f>
        <v>-0.32670605232949373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703.1</v>
      </c>
      <c r="E71" s="2"/>
      <c r="F71" s="7">
        <f t="shared" si="44"/>
        <v>4.1208606040216929E-2</v>
      </c>
      <c r="G71" s="2"/>
      <c r="H71" s="6"/>
      <c r="I71" s="2"/>
      <c r="J71" s="7">
        <f t="shared" si="45"/>
        <v>0</v>
      </c>
      <c r="K71" s="2"/>
      <c r="L71" s="6">
        <f t="shared" si="46"/>
        <v>703.1</v>
      </c>
      <c r="M71" s="2"/>
      <c r="N71" s="7">
        <f t="shared" si="47"/>
        <v>0</v>
      </c>
      <c r="O71" s="11"/>
      <c r="P71" s="6">
        <v>4851.7299999999996</v>
      </c>
      <c r="Q71" s="2"/>
      <c r="R71" s="7">
        <f t="shared" si="48"/>
        <v>5.1489172663458559E-2</v>
      </c>
      <c r="S71" s="2"/>
      <c r="T71" s="6">
        <v>3838</v>
      </c>
      <c r="U71" s="2"/>
      <c r="V71" s="7">
        <f t="shared" si="49"/>
        <v>1.642381838800094E-2</v>
      </c>
      <c r="W71" s="2"/>
      <c r="X71" s="6">
        <f t="shared" si="50"/>
        <v>1013.7299999999996</v>
      </c>
      <c r="Y71" s="2"/>
      <c r="Z71" s="7">
        <f t="shared" si="51"/>
        <v>0.26412975508077113</v>
      </c>
    </row>
    <row r="72" spans="1:26" s="24" customFormat="1" hidden="1" outlineLevel="2" x14ac:dyDescent="0.25">
      <c r="A72" s="26"/>
      <c r="B72" s="11" t="str">
        <f>CONCATENATE("          ", "6283", " - ", "PLANT SERVICE")</f>
        <v xml:space="preserve">          6283 - PLANT SERVICE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/>
      <c r="Q72" s="2"/>
      <c r="R72" s="7">
        <f t="shared" si="48"/>
        <v>0</v>
      </c>
      <c r="S72" s="2"/>
      <c r="T72" s="6">
        <v>310</v>
      </c>
      <c r="U72" s="2"/>
      <c r="V72" s="7">
        <f t="shared" si="49"/>
        <v>1.3265720949140938E-3</v>
      </c>
      <c r="W72" s="2"/>
      <c r="X72" s="6">
        <f t="shared" si="50"/>
        <v>-310</v>
      </c>
      <c r="Y72" s="2"/>
      <c r="Z72" s="7">
        <f t="shared" si="51"/>
        <v>-1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6">
        <v>-980</v>
      </c>
      <c r="E73" s="2"/>
      <c r="F73" s="7">
        <f t="shared" si="44"/>
        <v>-5.7437681580731884E-2</v>
      </c>
      <c r="G73" s="2"/>
      <c r="H73" s="6">
        <v>761</v>
      </c>
      <c r="I73" s="2"/>
      <c r="J73" s="7">
        <f t="shared" si="45"/>
        <v>6.9880624426078966E-2</v>
      </c>
      <c r="K73" s="2"/>
      <c r="L73" s="6">
        <f t="shared" si="46"/>
        <v>-1741</v>
      </c>
      <c r="M73" s="2"/>
      <c r="N73" s="7">
        <f t="shared" si="47"/>
        <v>-2.2877792378449411</v>
      </c>
      <c r="O73" s="11"/>
      <c r="P73" s="6">
        <v>3844</v>
      </c>
      <c r="Q73" s="2"/>
      <c r="R73" s="7">
        <f t="shared" si="48"/>
        <v>4.0794598981875478E-2</v>
      </c>
      <c r="S73" s="2"/>
      <c r="T73" s="6">
        <v>8363</v>
      </c>
      <c r="U73" s="2"/>
      <c r="V73" s="7">
        <f t="shared" si="49"/>
        <v>3.578749170892441E-2</v>
      </c>
      <c r="W73" s="2"/>
      <c r="X73" s="6">
        <f t="shared" si="50"/>
        <v>-4519</v>
      </c>
      <c r="Y73" s="2"/>
      <c r="Z73" s="7">
        <f t="shared" si="51"/>
        <v>-0.54035633146000239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6">
        <v>3385.52</v>
      </c>
      <c r="E74" s="2"/>
      <c r="F74" s="7">
        <f t="shared" si="44"/>
        <v>0.19842491810734633</v>
      </c>
      <c r="G74" s="2"/>
      <c r="H74" s="6">
        <v>3041</v>
      </c>
      <c r="I74" s="2"/>
      <c r="J74" s="7">
        <f t="shared" si="45"/>
        <v>0.27924701561065196</v>
      </c>
      <c r="K74" s="2"/>
      <c r="L74" s="6">
        <f t="shared" si="46"/>
        <v>344.52</v>
      </c>
      <c r="M74" s="2"/>
      <c r="N74" s="7">
        <f t="shared" si="47"/>
        <v>0.1132916803682999</v>
      </c>
      <c r="O74" s="11"/>
      <c r="P74" s="6">
        <v>24620.13</v>
      </c>
      <c r="Q74" s="2"/>
      <c r="R74" s="7">
        <f t="shared" si="48"/>
        <v>0.26128208382717016</v>
      </c>
      <c r="S74" s="2"/>
      <c r="T74" s="6">
        <v>38015</v>
      </c>
      <c r="U74" s="2"/>
      <c r="V74" s="7">
        <f t="shared" si="49"/>
        <v>0.16267625221986862</v>
      </c>
      <c r="W74" s="2"/>
      <c r="X74" s="6">
        <f t="shared" si="50"/>
        <v>-13394.869999999999</v>
      </c>
      <c r="Y74" s="2"/>
      <c r="Z74" s="7">
        <f t="shared" si="51"/>
        <v>-0.35235749046429038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6">
        <v>118.86</v>
      </c>
      <c r="E75" s="2"/>
      <c r="F75" s="7">
        <f t="shared" si="44"/>
        <v>6.9663702374344813E-3</v>
      </c>
      <c r="G75" s="2"/>
      <c r="H75" s="6"/>
      <c r="I75" s="2"/>
      <c r="J75" s="7">
        <f t="shared" si="45"/>
        <v>0</v>
      </c>
      <c r="K75" s="2"/>
      <c r="L75" s="6">
        <f t="shared" si="46"/>
        <v>118.86</v>
      </c>
      <c r="M75" s="2"/>
      <c r="N75" s="7">
        <f t="shared" si="47"/>
        <v>0</v>
      </c>
      <c r="O75" s="11"/>
      <c r="P75" s="6">
        <v>702.99</v>
      </c>
      <c r="Q75" s="2"/>
      <c r="R75" s="7">
        <f t="shared" si="48"/>
        <v>7.4605086207774826E-3</v>
      </c>
      <c r="S75" s="2"/>
      <c r="T75" s="6"/>
      <c r="U75" s="2"/>
      <c r="V75" s="7">
        <f t="shared" si="49"/>
        <v>0</v>
      </c>
      <c r="W75" s="2"/>
      <c r="X75" s="6">
        <f t="shared" si="50"/>
        <v>702.99</v>
      </c>
      <c r="Y75" s="2"/>
      <c r="Z75" s="7">
        <f t="shared" si="51"/>
        <v>0</v>
      </c>
    </row>
    <row r="76" spans="1:26" s="27" customFormat="1" outlineLevel="1" collapsed="1" x14ac:dyDescent="0.25">
      <c r="A76" s="25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130.66999999999999</v>
      </c>
      <c r="E76" s="1"/>
      <c r="F76" s="5">
        <f t="shared" ref="F76:F86" si="52">IF(D$12=0,0,D76/D$12)</f>
        <v>7.6585529103614632E-3</v>
      </c>
      <c r="G76" s="1"/>
      <c r="H76" s="1">
        <f>SUM(OSRRefH22_13x_0)</f>
        <v>200</v>
      </c>
      <c r="I76" s="1"/>
      <c r="J76" s="5">
        <f t="shared" ref="J76:J86" si="53">IF(H$12=0,0,H76/H$12)</f>
        <v>1.8365472910927456E-2</v>
      </c>
      <c r="K76" s="1"/>
      <c r="L76" s="1">
        <f t="shared" ref="L76:L86" si="54">+D76-H76</f>
        <v>-69.330000000000013</v>
      </c>
      <c r="M76" s="1"/>
      <c r="N76" s="5">
        <f t="shared" ref="N76:N86" si="55">IF(H76=0,0,L76/H76)</f>
        <v>-0.34665000000000007</v>
      </c>
      <c r="O76" s="13"/>
      <c r="P76" s="1">
        <f>SUM(OSRRefP22_13x_0)</f>
        <v>1059.8499999999999</v>
      </c>
      <c r="Q76" s="1"/>
      <c r="R76" s="5">
        <f t="shared" ref="R76:R86" si="56">IF(P$12=0,0,P76/P$12)</f>
        <v>1.1247699201597483E-2</v>
      </c>
      <c r="S76" s="1"/>
      <c r="T76" s="1">
        <f>SUM(OSRRefT22_13x_0)</f>
        <v>2381</v>
      </c>
      <c r="U76" s="1"/>
      <c r="V76" s="5">
        <f t="shared" ref="V76:V86" si="57">IF(T$12=0,0,T76/T$12)</f>
        <v>1.0188929541904701E-2</v>
      </c>
      <c r="W76" s="1"/>
      <c r="X76" s="1">
        <f t="shared" ref="X76:X86" si="58">+P76-T76</f>
        <v>-1321.15</v>
      </c>
      <c r="Y76" s="1"/>
      <c r="Z76" s="5">
        <f t="shared" ref="Z76:Z86" si="59">IF(T76=0,0,X76/T76)</f>
        <v>-0.55487190256194885</v>
      </c>
    </row>
    <row r="77" spans="1:26" s="24" customFormat="1" hidden="1" outlineLevel="2" x14ac:dyDescent="0.25">
      <c r="A77" s="26"/>
      <c r="B77" s="11" t="str">
        <f>CONCATENATE("          ", "6275", " - ", "SUBSCRIPTIONS")</f>
        <v xml:space="preserve">          6275 - SUBSCRIPTIONS</v>
      </c>
      <c r="C77" s="11"/>
      <c r="D77" s="6">
        <v>130.66999999999999</v>
      </c>
      <c r="E77" s="2"/>
      <c r="F77" s="7">
        <f t="shared" si="52"/>
        <v>7.6585529103614632E-3</v>
      </c>
      <c r="G77" s="2"/>
      <c r="H77" s="6">
        <v>200</v>
      </c>
      <c r="I77" s="2"/>
      <c r="J77" s="7">
        <f t="shared" si="53"/>
        <v>1.8365472910927456E-2</v>
      </c>
      <c r="K77" s="2"/>
      <c r="L77" s="6">
        <f t="shared" si="54"/>
        <v>-69.330000000000013</v>
      </c>
      <c r="M77" s="2"/>
      <c r="N77" s="7">
        <f t="shared" si="55"/>
        <v>-0.34665000000000007</v>
      </c>
      <c r="O77" s="11"/>
      <c r="P77" s="6">
        <v>1059.8499999999999</v>
      </c>
      <c r="Q77" s="2"/>
      <c r="R77" s="7">
        <f t="shared" si="56"/>
        <v>1.1247699201597483E-2</v>
      </c>
      <c r="S77" s="2"/>
      <c r="T77" s="6">
        <v>2381</v>
      </c>
      <c r="U77" s="2"/>
      <c r="V77" s="7">
        <f t="shared" si="57"/>
        <v>1.0188929541904701E-2</v>
      </c>
      <c r="W77" s="2"/>
      <c r="X77" s="6">
        <f t="shared" si="58"/>
        <v>-1321.15</v>
      </c>
      <c r="Y77" s="2"/>
      <c r="Z77" s="7">
        <f t="shared" si="59"/>
        <v>-0.55487190256194885</v>
      </c>
    </row>
    <row r="78" spans="1:26" s="27" customFormat="1" outlineLevel="1" collapsed="1" x14ac:dyDescent="0.25">
      <c r="A78" s="25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1860.8400000000001</v>
      </c>
      <c r="E78" s="1"/>
      <c r="F78" s="5">
        <f t="shared" si="52"/>
        <v>0.10906360754356033</v>
      </c>
      <c r="G78" s="1"/>
      <c r="H78" s="1">
        <f>SUM(OSRRefH22_14x_0)</f>
        <v>650</v>
      </c>
      <c r="I78" s="1"/>
      <c r="J78" s="5">
        <f t="shared" si="53"/>
        <v>5.968778696051423E-2</v>
      </c>
      <c r="K78" s="1"/>
      <c r="L78" s="1">
        <f t="shared" si="54"/>
        <v>1210.8400000000001</v>
      </c>
      <c r="M78" s="1"/>
      <c r="N78" s="5">
        <f t="shared" si="55"/>
        <v>1.8628307692307695</v>
      </c>
      <c r="O78" s="13"/>
      <c r="P78" s="1">
        <f>SUM(OSRRefP22_14x_0)</f>
        <v>10236.07</v>
      </c>
      <c r="Q78" s="1"/>
      <c r="R78" s="5">
        <f t="shared" si="56"/>
        <v>0.10863068959427839</v>
      </c>
      <c r="S78" s="1"/>
      <c r="T78" s="1">
        <f>SUM(OSRRefT22_14x_0)</f>
        <v>23825</v>
      </c>
      <c r="U78" s="1"/>
      <c r="V78" s="5">
        <f t="shared" si="57"/>
        <v>0.10195348439138156</v>
      </c>
      <c r="W78" s="1"/>
      <c r="X78" s="1">
        <f t="shared" si="58"/>
        <v>-13588.93</v>
      </c>
      <c r="Y78" s="1"/>
      <c r="Z78" s="5">
        <f t="shared" si="59"/>
        <v>-0.57036432318992658</v>
      </c>
    </row>
    <row r="79" spans="1:26" s="24" customFormat="1" hidden="1" outlineLevel="2" x14ac:dyDescent="0.25">
      <c r="A79" s="26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337.16</v>
      </c>
      <c r="Q79" s="2"/>
      <c r="R79" s="7">
        <f t="shared" si="56"/>
        <v>3.5781235673072679E-3</v>
      </c>
      <c r="S79" s="2"/>
      <c r="T79" s="6">
        <v>1076</v>
      </c>
      <c r="U79" s="2"/>
      <c r="V79" s="7">
        <f t="shared" si="57"/>
        <v>4.6044889487985964E-3</v>
      </c>
      <c r="W79" s="2"/>
      <c r="X79" s="6">
        <f t="shared" si="58"/>
        <v>-738.83999999999992</v>
      </c>
      <c r="Y79" s="2"/>
      <c r="Z79" s="7">
        <f t="shared" si="59"/>
        <v>-0.68665427509293675</v>
      </c>
    </row>
    <row r="80" spans="1:26" s="24" customFormat="1" hidden="1" outlineLevel="2" x14ac:dyDescent="0.25">
      <c r="A80" s="26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6819.42</v>
      </c>
      <c r="Q80" s="2"/>
      <c r="R80" s="7">
        <f t="shared" si="56"/>
        <v>7.2371359050203254E-2</v>
      </c>
      <c r="S80" s="2"/>
      <c r="T80" s="6"/>
      <c r="U80" s="2"/>
      <c r="V80" s="7">
        <f t="shared" si="57"/>
        <v>0</v>
      </c>
      <c r="W80" s="2"/>
      <c r="X80" s="6">
        <f t="shared" si="58"/>
        <v>6819.42</v>
      </c>
      <c r="Y80" s="2"/>
      <c r="Z80" s="7">
        <f t="shared" si="59"/>
        <v>0</v>
      </c>
    </row>
    <row r="81" spans="1:26" s="24" customFormat="1" hidden="1" outlineLevel="2" x14ac:dyDescent="0.25">
      <c r="A81" s="26"/>
      <c r="B81" s="11" t="str">
        <f>CONCATENATE("          ", "6237", " - ", "JANITORIAL SUPPLIES")</f>
        <v xml:space="preserve">          6237 - JANITORIAL SUPPLIES</v>
      </c>
      <c r="C81" s="11"/>
      <c r="D81" s="6">
        <v>363.7</v>
      </c>
      <c r="E81" s="2"/>
      <c r="F81" s="7">
        <f t="shared" si="52"/>
        <v>2.131641305195121E-2</v>
      </c>
      <c r="G81" s="2"/>
      <c r="H81" s="6">
        <v>500</v>
      </c>
      <c r="I81" s="2"/>
      <c r="J81" s="7">
        <f t="shared" si="53"/>
        <v>4.5913682277318638E-2</v>
      </c>
      <c r="K81" s="2"/>
      <c r="L81" s="6">
        <f t="shared" si="54"/>
        <v>-136.30000000000001</v>
      </c>
      <c r="M81" s="2"/>
      <c r="N81" s="7">
        <f t="shared" si="55"/>
        <v>-0.27260000000000001</v>
      </c>
      <c r="O81" s="11"/>
      <c r="P81" s="6">
        <v>650.61</v>
      </c>
      <c r="Q81" s="2"/>
      <c r="R81" s="7">
        <f t="shared" si="56"/>
        <v>6.9046238406862658E-3</v>
      </c>
      <c r="S81" s="2"/>
      <c r="T81" s="6">
        <v>9899</v>
      </c>
      <c r="U81" s="2"/>
      <c r="V81" s="7">
        <f t="shared" si="57"/>
        <v>4.2360442475982626E-2</v>
      </c>
      <c r="W81" s="2"/>
      <c r="X81" s="6">
        <f t="shared" si="58"/>
        <v>-9248.39</v>
      </c>
      <c r="Y81" s="2"/>
      <c r="Z81" s="7">
        <f t="shared" si="59"/>
        <v>-0.93427517931104143</v>
      </c>
    </row>
    <row r="82" spans="1:26" s="24" customFormat="1" hidden="1" outlineLevel="2" x14ac:dyDescent="0.25">
      <c r="A82" s="26"/>
      <c r="B82" s="11" t="str">
        <f>CONCATENATE("          ", "6239", " - ", "KITCHEN SUPPLIES")</f>
        <v xml:space="preserve">          6239 - KITCHEN SUPPLIES</v>
      </c>
      <c r="C82" s="11"/>
      <c r="D82" s="6">
        <v>1497.14</v>
      </c>
      <c r="E82" s="2"/>
      <c r="F82" s="7">
        <f t="shared" si="52"/>
        <v>8.7747194491609115E-2</v>
      </c>
      <c r="G82" s="2"/>
      <c r="H82" s="6">
        <v>50</v>
      </c>
      <c r="I82" s="2"/>
      <c r="J82" s="7">
        <f t="shared" si="53"/>
        <v>4.5913682277318639E-3</v>
      </c>
      <c r="K82" s="2"/>
      <c r="L82" s="6">
        <f t="shared" si="54"/>
        <v>1447.14</v>
      </c>
      <c r="M82" s="2"/>
      <c r="N82" s="7">
        <f t="shared" si="55"/>
        <v>28.942800000000002</v>
      </c>
      <c r="O82" s="11"/>
      <c r="P82" s="6">
        <v>1516.97</v>
      </c>
      <c r="Q82" s="2"/>
      <c r="R82" s="7">
        <f t="shared" si="56"/>
        <v>1.6098902918193457E-2</v>
      </c>
      <c r="S82" s="2"/>
      <c r="T82" s="6">
        <v>543</v>
      </c>
      <c r="U82" s="2"/>
      <c r="V82" s="7">
        <f t="shared" si="57"/>
        <v>2.3236407985108157E-3</v>
      </c>
      <c r="W82" s="2"/>
      <c r="X82" s="6">
        <f t="shared" si="58"/>
        <v>973.97</v>
      </c>
      <c r="Y82" s="2"/>
      <c r="Z82" s="7">
        <f t="shared" si="59"/>
        <v>1.7936832412523021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6"/>
      <c r="E83" s="2"/>
      <c r="F83" s="7">
        <f t="shared" si="52"/>
        <v>0</v>
      </c>
      <c r="G83" s="2"/>
      <c r="H83" s="6">
        <v>100</v>
      </c>
      <c r="I83" s="2"/>
      <c r="J83" s="7">
        <f t="shared" si="53"/>
        <v>9.1827364554637279E-3</v>
      </c>
      <c r="K83" s="2"/>
      <c r="L83" s="6">
        <f t="shared" si="54"/>
        <v>-100</v>
      </c>
      <c r="M83" s="2"/>
      <c r="N83" s="7">
        <f t="shared" si="55"/>
        <v>-1</v>
      </c>
      <c r="O83" s="11"/>
      <c r="P83" s="6">
        <v>656.58</v>
      </c>
      <c r="Q83" s="2"/>
      <c r="R83" s="7">
        <f t="shared" si="56"/>
        <v>6.9679806970655055E-3</v>
      </c>
      <c r="S83" s="2"/>
      <c r="T83" s="6">
        <v>5562</v>
      </c>
      <c r="U83" s="2"/>
      <c r="V83" s="7">
        <f t="shared" si="57"/>
        <v>2.3801270941652224E-2</v>
      </c>
      <c r="W83" s="2"/>
      <c r="X83" s="6">
        <f t="shared" si="58"/>
        <v>-4905.42</v>
      </c>
      <c r="Y83" s="2"/>
      <c r="Z83" s="7">
        <f t="shared" si="59"/>
        <v>-0.88195253505933124</v>
      </c>
    </row>
    <row r="84" spans="1:26" s="24" customFormat="1" hidden="1" outlineLevel="2" x14ac:dyDescent="0.25">
      <c r="A84" s="26"/>
      <c r="B84" s="11" t="str">
        <f>CONCATENATE("          ", "6243", " - ", "PAPER SUPPLIES")</f>
        <v xml:space="preserve">          6243 - PAPER SUPPLIES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>
        <v>255.33</v>
      </c>
      <c r="Q84" s="2"/>
      <c r="R84" s="7">
        <f t="shared" si="56"/>
        <v>2.7096995208226501E-3</v>
      </c>
      <c r="S84" s="2"/>
      <c r="T84" s="6">
        <v>6319</v>
      </c>
      <c r="U84" s="2"/>
      <c r="V84" s="7">
        <f t="shared" si="57"/>
        <v>2.7040674412135996E-2</v>
      </c>
      <c r="W84" s="2"/>
      <c r="X84" s="6">
        <f t="shared" si="58"/>
        <v>-6063.67</v>
      </c>
      <c r="Y84" s="2"/>
      <c r="Z84" s="7">
        <f t="shared" si="59"/>
        <v>-0.9595932900775439</v>
      </c>
    </row>
    <row r="85" spans="1:26" s="24" customFormat="1" hidden="1" outlineLevel="2" x14ac:dyDescent="0.25">
      <c r="A85" s="26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/>
      <c r="Q85" s="2"/>
      <c r="R85" s="7">
        <f t="shared" si="56"/>
        <v>0</v>
      </c>
      <c r="S85" s="2"/>
      <c r="T85" s="6">
        <v>411</v>
      </c>
      <c r="U85" s="2"/>
      <c r="V85" s="7">
        <f t="shared" si="57"/>
        <v>1.75877784196675E-3</v>
      </c>
      <c r="W85" s="2"/>
      <c r="X85" s="6">
        <f t="shared" si="58"/>
        <v>-411</v>
      </c>
      <c r="Y85" s="2"/>
      <c r="Z85" s="7">
        <f t="shared" si="59"/>
        <v>-1</v>
      </c>
    </row>
    <row r="86" spans="1:26" s="24" customFormat="1" hidden="1" outlineLevel="2" x14ac:dyDescent="0.25">
      <c r="A86" s="26"/>
      <c r="B86" s="11" t="str">
        <f>CONCATENATE("          ", "6248", " - ", "UNIFORMS")</f>
        <v xml:space="preserve">          6248 - UNIFORMS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/>
      <c r="Q86" s="2"/>
      <c r="R86" s="7">
        <f t="shared" si="56"/>
        <v>0</v>
      </c>
      <c r="S86" s="2"/>
      <c r="T86" s="6">
        <v>15</v>
      </c>
      <c r="U86" s="2"/>
      <c r="V86" s="7">
        <f t="shared" si="57"/>
        <v>6.4188972334552923E-5</v>
      </c>
      <c r="W86" s="2"/>
      <c r="X86" s="6">
        <f t="shared" si="58"/>
        <v>-15</v>
      </c>
      <c r="Y86" s="2"/>
      <c r="Z86" s="7">
        <f t="shared" si="59"/>
        <v>-1</v>
      </c>
    </row>
    <row r="87" spans="1:26" s="27" customFormat="1" outlineLevel="1" collapsed="1" x14ac:dyDescent="0.25">
      <c r="A87" s="25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SUM(OSRRefD22_15x_0)</f>
        <v>532</v>
      </c>
      <c r="E87" s="1"/>
      <c r="F87" s="5">
        <f t="shared" ref="F87:F89" si="60">IF(D$12=0,0,D87/D$12)</f>
        <v>3.1180455715254449E-2</v>
      </c>
      <c r="G87" s="1"/>
      <c r="H87" s="1">
        <f>SUM(OSRRefH22_15x_0)</f>
        <v>135</v>
      </c>
      <c r="I87" s="1"/>
      <c r="J87" s="5">
        <f t="shared" ref="J87:J89" si="61">IF(H$12=0,0,H87/H$12)</f>
        <v>1.2396694214876033E-2</v>
      </c>
      <c r="K87" s="1"/>
      <c r="L87" s="1">
        <f t="shared" ref="L87:L89" si="62">+D87-H87</f>
        <v>397</v>
      </c>
      <c r="M87" s="1"/>
      <c r="N87" s="5">
        <f t="shared" ref="N87:N89" si="63">IF(H87=0,0,L87/H87)</f>
        <v>2.9407407407407407</v>
      </c>
      <c r="O87" s="13"/>
      <c r="P87" s="1">
        <f>SUM(OSRRefP22_15x_0)</f>
        <v>2612</v>
      </c>
      <c r="Q87" s="1"/>
      <c r="R87" s="5">
        <f t="shared" ref="R87:R89" si="64">IF(P$12=0,0,P87/P$12)</f>
        <v>2.7719951233261902E-2</v>
      </c>
      <c r="S87" s="1"/>
      <c r="T87" s="1">
        <f>SUM(OSRRefT22_15x_0)</f>
        <v>2262</v>
      </c>
      <c r="U87" s="1"/>
      <c r="V87" s="5">
        <f t="shared" ref="V87:V89" si="65">IF(T$12=0,0,T87/T$12)</f>
        <v>9.6796970280505802E-3</v>
      </c>
      <c r="W87" s="1"/>
      <c r="X87" s="1">
        <f t="shared" ref="X87:X89" si="66">+P87-T87</f>
        <v>350</v>
      </c>
      <c r="Y87" s="1"/>
      <c r="Z87" s="5">
        <f t="shared" ref="Z87:Z89" si="67">IF(T87=0,0,X87/T87)</f>
        <v>0.15473032714412024</v>
      </c>
    </row>
    <row r="88" spans="1:26" s="24" customFormat="1" hidden="1" outlineLevel="2" x14ac:dyDescent="0.25">
      <c r="A88" s="26"/>
      <c r="B88" s="11" t="str">
        <f>CONCATENATE("          ", "6303", " - ", "DATA PHONE LINES")</f>
        <v xml:space="preserve">          6303 - DATA PHONE LINES</v>
      </c>
      <c r="C88" s="11"/>
      <c r="D88" s="6"/>
      <c r="E88" s="2"/>
      <c r="F88" s="7">
        <f t="shared" si="60"/>
        <v>0</v>
      </c>
      <c r="G88" s="2"/>
      <c r="H88" s="6">
        <v>135</v>
      </c>
      <c r="I88" s="2"/>
      <c r="J88" s="7">
        <f t="shared" si="61"/>
        <v>1.2396694214876033E-2</v>
      </c>
      <c r="K88" s="2"/>
      <c r="L88" s="6">
        <f t="shared" si="62"/>
        <v>-135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1662</v>
      </c>
      <c r="U88" s="2"/>
      <c r="V88" s="7">
        <f t="shared" si="65"/>
        <v>7.1121381346684644E-3</v>
      </c>
      <c r="W88" s="2"/>
      <c r="X88" s="6">
        <f t="shared" si="66"/>
        <v>-1662</v>
      </c>
      <c r="Y88" s="2"/>
      <c r="Z88" s="7">
        <f t="shared" si="67"/>
        <v>-1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6">
        <v>532</v>
      </c>
      <c r="E89" s="2"/>
      <c r="F89" s="7">
        <f t="shared" si="60"/>
        <v>3.1180455715254449E-2</v>
      </c>
      <c r="G89" s="2"/>
      <c r="H89" s="6"/>
      <c r="I89" s="2"/>
      <c r="J89" s="7">
        <f t="shared" si="61"/>
        <v>0</v>
      </c>
      <c r="K89" s="2"/>
      <c r="L89" s="6">
        <f t="shared" si="62"/>
        <v>532</v>
      </c>
      <c r="M89" s="2"/>
      <c r="N89" s="7">
        <f t="shared" si="63"/>
        <v>0</v>
      </c>
      <c r="O89" s="11"/>
      <c r="P89" s="6">
        <v>2612</v>
      </c>
      <c r="Q89" s="2"/>
      <c r="R89" s="7">
        <f t="shared" si="64"/>
        <v>2.7719951233261902E-2</v>
      </c>
      <c r="S89" s="2"/>
      <c r="T89" s="6">
        <v>600</v>
      </c>
      <c r="U89" s="2"/>
      <c r="V89" s="7">
        <f t="shared" si="65"/>
        <v>2.5675588933821171E-3</v>
      </c>
      <c r="W89" s="2"/>
      <c r="X89" s="6">
        <f t="shared" si="66"/>
        <v>2012</v>
      </c>
      <c r="Y89" s="2"/>
      <c r="Z89" s="7">
        <f t="shared" si="67"/>
        <v>3.3533333333333335</v>
      </c>
    </row>
    <row r="90" spans="1:26" s="27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SUM(OSRRefD22_16x_0)</f>
        <v>0</v>
      </c>
      <c r="E90" s="1"/>
      <c r="F90" s="5">
        <f t="shared" ref="F90:F94" si="68">IF(D$12=0,0,D90/D$12)</f>
        <v>0</v>
      </c>
      <c r="G90" s="1"/>
      <c r="H90" s="1">
        <f>SUM(OSRRefH22_16x_0)</f>
        <v>0</v>
      </c>
      <c r="I90" s="1"/>
      <c r="J90" s="5">
        <f t="shared" ref="J90:J94" si="69">IF(H$12=0,0,H90/H$12)</f>
        <v>0</v>
      </c>
      <c r="K90" s="1"/>
      <c r="L90" s="1">
        <f t="shared" ref="L90:L94" si="70">+D90-H90</f>
        <v>0</v>
      </c>
      <c r="M90" s="1"/>
      <c r="N90" s="5">
        <f t="shared" ref="N90:N94" si="71">IF(H90=0,0,L90/H90)</f>
        <v>0</v>
      </c>
      <c r="O90" s="13"/>
      <c r="P90" s="1">
        <f>SUM(OSRRefP22_16x_0)</f>
        <v>400</v>
      </c>
      <c r="Q90" s="1"/>
      <c r="R90" s="5">
        <f t="shared" ref="R90:R94" si="72">IF(P$12=0,0,P90/P$12)</f>
        <v>4.2450155027966164E-3</v>
      </c>
      <c r="S90" s="1"/>
      <c r="T90" s="1">
        <f>SUM(OSRRefT22_16x_0)</f>
        <v>0</v>
      </c>
      <c r="U90" s="1"/>
      <c r="V90" s="5">
        <f t="shared" ref="V90:V94" si="73">IF(T$12=0,0,T90/T$12)</f>
        <v>0</v>
      </c>
      <c r="W90" s="1"/>
      <c r="X90" s="1">
        <f t="shared" ref="X90:X94" si="74">+P90-T90</f>
        <v>400</v>
      </c>
      <c r="Y90" s="1"/>
      <c r="Z90" s="5">
        <f t="shared" ref="Z90:Z94" si="75">IF(T90=0,0,X90/T90)</f>
        <v>0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6"/>
      <c r="E91" s="2"/>
      <c r="F91" s="7">
        <f t="shared" si="68"/>
        <v>0</v>
      </c>
      <c r="G91" s="2"/>
      <c r="H91" s="6"/>
      <c r="I91" s="2"/>
      <c r="J91" s="7">
        <f t="shared" si="69"/>
        <v>0</v>
      </c>
      <c r="K91" s="2"/>
      <c r="L91" s="6">
        <f t="shared" si="70"/>
        <v>0</v>
      </c>
      <c r="M91" s="2"/>
      <c r="N91" s="7">
        <f t="shared" si="71"/>
        <v>0</v>
      </c>
      <c r="O91" s="11"/>
      <c r="P91" s="6">
        <v>400</v>
      </c>
      <c r="Q91" s="2"/>
      <c r="R91" s="7">
        <f t="shared" si="72"/>
        <v>4.2450155027966164E-3</v>
      </c>
      <c r="S91" s="2"/>
      <c r="T91" s="6"/>
      <c r="U91" s="2"/>
      <c r="V91" s="7">
        <f t="shared" si="73"/>
        <v>0</v>
      </c>
      <c r="W91" s="2"/>
      <c r="X91" s="6">
        <f t="shared" si="74"/>
        <v>400</v>
      </c>
      <c r="Y91" s="2"/>
      <c r="Z91" s="7">
        <f t="shared" si="75"/>
        <v>0</v>
      </c>
    </row>
    <row r="92" spans="1:26" s="27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SUM(OSRRefD22_17x_0)</f>
        <v>0</v>
      </c>
      <c r="E92" s="1"/>
      <c r="F92" s="5">
        <f t="shared" si="68"/>
        <v>0</v>
      </c>
      <c r="G92" s="1"/>
      <c r="H92" s="1">
        <f>SUM(OSRRefH22_17x_0)</f>
        <v>0</v>
      </c>
      <c r="I92" s="1"/>
      <c r="J92" s="5">
        <f t="shared" si="69"/>
        <v>0</v>
      </c>
      <c r="K92" s="1"/>
      <c r="L92" s="1">
        <f t="shared" si="70"/>
        <v>0</v>
      </c>
      <c r="M92" s="1"/>
      <c r="N92" s="5">
        <f t="shared" si="71"/>
        <v>0</v>
      </c>
      <c r="O92" s="13"/>
      <c r="P92" s="1">
        <f>SUM(OSRRefP22_17x_0)</f>
        <v>0</v>
      </c>
      <c r="Q92" s="1"/>
      <c r="R92" s="5">
        <f t="shared" si="72"/>
        <v>0</v>
      </c>
      <c r="S92" s="1"/>
      <c r="T92" s="1">
        <f>SUM(OSRRefT22_17x_0)</f>
        <v>0</v>
      </c>
      <c r="U92" s="1"/>
      <c r="V92" s="5">
        <f t="shared" si="73"/>
        <v>0</v>
      </c>
      <c r="W92" s="1"/>
      <c r="X92" s="1">
        <f t="shared" si="74"/>
        <v>0</v>
      </c>
      <c r="Y92" s="1"/>
      <c r="Z92" s="5">
        <f t="shared" si="75"/>
        <v>0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68"/>
        <v>0</v>
      </c>
      <c r="G93" s="2"/>
      <c r="H93" s="6"/>
      <c r="I93" s="2"/>
      <c r="J93" s="7">
        <f t="shared" si="69"/>
        <v>0</v>
      </c>
      <c r="K93" s="2"/>
      <c r="L93" s="6">
        <f t="shared" si="70"/>
        <v>0</v>
      </c>
      <c r="M93" s="2"/>
      <c r="N93" s="7">
        <f t="shared" si="71"/>
        <v>0</v>
      </c>
      <c r="O93" s="11"/>
      <c r="P93" s="6"/>
      <c r="Q93" s="2"/>
      <c r="R93" s="7">
        <f t="shared" si="72"/>
        <v>0</v>
      </c>
      <c r="S93" s="2"/>
      <c r="T93" s="6">
        <v>0</v>
      </c>
      <c r="U93" s="2"/>
      <c r="V93" s="7">
        <f t="shared" si="73"/>
        <v>0</v>
      </c>
      <c r="W93" s="2"/>
      <c r="X93" s="6">
        <f t="shared" si="74"/>
        <v>0</v>
      </c>
      <c r="Y93" s="2"/>
      <c r="Z93" s="7">
        <f t="shared" si="75"/>
        <v>0</v>
      </c>
    </row>
    <row r="94" spans="1:26" s="24" customFormat="1" hidden="1" outlineLevel="2" x14ac:dyDescent="0.25">
      <c r="A94" s="26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1"/>
      <c r="P94" s="6"/>
      <c r="Q94" s="2"/>
      <c r="R94" s="7">
        <f t="shared" si="72"/>
        <v>0</v>
      </c>
      <c r="S94" s="2"/>
      <c r="T94" s="6">
        <v>0</v>
      </c>
      <c r="U94" s="2"/>
      <c r="V94" s="7">
        <f t="shared" si="73"/>
        <v>0</v>
      </c>
      <c r="W94" s="2"/>
      <c r="X94" s="6">
        <f t="shared" si="74"/>
        <v>0</v>
      </c>
      <c r="Y94" s="2"/>
      <c r="Z94" s="7">
        <f t="shared" si="75"/>
        <v>0</v>
      </c>
    </row>
    <row r="95" spans="1:26" s="27" customFormat="1" outlineLevel="1" collapsed="1" x14ac:dyDescent="0.25">
      <c r="A95" s="25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SUM(OSRRefD22_18x_0)</f>
        <v>-1825</v>
      </c>
      <c r="E95" s="1"/>
      <c r="F95" s="5">
        <f t="shared" ref="F95:F96" si="76">IF(D$12=0,0,D95/D$12)</f>
        <v>-0.10696302947432212</v>
      </c>
      <c r="G95" s="1"/>
      <c r="H95" s="1">
        <f>SUM(OSRRefH22_18x_0)</f>
        <v>2300</v>
      </c>
      <c r="I95" s="1"/>
      <c r="J95" s="5">
        <f t="shared" ref="J95:J96" si="77">IF(H$12=0,0,H95/H$12)</f>
        <v>0.21120293847566574</v>
      </c>
      <c r="K95" s="1"/>
      <c r="L95" s="1">
        <f t="shared" ref="L95:L96" si="78">+D95-H95</f>
        <v>-4125</v>
      </c>
      <c r="M95" s="1"/>
      <c r="N95" s="5">
        <f t="shared" ref="N95:N96" si="79">IF(H95=0,0,L95/H95)</f>
        <v>-1.7934782608695652</v>
      </c>
      <c r="O95" s="13"/>
      <c r="P95" s="1">
        <f>SUM(OSRRefP22_18x_0)</f>
        <v>11100</v>
      </c>
      <c r="Q95" s="1"/>
      <c r="R95" s="5">
        <f t="shared" ref="R95:R96" si="80">IF(P$12=0,0,P95/P$12)</f>
        <v>0.1177991802026061</v>
      </c>
      <c r="S95" s="1"/>
      <c r="T95" s="1">
        <f>SUM(OSRRefT22_18x_0)</f>
        <v>27600</v>
      </c>
      <c r="U95" s="1"/>
      <c r="V95" s="5">
        <f t="shared" ref="V95:V96" si="81">IF(T$12=0,0,T95/T$12)</f>
        <v>0.11810770909557738</v>
      </c>
      <c r="W95" s="1"/>
      <c r="X95" s="1">
        <f t="shared" ref="X95:X96" si="82">+P95-T95</f>
        <v>-16500</v>
      </c>
      <c r="Y95" s="1"/>
      <c r="Z95" s="5">
        <f t="shared" ref="Z95:Z96" si="83">IF(T95=0,0,X95/T95)</f>
        <v>-0.59782608695652173</v>
      </c>
    </row>
    <row r="96" spans="1:26" s="24" customFormat="1" hidden="1" outlineLevel="2" x14ac:dyDescent="0.25">
      <c r="A96" s="26"/>
      <c r="B96" s="11" t="str">
        <f>CONCATENATE("          ", "6274", " - ", "UTILITIES")</f>
        <v xml:space="preserve">          6274 - UTILITIES</v>
      </c>
      <c r="C96" s="11"/>
      <c r="D96" s="6">
        <v>-1825</v>
      </c>
      <c r="E96" s="2"/>
      <c r="F96" s="7">
        <f t="shared" si="76"/>
        <v>-0.10696302947432212</v>
      </c>
      <c r="G96" s="2"/>
      <c r="H96" s="6">
        <v>2300</v>
      </c>
      <c r="I96" s="2"/>
      <c r="J96" s="7">
        <f t="shared" si="77"/>
        <v>0.21120293847566574</v>
      </c>
      <c r="K96" s="2"/>
      <c r="L96" s="6">
        <f t="shared" si="78"/>
        <v>-4125</v>
      </c>
      <c r="M96" s="2"/>
      <c r="N96" s="7">
        <f t="shared" si="79"/>
        <v>-1.7934782608695652</v>
      </c>
      <c r="O96" s="11"/>
      <c r="P96" s="6">
        <v>11100</v>
      </c>
      <c r="Q96" s="2"/>
      <c r="R96" s="7">
        <f t="shared" si="80"/>
        <v>0.1177991802026061</v>
      </c>
      <c r="S96" s="2"/>
      <c r="T96" s="6">
        <v>27600</v>
      </c>
      <c r="U96" s="2"/>
      <c r="V96" s="7">
        <f t="shared" si="81"/>
        <v>0.11810770909557738</v>
      </c>
      <c r="W96" s="2"/>
      <c r="X96" s="6">
        <f t="shared" si="82"/>
        <v>-16500</v>
      </c>
      <c r="Y96" s="2"/>
      <c r="Z96" s="7">
        <f t="shared" si="83"/>
        <v>-0.59782608695652173</v>
      </c>
    </row>
    <row r="97" spans="1:26" s="61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293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277</v>
      </c>
      <c r="C100" s="28"/>
      <c r="D100" s="20">
        <f>+D23-D25+D98</f>
        <v>-40601.420000000006</v>
      </c>
      <c r="E100" s="14"/>
      <c r="F100" s="22">
        <f>IF(D$12=0,0,D100/D$12)</f>
        <v>-2.3796443200873054</v>
      </c>
      <c r="G100" s="14"/>
      <c r="H100" s="20">
        <f>+H23-H25+H98</f>
        <v>-38024.412875092312</v>
      </c>
      <c r="I100" s="14"/>
      <c r="J100" s="22">
        <f>IF(H$12=0,0,H100/H$12)</f>
        <v>-3.4916816230571452</v>
      </c>
      <c r="K100" s="16"/>
      <c r="L100" s="20">
        <f>+D100-H100</f>
        <v>-2577.0071249076937</v>
      </c>
      <c r="M100" s="16"/>
      <c r="N100" s="22">
        <f>IF(H100=0,0,L100/H100)</f>
        <v>6.77724369702431E-2</v>
      </c>
      <c r="O100" s="29"/>
      <c r="P100" s="20">
        <f>+P23-P25+P98</f>
        <v>-661910.28999999969</v>
      </c>
      <c r="Q100" s="14"/>
      <c r="R100" s="22">
        <f>IF(P$12=0,0,P100/P$12)</f>
        <v>-7.0245486062765066</v>
      </c>
      <c r="S100" s="14"/>
      <c r="T100" s="20">
        <f>+T23-T25+T98</f>
        <v>-509084.67845838459</v>
      </c>
      <c r="U100" s="14"/>
      <c r="V100" s="22">
        <f>IF(T$12=0,0,T100/T$12)</f>
        <v>-2.1785081561006678</v>
      </c>
      <c r="W100" s="16"/>
      <c r="X100" s="20">
        <f>+P100-T100</f>
        <v>-152825.6115416151</v>
      </c>
      <c r="Y100" s="16"/>
      <c r="Z100" s="22">
        <f>IF(T100=0,0,X100/T100)</f>
        <v>0.30019683955997883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128</v>
      </c>
      <c r="C102" s="10"/>
      <c r="D102" s="4">
        <v>9592.17</v>
      </c>
      <c r="E102" s="4"/>
      <c r="F102" s="12">
        <f>IF(D$12=0,0,D102/D$12)</f>
        <v>0.56219592462066215</v>
      </c>
      <c r="G102" s="4"/>
      <c r="H102" s="4">
        <v>-1644</v>
      </c>
      <c r="I102" s="4"/>
      <c r="J102" s="12">
        <f>IF(H$12=0,0,H102/H$12)</f>
        <v>-0.15096418732782368</v>
      </c>
      <c r="K102" s="4"/>
      <c r="L102" s="4">
        <f>+D102-H102</f>
        <v>11236.17</v>
      </c>
      <c r="M102" s="4"/>
      <c r="N102" s="12">
        <f>IF(H102=0,0,L102/H102)</f>
        <v>-6.8346532846715329</v>
      </c>
      <c r="O102" s="10"/>
      <c r="P102" s="4">
        <v>26081.85</v>
      </c>
      <c r="Q102" s="4"/>
      <c r="R102" s="12">
        <f>IF(P$12=0,0,P102/P$12)</f>
        <v>0.2767946439790398</v>
      </c>
      <c r="S102" s="4"/>
      <c r="T102" s="4">
        <v>39488</v>
      </c>
      <c r="U102" s="4"/>
      <c r="V102" s="12">
        <f>IF(T$12=0,0,T102/T$12)</f>
        <v>0.16897960930312173</v>
      </c>
      <c r="W102" s="4"/>
      <c r="X102" s="4">
        <f>+P102-T102</f>
        <v>-13406.150000000001</v>
      </c>
      <c r="Y102" s="4"/>
      <c r="Z102" s="12">
        <f>IF(T102=0,0,X102/T102)</f>
        <v>-0.33949934157212319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126</v>
      </c>
      <c r="C104" s="28"/>
      <c r="D104" s="34">
        <f>+D100-D102</f>
        <v>-50193.590000000004</v>
      </c>
      <c r="E104" s="14"/>
      <c r="F104" s="35">
        <f>IF(D$12=0,0,D104/D$12)</f>
        <v>-2.9418402447079677</v>
      </c>
      <c r="G104" s="14"/>
      <c r="H104" s="34">
        <f>+H100-H102</f>
        <v>-36380.412875092312</v>
      </c>
      <c r="I104" s="14"/>
      <c r="J104" s="35">
        <f>IF(H$12=0,0,H104/H$12)</f>
        <v>-3.3407174357293217</v>
      </c>
      <c r="K104" s="16"/>
      <c r="L104" s="34">
        <f>D104-H104</f>
        <v>-13813.177124907692</v>
      </c>
      <c r="M104" s="16"/>
      <c r="N104" s="35">
        <f>IF(H104=0,0,L104/H104)</f>
        <v>0.37968720070147477</v>
      </c>
      <c r="O104" s="29"/>
      <c r="P104" s="34">
        <f>+P100-P102</f>
        <v>-687992.13999999966</v>
      </c>
      <c r="Q104" s="14"/>
      <c r="R104" s="35">
        <f>IF(P$12=0,0,P104/P$12)</f>
        <v>-7.3013432502555462</v>
      </c>
      <c r="S104" s="14"/>
      <c r="T104" s="34">
        <f>+T100-T102</f>
        <v>-548572.67845838459</v>
      </c>
      <c r="U104" s="14"/>
      <c r="V104" s="35">
        <f>IF(T$12=0,0,T104/T$12)</f>
        <v>-2.3474877654037898</v>
      </c>
      <c r="W104" s="16"/>
      <c r="X104" s="34">
        <f>P104-T104</f>
        <v>-139419.46154161508</v>
      </c>
      <c r="Y104" s="16"/>
      <c r="Z104" s="35">
        <f>IF(T104=0,0,X104/T104)</f>
        <v>0.25414948103761897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294</v>
      </c>
      <c r="C107" s="28"/>
      <c r="D107" s="33">
        <f>SUM(D104:D106)</f>
        <v>-50193.590000000004</v>
      </c>
      <c r="E107" s="14"/>
      <c r="F107" s="31">
        <f>IF(D$12=0,0,D107/D$12)</f>
        <v>-2.9418402447079677</v>
      </c>
      <c r="G107" s="14"/>
      <c r="H107" s="33">
        <f>SUM(H104:H106)</f>
        <v>-36380.412875092312</v>
      </c>
      <c r="I107" s="14"/>
      <c r="J107" s="31">
        <f>IF(H$12=0,0,H107/H$12)</f>
        <v>-3.3407174357293217</v>
      </c>
      <c r="K107" s="16"/>
      <c r="L107" s="33">
        <f>+D107-H107</f>
        <v>-13813.177124907692</v>
      </c>
      <c r="M107" s="16"/>
      <c r="N107" s="31">
        <f>IF(H107=0,0,L107/H107)</f>
        <v>0.37968720070147477</v>
      </c>
      <c r="O107" s="29"/>
      <c r="P107" s="33">
        <f>SUM(P104:P106)</f>
        <v>-687992.13999999966</v>
      </c>
      <c r="Q107" s="14"/>
      <c r="R107" s="31">
        <f>IF(P$12=0,0,P107/P$12)</f>
        <v>-7.3013432502555462</v>
      </c>
      <c r="S107" s="14"/>
      <c r="T107" s="33">
        <f>SUM(T104:T106)</f>
        <v>-548572.67845838459</v>
      </c>
      <c r="U107" s="14"/>
      <c r="V107" s="31">
        <f>IF(T$12=0,0,T107/T$12)</f>
        <v>-2.3474877654037898</v>
      </c>
      <c r="W107" s="16"/>
      <c r="X107" s="33">
        <f>+P107-T107</f>
        <v>-139419.46154161508</v>
      </c>
      <c r="Y107" s="16"/>
      <c r="Z107" s="31">
        <f>IF(T107=0,0,X107/T107)</f>
        <v>0.25414948103761897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6">
        <v>44454.686112384261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5" t="s">
        <v>56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3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-301.68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-301.68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-301.68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-301.68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0</v>
      </c>
      <c r="I20" s="14"/>
      <c r="J20" s="22">
        <f>IF(H$12=0,0,H20/H$12)</f>
        <v>0</v>
      </c>
      <c r="K20" s="16"/>
      <c r="L20" s="20">
        <f>+D20-H20</f>
        <v>0</v>
      </c>
      <c r="M20" s="16"/>
      <c r="N20" s="22">
        <f>IF(H20=0,0,L20/H20)</f>
        <v>0</v>
      </c>
      <c r="O20" s="29"/>
      <c r="P20" s="20">
        <f>P12-P16</f>
        <v>301.68</v>
      </c>
      <c r="Q20" s="14"/>
      <c r="R20" s="22">
        <f>IF(P$12=0,0,P20/P$12)</f>
        <v>0</v>
      </c>
      <c r="S20" s="14"/>
      <c r="T20" s="20">
        <f>T12-T16</f>
        <v>0</v>
      </c>
      <c r="U20" s="14"/>
      <c r="V20" s="22">
        <f>IF(T$12=0,0,T20/T$12)</f>
        <v>0</v>
      </c>
      <c r="W20" s="16"/>
      <c r="X20" s="20">
        <f>+P20-T20</f>
        <v>301.68</v>
      </c>
      <c r="Y20" s="16"/>
      <c r="Z20" s="22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1">
        <f>SUM(OSRRefD22x_0)</f>
        <v>9992.8899999999976</v>
      </c>
      <c r="E22" s="21"/>
      <c r="F22" s="30">
        <f t="shared" ref="F22:F31" si="14">IF(D$12=0,0,D22/D$12)</f>
        <v>0</v>
      </c>
      <c r="G22" s="21"/>
      <c r="H22" s="21">
        <f>SUM(OSRRefH22x_0)</f>
        <v>6745</v>
      </c>
      <c r="I22" s="21"/>
      <c r="J22" s="30">
        <f t="shared" ref="J22:J31" si="15">IF(H$12=0,0,H22/H$12)</f>
        <v>0</v>
      </c>
      <c r="K22" s="4"/>
      <c r="L22" s="21">
        <f t="shared" ref="L22:L31" si="16">+D22-H22</f>
        <v>3247.8899999999976</v>
      </c>
      <c r="M22" s="4"/>
      <c r="N22" s="30">
        <f t="shared" ref="N22:N31" si="17">IF(H22=0,0,L22/H22)</f>
        <v>0.48152557449962902</v>
      </c>
      <c r="O22" s="10"/>
      <c r="P22" s="21">
        <f>SUM(OSRRefP22x_0)</f>
        <v>98064.25</v>
      </c>
      <c r="Q22" s="21"/>
      <c r="R22" s="30">
        <f t="shared" ref="R22:R31" si="18">IF(P$12=0,0,P22/P$12)</f>
        <v>0</v>
      </c>
      <c r="S22" s="21"/>
      <c r="T22" s="21">
        <f>SUM(OSRRefT22x_0)</f>
        <v>84039</v>
      </c>
      <c r="U22" s="21"/>
      <c r="V22" s="30">
        <f t="shared" ref="V22:V31" si="19">IF(T$12=0,0,T22/T$12)</f>
        <v>0</v>
      </c>
      <c r="W22" s="4"/>
      <c r="X22" s="21">
        <f t="shared" ref="X22:X31" si="20">+P22-T22</f>
        <v>14025.25</v>
      </c>
      <c r="Y22" s="4"/>
      <c r="Z22" s="30">
        <f t="shared" ref="Z22:Z31" si="21">IF(T22=0,0,X22/T22)</f>
        <v>0.16688977736527089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555.15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555.15</v>
      </c>
      <c r="M23" s="1"/>
      <c r="N23" s="5">
        <f t="shared" si="17"/>
        <v>0</v>
      </c>
      <c r="O23" s="13"/>
      <c r="P23" s="1">
        <f>SUM(OSRRefP22_0x_0)</f>
        <v>6641.4699999999993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6641.4699999999993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184.9</v>
      </c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184.9</v>
      </c>
      <c r="M24" s="2"/>
      <c r="N24" s="7">
        <f t="shared" si="17"/>
        <v>0</v>
      </c>
      <c r="O24" s="11"/>
      <c r="P24" s="6">
        <v>422.41</v>
      </c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422.41</v>
      </c>
      <c r="Y24" s="2"/>
      <c r="Z24" s="7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103.55</v>
      </c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103.55</v>
      </c>
      <c r="M25" s="2"/>
      <c r="N25" s="7">
        <f t="shared" si="17"/>
        <v>0</v>
      </c>
      <c r="O25" s="11"/>
      <c r="P25" s="6">
        <v>103.55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103.55</v>
      </c>
      <c r="Y25" s="2"/>
      <c r="Z25" s="7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>
        <v>4780.67</v>
      </c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4780.67</v>
      </c>
      <c r="Y26" s="2"/>
      <c r="Z26" s="7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6.28</v>
      </c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6.28</v>
      </c>
      <c r="M27" s="2"/>
      <c r="N27" s="7">
        <f t="shared" si="17"/>
        <v>0</v>
      </c>
      <c r="O27" s="11"/>
      <c r="P27" s="6">
        <v>6.28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6.28</v>
      </c>
      <c r="Y27" s="2"/>
      <c r="Z27" s="7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>
        <v>678.15</v>
      </c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678.15</v>
      </c>
      <c r="Y28" s="2"/>
      <c r="Z28" s="7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6">
        <v>133.08000000000001</v>
      </c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133.08000000000001</v>
      </c>
      <c r="M30" s="2"/>
      <c r="N30" s="7">
        <f t="shared" si="17"/>
        <v>0</v>
      </c>
      <c r="O30" s="11"/>
      <c r="P30" s="6">
        <v>381.29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381.29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6">
        <v>127.34</v>
      </c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127.34</v>
      </c>
      <c r="M31" s="2"/>
      <c r="N31" s="7">
        <f t="shared" si="17"/>
        <v>0</v>
      </c>
      <c r="O31" s="11"/>
      <c r="P31" s="6">
        <v>269.12</v>
      </c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269.12</v>
      </c>
      <c r="Y31" s="2"/>
      <c r="Z31" s="7">
        <f t="shared" si="21"/>
        <v>0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1375.8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1375.8</v>
      </c>
      <c r="M32" s="1"/>
      <c r="N32" s="5">
        <f t="shared" ref="N32:N42" si="25">IF(H32=0,0,L32/H32)</f>
        <v>0</v>
      </c>
      <c r="O32" s="13"/>
      <c r="P32" s="1">
        <f>SUM(OSRRefP22_1x_0)</f>
        <v>3527.49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3527.49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>
        <v>2151.69</v>
      </c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2151.69</v>
      </c>
      <c r="Y34" s="2"/>
      <c r="Z34" s="7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1375.8</v>
      </c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1375.8</v>
      </c>
      <c r="M36" s="2"/>
      <c r="N36" s="7">
        <f t="shared" si="25"/>
        <v>0</v>
      </c>
      <c r="O36" s="11"/>
      <c r="P36" s="6">
        <v>1375.8</v>
      </c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1375.8</v>
      </c>
      <c r="Y36" s="2"/>
      <c r="Z36" s="7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6745.21</v>
      </c>
      <c r="E47" s="1"/>
      <c r="F47" s="5">
        <f t="shared" si="30"/>
        <v>0</v>
      </c>
      <c r="G47" s="1"/>
      <c r="H47" s="1">
        <f>SUM(OSRRefH22_4x_0)</f>
        <v>6745</v>
      </c>
      <c r="I47" s="1"/>
      <c r="J47" s="5">
        <f t="shared" si="31"/>
        <v>0</v>
      </c>
      <c r="K47" s="1"/>
      <c r="L47" s="1">
        <f t="shared" si="32"/>
        <v>0.21000000000003638</v>
      </c>
      <c r="M47" s="1"/>
      <c r="N47" s="5">
        <f t="shared" si="33"/>
        <v>3.1134173461828963E-5</v>
      </c>
      <c r="O47" s="13"/>
      <c r="P47" s="1">
        <f>SUM(OSRRefP22_4x_0)</f>
        <v>82239.23</v>
      </c>
      <c r="Q47" s="1"/>
      <c r="R47" s="5">
        <f t="shared" si="34"/>
        <v>0</v>
      </c>
      <c r="S47" s="1"/>
      <c r="T47" s="1">
        <f>SUM(OSRRefT22_4x_0)</f>
        <v>82239</v>
      </c>
      <c r="U47" s="1"/>
      <c r="V47" s="5">
        <f t="shared" si="35"/>
        <v>0</v>
      </c>
      <c r="W47" s="1"/>
      <c r="X47" s="1">
        <f t="shared" si="36"/>
        <v>0.22999999999592546</v>
      </c>
      <c r="Y47" s="1"/>
      <c r="Z47" s="5">
        <f t="shared" si="37"/>
        <v>2.7967266138441066E-6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6">
        <v>6537.06</v>
      </c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6537.06</v>
      </c>
      <c r="M48" s="2"/>
      <c r="N48" s="7">
        <f t="shared" si="33"/>
        <v>0</v>
      </c>
      <c r="O48" s="11"/>
      <c r="P48" s="6">
        <v>78444.61</v>
      </c>
      <c r="Q48" s="2"/>
      <c r="R48" s="7">
        <f t="shared" si="34"/>
        <v>0</v>
      </c>
      <c r="S48" s="2"/>
      <c r="T48" s="6"/>
      <c r="U48" s="2"/>
      <c r="V48" s="7">
        <f t="shared" si="35"/>
        <v>0</v>
      </c>
      <c r="W48" s="2"/>
      <c r="X48" s="6">
        <f t="shared" si="36"/>
        <v>78444.61</v>
      </c>
      <c r="Y48" s="2"/>
      <c r="Z48" s="7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208.15</v>
      </c>
      <c r="E49" s="2"/>
      <c r="F49" s="7">
        <f t="shared" si="30"/>
        <v>0</v>
      </c>
      <c r="G49" s="2"/>
      <c r="H49" s="6">
        <v>6745</v>
      </c>
      <c r="I49" s="2"/>
      <c r="J49" s="7">
        <f t="shared" si="31"/>
        <v>0</v>
      </c>
      <c r="K49" s="2"/>
      <c r="L49" s="6">
        <f t="shared" si="32"/>
        <v>-6536.85</v>
      </c>
      <c r="M49" s="2"/>
      <c r="N49" s="7">
        <f t="shared" si="33"/>
        <v>-0.96914010378057824</v>
      </c>
      <c r="O49" s="11"/>
      <c r="P49" s="6">
        <v>3794.62</v>
      </c>
      <c r="Q49" s="2"/>
      <c r="R49" s="7">
        <f t="shared" si="34"/>
        <v>0</v>
      </c>
      <c r="S49" s="2"/>
      <c r="T49" s="6">
        <v>82239</v>
      </c>
      <c r="U49" s="2"/>
      <c r="V49" s="7">
        <f t="shared" si="35"/>
        <v>0</v>
      </c>
      <c r="W49" s="2"/>
      <c r="X49" s="6">
        <f t="shared" si="36"/>
        <v>-78444.38</v>
      </c>
      <c r="Y49" s="2"/>
      <c r="Z49" s="7">
        <f t="shared" si="37"/>
        <v>-0.95385863154950823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59" si="38">IF(D$12=0,0,D50/D$12)</f>
        <v>0</v>
      </c>
      <c r="G50" s="1"/>
      <c r="H50" s="1">
        <f>SUM(OSRRefH22_5x_0)</f>
        <v>0</v>
      </c>
      <c r="I50" s="1"/>
      <c r="J50" s="5">
        <f t="shared" ref="J50:J59" si="39">IF(H$12=0,0,H50/H$12)</f>
        <v>0</v>
      </c>
      <c r="K50" s="1"/>
      <c r="L50" s="1">
        <f t="shared" ref="L50:L59" si="40">+D50-H50</f>
        <v>0</v>
      </c>
      <c r="M50" s="1"/>
      <c r="N50" s="5">
        <f t="shared" ref="N50:N59" si="41">IF(H50=0,0,L50/H50)</f>
        <v>0</v>
      </c>
      <c r="O50" s="13"/>
      <c r="P50" s="1">
        <f>SUM(OSRRefP22_5x_0)</f>
        <v>0</v>
      </c>
      <c r="Q50" s="1"/>
      <c r="R50" s="5">
        <f t="shared" ref="R50:R59" si="42">IF(P$12=0,0,P50/P$12)</f>
        <v>0</v>
      </c>
      <c r="S50" s="1"/>
      <c r="T50" s="1">
        <f>SUM(OSRRefT22_5x_0)</f>
        <v>0</v>
      </c>
      <c r="U50" s="1"/>
      <c r="V50" s="5">
        <f t="shared" ref="V50:V59" si="43">IF(T$12=0,0,T50/T$12)</f>
        <v>0</v>
      </c>
      <c r="W50" s="1"/>
      <c r="X50" s="1">
        <f t="shared" ref="X50:X59" si="44">+P50-T50</f>
        <v>0</v>
      </c>
      <c r="Y50" s="1"/>
      <c r="Z50" s="5">
        <f t="shared" ref="Z50:Z59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8"/>
        <v>0</v>
      </c>
      <c r="G51" s="2"/>
      <c r="H51" s="6">
        <v>0</v>
      </c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0</v>
      </c>
      <c r="U51" s="2"/>
      <c r="V51" s="7">
        <f t="shared" si="43"/>
        <v>0</v>
      </c>
      <c r="W51" s="2"/>
      <c r="X51" s="6">
        <f t="shared" si="44"/>
        <v>0</v>
      </c>
      <c r="Y51" s="2"/>
      <c r="Z51" s="7">
        <f t="shared" si="45"/>
        <v>0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60</v>
      </c>
      <c r="E52" s="1"/>
      <c r="F52" s="5">
        <f t="shared" si="38"/>
        <v>0</v>
      </c>
      <c r="G52" s="1"/>
      <c r="H52" s="1">
        <f>SUM(OSRRefH22_6x_0)</f>
        <v>0</v>
      </c>
      <c r="I52" s="1"/>
      <c r="J52" s="5">
        <f t="shared" si="39"/>
        <v>0</v>
      </c>
      <c r="K52" s="1"/>
      <c r="L52" s="1">
        <f t="shared" si="40"/>
        <v>60</v>
      </c>
      <c r="M52" s="1"/>
      <c r="N52" s="5">
        <f t="shared" si="41"/>
        <v>0</v>
      </c>
      <c r="O52" s="13"/>
      <c r="P52" s="1">
        <f>SUM(OSRRefP22_6x_0)</f>
        <v>503.72</v>
      </c>
      <c r="Q52" s="1"/>
      <c r="R52" s="5">
        <f t="shared" si="42"/>
        <v>0</v>
      </c>
      <c r="S52" s="1"/>
      <c r="T52" s="1">
        <f>SUM(OSRRefT22_6x_0)</f>
        <v>0</v>
      </c>
      <c r="U52" s="1"/>
      <c r="V52" s="5">
        <f t="shared" si="43"/>
        <v>0</v>
      </c>
      <c r="W52" s="1"/>
      <c r="X52" s="1">
        <f t="shared" si="44"/>
        <v>503.72</v>
      </c>
      <c r="Y52" s="1"/>
      <c r="Z52" s="5">
        <f t="shared" si="45"/>
        <v>0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60</v>
      </c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60</v>
      </c>
      <c r="M53" s="2"/>
      <c r="N53" s="7">
        <f t="shared" si="41"/>
        <v>0</v>
      </c>
      <c r="O53" s="11"/>
      <c r="P53" s="6">
        <v>503.72</v>
      </c>
      <c r="Q53" s="2"/>
      <c r="R53" s="7">
        <f t="shared" si="42"/>
        <v>0</v>
      </c>
      <c r="S53" s="2"/>
      <c r="T53" s="6"/>
      <c r="U53" s="2"/>
      <c r="V53" s="7">
        <f t="shared" si="43"/>
        <v>0</v>
      </c>
      <c r="W53" s="2"/>
      <c r="X53" s="6">
        <f t="shared" si="44"/>
        <v>503.72</v>
      </c>
      <c r="Y53" s="2"/>
      <c r="Z53" s="7">
        <f t="shared" si="45"/>
        <v>0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2969.55</v>
      </c>
      <c r="Q54" s="1"/>
      <c r="R54" s="5">
        <f t="shared" si="42"/>
        <v>0</v>
      </c>
      <c r="S54" s="1"/>
      <c r="T54" s="1">
        <f>SUM(OSRRefT22_7x_0)</f>
        <v>1800</v>
      </c>
      <c r="U54" s="1"/>
      <c r="V54" s="5">
        <f t="shared" si="43"/>
        <v>0</v>
      </c>
      <c r="W54" s="1"/>
      <c r="X54" s="1">
        <f t="shared" si="44"/>
        <v>1169.5500000000002</v>
      </c>
      <c r="Y54" s="1"/>
      <c r="Z54" s="5">
        <f t="shared" si="45"/>
        <v>0.64975000000000005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2969.55</v>
      </c>
      <c r="Q55" s="2"/>
      <c r="R55" s="7">
        <f t="shared" si="42"/>
        <v>0</v>
      </c>
      <c r="S55" s="2"/>
      <c r="T55" s="6">
        <v>1800</v>
      </c>
      <c r="U55" s="2"/>
      <c r="V55" s="7">
        <f t="shared" si="43"/>
        <v>0</v>
      </c>
      <c r="W55" s="2"/>
      <c r="X55" s="6">
        <f t="shared" si="44"/>
        <v>1169.5500000000002</v>
      </c>
      <c r="Y55" s="2"/>
      <c r="Z55" s="7">
        <f t="shared" si="45"/>
        <v>0.64975000000000005</v>
      </c>
    </row>
    <row r="56" spans="1:26" s="27" customFormat="1" outlineLevel="1" collapsed="1" x14ac:dyDescent="0.25">
      <c r="A56" s="25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SUM(OSRRefD22_8x_0)</f>
        <v>955.09</v>
      </c>
      <c r="E56" s="1"/>
      <c r="F56" s="5">
        <f t="shared" si="38"/>
        <v>0</v>
      </c>
      <c r="G56" s="1"/>
      <c r="H56" s="1">
        <f>SUM(OSRRefH22_8x_0)</f>
        <v>0</v>
      </c>
      <c r="I56" s="1"/>
      <c r="J56" s="5">
        <f t="shared" si="39"/>
        <v>0</v>
      </c>
      <c r="K56" s="1"/>
      <c r="L56" s="1">
        <f t="shared" si="40"/>
        <v>955.09</v>
      </c>
      <c r="M56" s="1"/>
      <c r="N56" s="5">
        <f t="shared" si="41"/>
        <v>0</v>
      </c>
      <c r="O56" s="13"/>
      <c r="P56" s="1">
        <f>SUM(OSRRefP22_8x_0)</f>
        <v>1630.28</v>
      </c>
      <c r="Q56" s="1"/>
      <c r="R56" s="5">
        <f t="shared" si="42"/>
        <v>0</v>
      </c>
      <c r="S56" s="1"/>
      <c r="T56" s="1">
        <f>SUM(OSRRefT22_8x_0)</f>
        <v>0</v>
      </c>
      <c r="U56" s="1"/>
      <c r="V56" s="5">
        <f t="shared" si="43"/>
        <v>0</v>
      </c>
      <c r="W56" s="1"/>
      <c r="X56" s="1">
        <f t="shared" si="44"/>
        <v>1630.28</v>
      </c>
      <c r="Y56" s="1"/>
      <c r="Z56" s="5">
        <f t="shared" si="45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/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0</v>
      </c>
      <c r="Y57" s="2"/>
      <c r="Z57" s="7">
        <f t="shared" si="45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198.46</v>
      </c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198.46</v>
      </c>
      <c r="M58" s="2"/>
      <c r="N58" s="7">
        <f t="shared" si="41"/>
        <v>0</v>
      </c>
      <c r="O58" s="11"/>
      <c r="P58" s="6">
        <v>873.65</v>
      </c>
      <c r="Q58" s="2"/>
      <c r="R58" s="7">
        <f t="shared" si="42"/>
        <v>0</v>
      </c>
      <c r="S58" s="2"/>
      <c r="T58" s="6">
        <v>0</v>
      </c>
      <c r="U58" s="2"/>
      <c r="V58" s="7">
        <f t="shared" si="43"/>
        <v>0</v>
      </c>
      <c r="W58" s="2"/>
      <c r="X58" s="6">
        <f t="shared" si="44"/>
        <v>873.65</v>
      </c>
      <c r="Y58" s="2"/>
      <c r="Z58" s="7">
        <f t="shared" si="45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756.63</v>
      </c>
      <c r="E59" s="2"/>
      <c r="F59" s="7">
        <f t="shared" si="38"/>
        <v>0</v>
      </c>
      <c r="G59" s="2"/>
      <c r="H59" s="6">
        <v>0</v>
      </c>
      <c r="I59" s="2"/>
      <c r="J59" s="7">
        <f t="shared" si="39"/>
        <v>0</v>
      </c>
      <c r="K59" s="2"/>
      <c r="L59" s="6">
        <f t="shared" si="40"/>
        <v>756.63</v>
      </c>
      <c r="M59" s="2"/>
      <c r="N59" s="7">
        <f t="shared" si="41"/>
        <v>0</v>
      </c>
      <c r="O59" s="11"/>
      <c r="P59" s="6">
        <v>756.63</v>
      </c>
      <c r="Q59" s="2"/>
      <c r="R59" s="7">
        <f t="shared" si="42"/>
        <v>0</v>
      </c>
      <c r="S59" s="2"/>
      <c r="T59" s="6">
        <v>0</v>
      </c>
      <c r="U59" s="2"/>
      <c r="V59" s="7">
        <f t="shared" si="43"/>
        <v>0</v>
      </c>
      <c r="W59" s="2"/>
      <c r="X59" s="6">
        <f t="shared" si="44"/>
        <v>756.63</v>
      </c>
      <c r="Y59" s="2"/>
      <c r="Z59" s="7">
        <f t="shared" si="45"/>
        <v>0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46">IF(D$12=0,0,D60/D$12)</f>
        <v>0</v>
      </c>
      <c r="G60" s="1"/>
      <c r="H60" s="1">
        <f>SUM(OSRRefH22_9x_0)</f>
        <v>0</v>
      </c>
      <c r="I60" s="1"/>
      <c r="J60" s="5">
        <f t="shared" ref="J60:J62" si="47">IF(H$12=0,0,H60/H$12)</f>
        <v>0</v>
      </c>
      <c r="K60" s="1"/>
      <c r="L60" s="1">
        <f t="shared" ref="L60:L62" si="48">+D60-H60</f>
        <v>0</v>
      </c>
      <c r="M60" s="1"/>
      <c r="N60" s="5">
        <f t="shared" ref="N60:N62" si="49">IF(H60=0,0,L60/H60)</f>
        <v>0</v>
      </c>
      <c r="O60" s="13"/>
      <c r="P60" s="1">
        <f>SUM(OSRRefP22_9x_0)</f>
        <v>0</v>
      </c>
      <c r="Q60" s="1"/>
      <c r="R60" s="5">
        <f t="shared" ref="R60:R62" si="50">IF(P$12=0,0,P60/P$12)</f>
        <v>0</v>
      </c>
      <c r="S60" s="1"/>
      <c r="T60" s="1">
        <f>SUM(OSRRefT22_9x_0)</f>
        <v>0</v>
      </c>
      <c r="U60" s="1"/>
      <c r="V60" s="5">
        <f t="shared" ref="V60:V62" si="51">IF(T$12=0,0,T60/T$12)</f>
        <v>0</v>
      </c>
      <c r="W60" s="1"/>
      <c r="X60" s="1">
        <f t="shared" ref="X60:X62" si="52">+P60-T60</f>
        <v>0</v>
      </c>
      <c r="Y60" s="1"/>
      <c r="Z60" s="5">
        <f t="shared" ref="Z60:Z62" si="53">IF(T60=0,0,X60/T60)</f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5" si="54">IF(D$12=0,0,D63/D$12)</f>
        <v>0</v>
      </c>
      <c r="G63" s="1"/>
      <c r="H63" s="1">
        <f>SUM(OSRRefH22_10x_0)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3"/>
      <c r="P63" s="1">
        <f>SUM(OSRRefP22_10x_0)</f>
        <v>0</v>
      </c>
      <c r="Q63" s="1"/>
      <c r="R63" s="5">
        <f t="shared" ref="R63:R65" si="58">IF(P$12=0,0,P63/P$12)</f>
        <v>0</v>
      </c>
      <c r="S63" s="1"/>
      <c r="T63" s="1">
        <f>SUM(OSRRefT22_10x_0)</f>
        <v>0</v>
      </c>
      <c r="U63" s="1"/>
      <c r="V63" s="5">
        <f t="shared" ref="V63:V65" si="59">IF(T$12=0,0,T63/T$12)</f>
        <v>0</v>
      </c>
      <c r="W63" s="1"/>
      <c r="X63" s="1">
        <f t="shared" ref="X63:X65" si="60">+P63-T63</f>
        <v>0</v>
      </c>
      <c r="Y63" s="1"/>
      <c r="Z63" s="5">
        <f t="shared" ref="Z63:Z65" si="61">IF(T63=0,0,X63/T63)</f>
        <v>0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54"/>
        <v>0</v>
      </c>
      <c r="G64" s="2"/>
      <c r="H64" s="6"/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1"/>
      <c r="P64" s="6"/>
      <c r="Q64" s="2"/>
      <c r="R64" s="7">
        <f t="shared" si="58"/>
        <v>0</v>
      </c>
      <c r="S64" s="2"/>
      <c r="T64" s="6">
        <v>0</v>
      </c>
      <c r="U64" s="2"/>
      <c r="V64" s="7">
        <f t="shared" si="59"/>
        <v>0</v>
      </c>
      <c r="W64" s="2"/>
      <c r="X64" s="6">
        <f t="shared" si="60"/>
        <v>0</v>
      </c>
      <c r="Y64" s="2"/>
      <c r="Z64" s="7">
        <f t="shared" si="61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54"/>
        <v>0</v>
      </c>
      <c r="G65" s="2"/>
      <c r="H65" s="6">
        <v>0</v>
      </c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/>
      <c r="Q65" s="2"/>
      <c r="R65" s="7">
        <f t="shared" si="58"/>
        <v>0</v>
      </c>
      <c r="S65" s="2"/>
      <c r="T65" s="6">
        <v>0</v>
      </c>
      <c r="U65" s="2"/>
      <c r="V65" s="7">
        <f t="shared" si="59"/>
        <v>0</v>
      </c>
      <c r="W65" s="2"/>
      <c r="X65" s="6">
        <f t="shared" si="60"/>
        <v>0</v>
      </c>
      <c r="Y65" s="2"/>
      <c r="Z65" s="7">
        <f t="shared" si="61"/>
        <v>0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SUM(OSRRefD22_11x_0)</f>
        <v>301.64</v>
      </c>
      <c r="E66" s="1"/>
      <c r="F66" s="5">
        <f t="shared" ref="F66:F76" si="62">IF(D$12=0,0,D66/D$12)</f>
        <v>0</v>
      </c>
      <c r="G66" s="1"/>
      <c r="H66" s="1">
        <f>SUM(OSRRefH22_11x_0)</f>
        <v>0</v>
      </c>
      <c r="I66" s="1"/>
      <c r="J66" s="5">
        <f t="shared" ref="J66:J76" si="63">IF(H$12=0,0,H66/H$12)</f>
        <v>0</v>
      </c>
      <c r="K66" s="1"/>
      <c r="L66" s="1">
        <f t="shared" ref="L66:L76" si="64">+D66-H66</f>
        <v>301.64</v>
      </c>
      <c r="M66" s="1"/>
      <c r="N66" s="5">
        <f t="shared" ref="N66:N76" si="65">IF(H66=0,0,L66/H66)</f>
        <v>0</v>
      </c>
      <c r="O66" s="13"/>
      <c r="P66" s="1">
        <f>SUM(OSRRefP22_11x_0)</f>
        <v>301.64</v>
      </c>
      <c r="Q66" s="1"/>
      <c r="R66" s="5">
        <f t="shared" ref="R66:R76" si="66">IF(P$12=0,0,P66/P$12)</f>
        <v>0</v>
      </c>
      <c r="S66" s="1"/>
      <c r="T66" s="1">
        <f>SUM(OSRRefT22_11x_0)</f>
        <v>0</v>
      </c>
      <c r="U66" s="1"/>
      <c r="V66" s="5">
        <f t="shared" ref="V66:V76" si="67">IF(T$12=0,0,T66/T$12)</f>
        <v>0</v>
      </c>
      <c r="W66" s="1"/>
      <c r="X66" s="1">
        <f t="shared" ref="X66:X76" si="68">+P66-T66</f>
        <v>301.64</v>
      </c>
      <c r="Y66" s="1"/>
      <c r="Z66" s="5">
        <f t="shared" ref="Z66:Z76" si="69">IF(T66=0,0,X66/T66)</f>
        <v>0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62"/>
        <v>0</v>
      </c>
      <c r="G67" s="2"/>
      <c r="H67" s="6"/>
      <c r="I67" s="2"/>
      <c r="J67" s="7">
        <f t="shared" si="63"/>
        <v>0</v>
      </c>
      <c r="K67" s="2"/>
      <c r="L67" s="6">
        <f t="shared" si="64"/>
        <v>0</v>
      </c>
      <c r="M67" s="2"/>
      <c r="N67" s="7">
        <f t="shared" si="65"/>
        <v>0</v>
      </c>
      <c r="O67" s="11"/>
      <c r="P67" s="6"/>
      <c r="Q67" s="2"/>
      <c r="R67" s="7">
        <f t="shared" si="66"/>
        <v>0</v>
      </c>
      <c r="S67" s="2"/>
      <c r="T67" s="6">
        <v>0</v>
      </c>
      <c r="U67" s="2"/>
      <c r="V67" s="7">
        <f t="shared" si="67"/>
        <v>0</v>
      </c>
      <c r="W67" s="2"/>
      <c r="X67" s="6">
        <f t="shared" si="68"/>
        <v>0</v>
      </c>
      <c r="Y67" s="2"/>
      <c r="Z67" s="7">
        <f t="shared" si="69"/>
        <v>0</v>
      </c>
    </row>
    <row r="68" spans="1:26" s="24" customFormat="1" hidden="1" outlineLevel="2" x14ac:dyDescent="0.25">
      <c r="A68" s="26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62"/>
        <v>0</v>
      </c>
      <c r="G68" s="2"/>
      <c r="H68" s="6">
        <v>0</v>
      </c>
      <c r="I68" s="2"/>
      <c r="J68" s="7">
        <f t="shared" si="63"/>
        <v>0</v>
      </c>
      <c r="K68" s="2"/>
      <c r="L68" s="6">
        <f t="shared" si="64"/>
        <v>0</v>
      </c>
      <c r="M68" s="2"/>
      <c r="N68" s="7">
        <f t="shared" si="65"/>
        <v>0</v>
      </c>
      <c r="O68" s="11"/>
      <c r="P68" s="6"/>
      <c r="Q68" s="2"/>
      <c r="R68" s="7">
        <f t="shared" si="66"/>
        <v>0</v>
      </c>
      <c r="S68" s="2"/>
      <c r="T68" s="6">
        <v>0</v>
      </c>
      <c r="U68" s="2"/>
      <c r="V68" s="7">
        <f t="shared" si="67"/>
        <v>0</v>
      </c>
      <c r="W68" s="2"/>
      <c r="X68" s="6">
        <f t="shared" si="68"/>
        <v>0</v>
      </c>
      <c r="Y68" s="2"/>
      <c r="Z68" s="7">
        <f t="shared" si="69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62"/>
        <v>0</v>
      </c>
      <c r="G69" s="2"/>
      <c r="H69" s="6">
        <v>0</v>
      </c>
      <c r="I69" s="2"/>
      <c r="J69" s="7">
        <f t="shared" si="63"/>
        <v>0</v>
      </c>
      <c r="K69" s="2"/>
      <c r="L69" s="6">
        <f t="shared" si="64"/>
        <v>0</v>
      </c>
      <c r="M69" s="2"/>
      <c r="N69" s="7">
        <f t="shared" si="65"/>
        <v>0</v>
      </c>
      <c r="O69" s="11"/>
      <c r="P69" s="6"/>
      <c r="Q69" s="2"/>
      <c r="R69" s="7">
        <f t="shared" si="66"/>
        <v>0</v>
      </c>
      <c r="S69" s="2"/>
      <c r="T69" s="6">
        <v>0</v>
      </c>
      <c r="U69" s="2"/>
      <c r="V69" s="7">
        <f t="shared" si="67"/>
        <v>0</v>
      </c>
      <c r="W69" s="2"/>
      <c r="X69" s="6">
        <f t="shared" si="68"/>
        <v>0</v>
      </c>
      <c r="Y69" s="2"/>
      <c r="Z69" s="7">
        <f t="shared" si="69"/>
        <v>0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301.64</v>
      </c>
      <c r="E70" s="2"/>
      <c r="F70" s="7">
        <f t="shared" si="62"/>
        <v>0</v>
      </c>
      <c r="G70" s="2"/>
      <c r="H70" s="6"/>
      <c r="I70" s="2"/>
      <c r="J70" s="7">
        <f t="shared" si="63"/>
        <v>0</v>
      </c>
      <c r="K70" s="2"/>
      <c r="L70" s="6">
        <f t="shared" si="64"/>
        <v>301.64</v>
      </c>
      <c r="M70" s="2"/>
      <c r="N70" s="7">
        <f t="shared" si="65"/>
        <v>0</v>
      </c>
      <c r="O70" s="11"/>
      <c r="P70" s="6">
        <v>301.64</v>
      </c>
      <c r="Q70" s="2"/>
      <c r="R70" s="7">
        <f t="shared" si="66"/>
        <v>0</v>
      </c>
      <c r="S70" s="2"/>
      <c r="T70" s="6">
        <v>0</v>
      </c>
      <c r="U70" s="2"/>
      <c r="V70" s="7">
        <f t="shared" si="67"/>
        <v>0</v>
      </c>
      <c r="W70" s="2"/>
      <c r="X70" s="6">
        <f t="shared" si="68"/>
        <v>301.64</v>
      </c>
      <c r="Y70" s="2"/>
      <c r="Z70" s="7">
        <f t="shared" si="69"/>
        <v>0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62"/>
        <v>0</v>
      </c>
      <c r="G71" s="2"/>
      <c r="H71" s="6">
        <v>0</v>
      </c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1"/>
      <c r="P71" s="6"/>
      <c r="Q71" s="2"/>
      <c r="R71" s="7">
        <f t="shared" si="66"/>
        <v>0</v>
      </c>
      <c r="S71" s="2"/>
      <c r="T71" s="6">
        <v>0</v>
      </c>
      <c r="U71" s="2"/>
      <c r="V71" s="7">
        <f t="shared" si="67"/>
        <v>0</v>
      </c>
      <c r="W71" s="2"/>
      <c r="X71" s="6">
        <f t="shared" si="68"/>
        <v>0</v>
      </c>
      <c r="Y71" s="2"/>
      <c r="Z71" s="7">
        <f t="shared" si="69"/>
        <v>0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62"/>
        <v>0</v>
      </c>
      <c r="G72" s="2"/>
      <c r="H72" s="6">
        <v>0</v>
      </c>
      <c r="I72" s="2"/>
      <c r="J72" s="7">
        <f t="shared" si="63"/>
        <v>0</v>
      </c>
      <c r="K72" s="2"/>
      <c r="L72" s="6">
        <f t="shared" si="64"/>
        <v>0</v>
      </c>
      <c r="M72" s="2"/>
      <c r="N72" s="7">
        <f t="shared" si="65"/>
        <v>0</v>
      </c>
      <c r="O72" s="11"/>
      <c r="P72" s="6"/>
      <c r="Q72" s="2"/>
      <c r="R72" s="7">
        <f t="shared" si="66"/>
        <v>0</v>
      </c>
      <c r="S72" s="2"/>
      <c r="T72" s="6">
        <v>0</v>
      </c>
      <c r="U72" s="2"/>
      <c r="V72" s="7">
        <f t="shared" si="67"/>
        <v>0</v>
      </c>
      <c r="W72" s="2"/>
      <c r="X72" s="6">
        <f t="shared" si="68"/>
        <v>0</v>
      </c>
      <c r="Y72" s="2"/>
      <c r="Z72" s="7">
        <f t="shared" si="69"/>
        <v>0</v>
      </c>
    </row>
    <row r="73" spans="1:26" s="24" customFormat="1" hidden="1" outlineLevel="2" x14ac:dyDescent="0.25">
      <c r="A73" s="26"/>
      <c r="B73" s="11" t="str">
        <f>CONCATENATE("          ", "6244", " - ", "SAFETY SUPPLY EXPENSE")</f>
        <v xml:space="preserve">          6244 - SAFETY SUPPLY EXPENSE</v>
      </c>
      <c r="C73" s="11"/>
      <c r="D73" s="6"/>
      <c r="E73" s="2"/>
      <c r="F73" s="7">
        <f t="shared" si="62"/>
        <v>0</v>
      </c>
      <c r="G73" s="2"/>
      <c r="H73" s="6">
        <v>0</v>
      </c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1"/>
      <c r="P73" s="6"/>
      <c r="Q73" s="2"/>
      <c r="R73" s="7">
        <f t="shared" si="66"/>
        <v>0</v>
      </c>
      <c r="S73" s="2"/>
      <c r="T73" s="6">
        <v>0</v>
      </c>
      <c r="U73" s="2"/>
      <c r="V73" s="7">
        <f t="shared" si="67"/>
        <v>0</v>
      </c>
      <c r="W73" s="2"/>
      <c r="X73" s="6">
        <f t="shared" si="68"/>
        <v>0</v>
      </c>
      <c r="Y73" s="2"/>
      <c r="Z73" s="7">
        <f t="shared" si="69"/>
        <v>0</v>
      </c>
    </row>
    <row r="74" spans="1:26" s="24" customFormat="1" hidden="1" outlineLevel="2" x14ac:dyDescent="0.25">
      <c r="A74" s="26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62"/>
        <v>0</v>
      </c>
      <c r="G74" s="2"/>
      <c r="H74" s="6">
        <v>0</v>
      </c>
      <c r="I74" s="2"/>
      <c r="J74" s="7">
        <f t="shared" si="63"/>
        <v>0</v>
      </c>
      <c r="K74" s="2"/>
      <c r="L74" s="6">
        <f t="shared" si="64"/>
        <v>0</v>
      </c>
      <c r="M74" s="2"/>
      <c r="N74" s="7">
        <f t="shared" si="65"/>
        <v>0</v>
      </c>
      <c r="O74" s="11"/>
      <c r="P74" s="6"/>
      <c r="Q74" s="2"/>
      <c r="R74" s="7">
        <f t="shared" si="66"/>
        <v>0</v>
      </c>
      <c r="S74" s="2"/>
      <c r="T74" s="6">
        <v>0</v>
      </c>
      <c r="U74" s="2"/>
      <c r="V74" s="7">
        <f t="shared" si="67"/>
        <v>0</v>
      </c>
      <c r="W74" s="2"/>
      <c r="X74" s="6">
        <f t="shared" si="68"/>
        <v>0</v>
      </c>
      <c r="Y74" s="2"/>
      <c r="Z74" s="7">
        <f t="shared" si="69"/>
        <v>0</v>
      </c>
    </row>
    <row r="75" spans="1:26" s="24" customFormat="1" hidden="1" outlineLevel="2" x14ac:dyDescent="0.25">
      <c r="A75" s="26"/>
      <c r="B75" s="11" t="str">
        <f>CONCATENATE("          ", "6246", " - ", "REPLACEMENTS")</f>
        <v xml:space="preserve">          6246 - REPLACEMENTS</v>
      </c>
      <c r="C75" s="11"/>
      <c r="D75" s="6"/>
      <c r="E75" s="2"/>
      <c r="F75" s="7">
        <f t="shared" si="62"/>
        <v>0</v>
      </c>
      <c r="G75" s="2"/>
      <c r="H75" s="6"/>
      <c r="I75" s="2"/>
      <c r="J75" s="7">
        <f t="shared" si="63"/>
        <v>0</v>
      </c>
      <c r="K75" s="2"/>
      <c r="L75" s="6">
        <f t="shared" si="64"/>
        <v>0</v>
      </c>
      <c r="M75" s="2"/>
      <c r="N75" s="7">
        <f t="shared" si="65"/>
        <v>0</v>
      </c>
      <c r="O75" s="11"/>
      <c r="P75" s="6"/>
      <c r="Q75" s="2"/>
      <c r="R75" s="7">
        <f t="shared" si="66"/>
        <v>0</v>
      </c>
      <c r="S75" s="2"/>
      <c r="T75" s="6">
        <v>0</v>
      </c>
      <c r="U75" s="2"/>
      <c r="V75" s="7">
        <f t="shared" si="67"/>
        <v>0</v>
      </c>
      <c r="W75" s="2"/>
      <c r="X75" s="6">
        <f t="shared" si="68"/>
        <v>0</v>
      </c>
      <c r="Y75" s="2"/>
      <c r="Z75" s="7">
        <f t="shared" si="69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62"/>
        <v>0</v>
      </c>
      <c r="G76" s="2"/>
      <c r="H76" s="6"/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/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0</v>
      </c>
      <c r="Y76" s="2"/>
      <c r="Z76" s="7">
        <f t="shared" si="69"/>
        <v>0</v>
      </c>
    </row>
    <row r="77" spans="1:26" s="27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0</v>
      </c>
      <c r="E77" s="1"/>
      <c r="F77" s="5">
        <f t="shared" ref="F77:F79" si="70">IF(D$12=0,0,D77/D$12)</f>
        <v>0</v>
      </c>
      <c r="G77" s="1"/>
      <c r="H77" s="1">
        <f>SUM(OSRRefH22_12x_0)</f>
        <v>0</v>
      </c>
      <c r="I77" s="1"/>
      <c r="J77" s="5">
        <f t="shared" ref="J77:J79" si="71">IF(H$12=0,0,H77/H$12)</f>
        <v>0</v>
      </c>
      <c r="K77" s="1"/>
      <c r="L77" s="1">
        <f t="shared" ref="L77:L79" si="72">+D77-H77</f>
        <v>0</v>
      </c>
      <c r="M77" s="1"/>
      <c r="N77" s="5">
        <f t="shared" ref="N77:N79" si="73">IF(H77=0,0,L77/H77)</f>
        <v>0</v>
      </c>
      <c r="O77" s="13"/>
      <c r="P77" s="1">
        <f>SUM(OSRRefP22_12x_0)</f>
        <v>250.87</v>
      </c>
      <c r="Q77" s="1"/>
      <c r="R77" s="5">
        <f t="shared" ref="R77:R79" si="74">IF(P$12=0,0,P77/P$12)</f>
        <v>0</v>
      </c>
      <c r="S77" s="1"/>
      <c r="T77" s="1">
        <f>SUM(OSRRefT22_12x_0)</f>
        <v>0</v>
      </c>
      <c r="U77" s="1"/>
      <c r="V77" s="5">
        <f t="shared" ref="V77:V79" si="75">IF(T$12=0,0,T77/T$12)</f>
        <v>0</v>
      </c>
      <c r="W77" s="1"/>
      <c r="X77" s="1">
        <f t="shared" ref="X77:X79" si="76">+P77-T77</f>
        <v>250.87</v>
      </c>
      <c r="Y77" s="1"/>
      <c r="Z77" s="5">
        <f t="shared" ref="Z77:Z79" si="77">IF(T77=0,0,X77/T77)</f>
        <v>0</v>
      </c>
    </row>
    <row r="78" spans="1:26" s="24" customFormat="1" hidden="1" outlineLevel="2" x14ac:dyDescent="0.25">
      <c r="A78" s="26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70"/>
        <v>0</v>
      </c>
      <c r="G78" s="2"/>
      <c r="H78" s="6">
        <v>0</v>
      </c>
      <c r="I78" s="2"/>
      <c r="J78" s="7">
        <f t="shared" si="71"/>
        <v>0</v>
      </c>
      <c r="K78" s="2"/>
      <c r="L78" s="6">
        <f t="shared" si="72"/>
        <v>0</v>
      </c>
      <c r="M78" s="2"/>
      <c r="N78" s="7">
        <f t="shared" si="73"/>
        <v>0</v>
      </c>
      <c r="O78" s="11"/>
      <c r="P78" s="6"/>
      <c r="Q78" s="2"/>
      <c r="R78" s="7">
        <f t="shared" si="74"/>
        <v>0</v>
      </c>
      <c r="S78" s="2"/>
      <c r="T78" s="6">
        <v>0</v>
      </c>
      <c r="U78" s="2"/>
      <c r="V78" s="7">
        <f t="shared" si="75"/>
        <v>0</v>
      </c>
      <c r="W78" s="2"/>
      <c r="X78" s="6">
        <f t="shared" si="76"/>
        <v>0</v>
      </c>
      <c r="Y78" s="2"/>
      <c r="Z78" s="7">
        <f t="shared" si="77"/>
        <v>0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/>
      <c r="E79" s="2"/>
      <c r="F79" s="7">
        <f t="shared" si="70"/>
        <v>0</v>
      </c>
      <c r="G79" s="2"/>
      <c r="H79" s="6"/>
      <c r="I79" s="2"/>
      <c r="J79" s="7">
        <f t="shared" si="71"/>
        <v>0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>
        <v>250.87</v>
      </c>
      <c r="Q79" s="2"/>
      <c r="R79" s="7">
        <f t="shared" si="74"/>
        <v>0</v>
      </c>
      <c r="S79" s="2"/>
      <c r="T79" s="6"/>
      <c r="U79" s="2"/>
      <c r="V79" s="7">
        <f t="shared" si="75"/>
        <v>0</v>
      </c>
      <c r="W79" s="2"/>
      <c r="X79" s="6">
        <f t="shared" si="76"/>
        <v>250.87</v>
      </c>
      <c r="Y79" s="2"/>
      <c r="Z79" s="7">
        <f t="shared" si="77"/>
        <v>0</v>
      </c>
    </row>
    <row r="80" spans="1:26" s="27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78">IF(D$12=0,0,D80/D$12)</f>
        <v>0</v>
      </c>
      <c r="G80" s="1"/>
      <c r="H80" s="1">
        <f>SUM(OSRRefH22_13x_0)</f>
        <v>0</v>
      </c>
      <c r="I80" s="1"/>
      <c r="J80" s="5">
        <f t="shared" ref="J80:J81" si="79">IF(H$12=0,0,H80/H$12)</f>
        <v>0</v>
      </c>
      <c r="K80" s="1"/>
      <c r="L80" s="1">
        <f t="shared" ref="L80:L81" si="80">+D80-H80</f>
        <v>0</v>
      </c>
      <c r="M80" s="1"/>
      <c r="N80" s="5">
        <f t="shared" ref="N80:N81" si="81">IF(H80=0,0,L80/H80)</f>
        <v>0</v>
      </c>
      <c r="O80" s="13"/>
      <c r="P80" s="1">
        <f>SUM(OSRRefP22_13x_0)</f>
        <v>0</v>
      </c>
      <c r="Q80" s="1"/>
      <c r="R80" s="5">
        <f t="shared" ref="R80:R81" si="82">IF(P$12=0,0,P80/P$12)</f>
        <v>0</v>
      </c>
      <c r="S80" s="1"/>
      <c r="T80" s="1">
        <f>SUM(OSRRefT22_13x_0)</f>
        <v>0</v>
      </c>
      <c r="U80" s="1"/>
      <c r="V80" s="5">
        <f t="shared" ref="V80:V81" si="83">IF(T$12=0,0,T80/T$12)</f>
        <v>0</v>
      </c>
      <c r="W80" s="1"/>
      <c r="X80" s="1">
        <f t="shared" ref="X80:X81" si="84">+P80-T80</f>
        <v>0</v>
      </c>
      <c r="Y80" s="1"/>
      <c r="Z80" s="5">
        <f t="shared" ref="Z80:Z81" si="85">IF(T80=0,0,X80/T80)</f>
        <v>0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78"/>
        <v>0</v>
      </c>
      <c r="G81" s="2"/>
      <c r="H81" s="6">
        <v>0</v>
      </c>
      <c r="I81" s="2"/>
      <c r="J81" s="7">
        <f t="shared" si="79"/>
        <v>0</v>
      </c>
      <c r="K81" s="2"/>
      <c r="L81" s="6">
        <f t="shared" si="80"/>
        <v>0</v>
      </c>
      <c r="M81" s="2"/>
      <c r="N81" s="7">
        <f t="shared" si="81"/>
        <v>0</v>
      </c>
      <c r="O81" s="11"/>
      <c r="P81" s="6"/>
      <c r="Q81" s="2"/>
      <c r="R81" s="7">
        <f t="shared" si="82"/>
        <v>0</v>
      </c>
      <c r="S81" s="2"/>
      <c r="T81" s="6">
        <v>0</v>
      </c>
      <c r="U81" s="2"/>
      <c r="V81" s="7">
        <f t="shared" si="83"/>
        <v>0</v>
      </c>
      <c r="W81" s="2"/>
      <c r="X81" s="6">
        <f t="shared" si="84"/>
        <v>0</v>
      </c>
      <c r="Y81" s="2"/>
      <c r="Z81" s="7">
        <f t="shared" si="85"/>
        <v>0</v>
      </c>
    </row>
    <row r="82" spans="1:26" s="61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293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/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/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0">
        <f>+D20-D22+D83</f>
        <v>-9992.8899999999976</v>
      </c>
      <c r="E86" s="14"/>
      <c r="F86" s="22">
        <f>IF(D$12=0,0,D86/D$12)</f>
        <v>0</v>
      </c>
      <c r="G86" s="14"/>
      <c r="H86" s="20">
        <f>+H20-H22+H83</f>
        <v>-6745</v>
      </c>
      <c r="I86" s="14"/>
      <c r="J86" s="22">
        <f>IF(H$12=0,0,H86/H$12)</f>
        <v>0</v>
      </c>
      <c r="K86" s="16"/>
      <c r="L86" s="20">
        <f>+D86-H86</f>
        <v>-3247.8899999999976</v>
      </c>
      <c r="M86" s="16"/>
      <c r="N86" s="22">
        <f>IF(H86=0,0,L86/H86)</f>
        <v>0.48152557449962902</v>
      </c>
      <c r="O86" s="29"/>
      <c r="P86" s="20">
        <f>+P20-P22+P83</f>
        <v>-97651.150000000009</v>
      </c>
      <c r="Q86" s="14"/>
      <c r="R86" s="22">
        <f>IF(P$12=0,0,P86/P$12)</f>
        <v>0</v>
      </c>
      <c r="S86" s="14"/>
      <c r="T86" s="20">
        <f>+T20-T22+T83</f>
        <v>-84039</v>
      </c>
      <c r="U86" s="14"/>
      <c r="V86" s="22">
        <f>IF(T$12=0,0,T86/T$12)</f>
        <v>0</v>
      </c>
      <c r="W86" s="16"/>
      <c r="X86" s="20">
        <f>+P86-T86</f>
        <v>-13612.150000000009</v>
      </c>
      <c r="Y86" s="16"/>
      <c r="Z86" s="22">
        <f>IF(T86=0,0,X86/T86)</f>
        <v>0.16197420245362282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4">
        <f>+D86-D88</f>
        <v>-9992.8899999999976</v>
      </c>
      <c r="E90" s="14"/>
      <c r="F90" s="35">
        <f>IF(D$12=0,0,D90/D$12)</f>
        <v>0</v>
      </c>
      <c r="G90" s="14"/>
      <c r="H90" s="34">
        <f>+H86-H88</f>
        <v>-6745</v>
      </c>
      <c r="I90" s="14"/>
      <c r="J90" s="35">
        <f>IF(H$12=0,0,H90/H$12)</f>
        <v>0</v>
      </c>
      <c r="K90" s="16"/>
      <c r="L90" s="34">
        <f>D90-H90</f>
        <v>-3247.8899999999976</v>
      </c>
      <c r="M90" s="16"/>
      <c r="N90" s="35">
        <f>IF(H90=0,0,L90/H90)</f>
        <v>0.48152557449962902</v>
      </c>
      <c r="O90" s="29"/>
      <c r="P90" s="34">
        <f>+P86-P88</f>
        <v>-97651.150000000009</v>
      </c>
      <c r="Q90" s="14"/>
      <c r="R90" s="35">
        <f>IF(P$12=0,0,P90/P$12)</f>
        <v>0</v>
      </c>
      <c r="S90" s="14"/>
      <c r="T90" s="34">
        <f>+T86-T88</f>
        <v>-84039</v>
      </c>
      <c r="U90" s="14"/>
      <c r="V90" s="35">
        <f>IF(T$12=0,0,T90/T$12)</f>
        <v>0</v>
      </c>
      <c r="W90" s="16"/>
      <c r="X90" s="34">
        <f>P90-T90</f>
        <v>-13612.150000000009</v>
      </c>
      <c r="Y90" s="16"/>
      <c r="Z90" s="35">
        <f>IF(T90=0,0,X90/T90)</f>
        <v>0.16197420245362282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3">
        <f>SUM(D90:D92)</f>
        <v>-9992.8899999999976</v>
      </c>
      <c r="E93" s="14"/>
      <c r="F93" s="31">
        <f>IF(D$12=0,0,D93/D$12)</f>
        <v>0</v>
      </c>
      <c r="G93" s="14"/>
      <c r="H93" s="33">
        <f>SUM(H90:H92)</f>
        <v>-6745</v>
      </c>
      <c r="I93" s="14"/>
      <c r="J93" s="31">
        <f>IF(H$12=0,0,H93/H$12)</f>
        <v>0</v>
      </c>
      <c r="K93" s="16"/>
      <c r="L93" s="33">
        <f>+D93-H93</f>
        <v>-3247.8899999999976</v>
      </c>
      <c r="M93" s="16"/>
      <c r="N93" s="31">
        <f>IF(H93=0,0,L93/H93)</f>
        <v>0.48152557449962902</v>
      </c>
      <c r="O93" s="29"/>
      <c r="P93" s="33">
        <f>SUM(P90:P92)</f>
        <v>-97651.150000000009</v>
      </c>
      <c r="Q93" s="14"/>
      <c r="R93" s="31">
        <f>IF(P$12=0,0,P93/P$12)</f>
        <v>0</v>
      </c>
      <c r="S93" s="14"/>
      <c r="T93" s="33">
        <f>SUM(T90:T92)</f>
        <v>-84039</v>
      </c>
      <c r="U93" s="14"/>
      <c r="V93" s="31">
        <f>IF(T$12=0,0,T93/T$12)</f>
        <v>0</v>
      </c>
      <c r="W93" s="16"/>
      <c r="X93" s="33">
        <f>+P93-T93</f>
        <v>-13612.150000000009</v>
      </c>
      <c r="Y93" s="16"/>
      <c r="Z93" s="31">
        <f>IF(T93=0,0,X93/T93)</f>
        <v>0.16197420245362282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6">
        <v>44454.686112384261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5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49632.639999999999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49632.639999999999</v>
      </c>
      <c r="M12" s="4"/>
      <c r="N12" s="12">
        <f t="shared" ref="N12:N14" si="1">IF(H12=0,0,L12/H12)</f>
        <v>0</v>
      </c>
      <c r="O12" s="10"/>
      <c r="P12" s="4">
        <f>SUM(OSRRefP13x_0)</f>
        <v>489866.6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489866.6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--61213.59</f>
        <v>61213.59</v>
      </c>
      <c r="E13" s="2"/>
      <c r="F13" s="19"/>
      <c r="G13" s="2"/>
      <c r="H13" s="2"/>
      <c r="I13" s="2"/>
      <c r="J13" s="19"/>
      <c r="K13" s="2"/>
      <c r="L13" s="2">
        <f t="shared" si="0"/>
        <v>61213.59</v>
      </c>
      <c r="M13" s="2"/>
      <c r="N13" s="19">
        <f t="shared" si="1"/>
        <v>0</v>
      </c>
      <c r="O13" s="11"/>
      <c r="P13" s="2">
        <f>--489866.6</f>
        <v>489866.6</v>
      </c>
      <c r="Q13" s="2"/>
      <c r="R13" s="19"/>
      <c r="S13" s="2"/>
      <c r="T13" s="2"/>
      <c r="U13" s="2"/>
      <c r="V13" s="19"/>
      <c r="W13" s="2"/>
      <c r="X13" s="2">
        <f t="shared" si="2"/>
        <v>489866.6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-11580.95</f>
        <v>-11580.95</v>
      </c>
      <c r="E14" s="2"/>
      <c r="F14" s="19"/>
      <c r="G14" s="2"/>
      <c r="H14" s="2"/>
      <c r="I14" s="2"/>
      <c r="J14" s="19"/>
      <c r="K14" s="2"/>
      <c r="L14" s="2">
        <f t="shared" si="0"/>
        <v>-11580.95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/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257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D12-D16</f>
        <v>49632.639999999999</v>
      </c>
      <c r="E18" s="14"/>
      <c r="F18" s="22">
        <f>IF(D$12=0,0,D18/D$12)</f>
        <v>1</v>
      </c>
      <c r="G18" s="14"/>
      <c r="H18" s="20">
        <f>H12-H16</f>
        <v>0</v>
      </c>
      <c r="I18" s="14"/>
      <c r="J18" s="22">
        <f>IF(H$12=0,0,H18/H$12)</f>
        <v>0</v>
      </c>
      <c r="K18" s="16"/>
      <c r="L18" s="20">
        <f>+D18-H18</f>
        <v>49632.639999999999</v>
      </c>
      <c r="M18" s="16"/>
      <c r="N18" s="22">
        <f>IF(H18=0,0,L18/H18)</f>
        <v>0</v>
      </c>
      <c r="O18" s="29"/>
      <c r="P18" s="20">
        <f>P12-P16</f>
        <v>489866.6</v>
      </c>
      <c r="Q18" s="14"/>
      <c r="R18" s="22">
        <f>IF(P$12=0,0,P18/P$12)</f>
        <v>1</v>
      </c>
      <c r="S18" s="14"/>
      <c r="T18" s="20">
        <f>T12-T16</f>
        <v>0</v>
      </c>
      <c r="U18" s="14"/>
      <c r="V18" s="22">
        <f>IF(T$12=0,0,T18/T$12)</f>
        <v>0</v>
      </c>
      <c r="W18" s="16"/>
      <c r="X18" s="20">
        <f>+P18-T18</f>
        <v>489866.6</v>
      </c>
      <c r="Y18" s="16"/>
      <c r="Z18" s="22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>
        <f>SUM(OSRRefD22x_0)</f>
        <v>0</v>
      </c>
      <c r="E20" s="21"/>
      <c r="F20" s="30">
        <f t="shared" ref="F20:F24" si="4">IF(D$12=0,0,D20/D$12)</f>
        <v>0</v>
      </c>
      <c r="G20" s="21"/>
      <c r="H20" s="21">
        <f>SUM(OSRRefH22x_0)</f>
        <v>0</v>
      </c>
      <c r="I20" s="21"/>
      <c r="J20" s="30">
        <f t="shared" ref="J20:J24" si="5">IF(H$12=0,0,H20/H$12)</f>
        <v>0</v>
      </c>
      <c r="K20" s="4"/>
      <c r="L20" s="21">
        <f t="shared" ref="L20:L24" si="6">+D20-H20</f>
        <v>0</v>
      </c>
      <c r="M20" s="4"/>
      <c r="N20" s="30">
        <f t="shared" ref="N20:N24" si="7">IF(H20=0,0,L20/H20)</f>
        <v>0</v>
      </c>
      <c r="O20" s="10"/>
      <c r="P20" s="21">
        <f>SUM(OSRRefP22x_0)</f>
        <v>349.08000000000004</v>
      </c>
      <c r="Q20" s="21"/>
      <c r="R20" s="30">
        <f t="shared" ref="R20:R24" si="8">IF(P$12=0,0,P20/P$12)</f>
        <v>7.1260216556915713E-4</v>
      </c>
      <c r="S20" s="21"/>
      <c r="T20" s="21">
        <f>SUM(OSRRefT22x_0)</f>
        <v>0</v>
      </c>
      <c r="U20" s="21"/>
      <c r="V20" s="30">
        <f t="shared" ref="V20:V24" si="9">IF(T$12=0,0,T20/T$12)</f>
        <v>0</v>
      </c>
      <c r="W20" s="4"/>
      <c r="X20" s="21">
        <f t="shared" ref="X20:X24" si="10">+P20-T20</f>
        <v>349.08000000000004</v>
      </c>
      <c r="Y20" s="4"/>
      <c r="Z20" s="30">
        <f t="shared" ref="Z20:Z24" si="11">IF(T20=0,0,X20/T20)</f>
        <v>0</v>
      </c>
    </row>
    <row r="21" spans="1:26" s="27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4"/>
        <v>0</v>
      </c>
      <c r="G21" s="1"/>
      <c r="H21" s="1">
        <f>SUM(OSRRefH22_0x_0)</f>
        <v>0</v>
      </c>
      <c r="I21" s="1"/>
      <c r="J21" s="5">
        <f t="shared" si="5"/>
        <v>0</v>
      </c>
      <c r="K21" s="1"/>
      <c r="L21" s="1">
        <f t="shared" si="6"/>
        <v>0</v>
      </c>
      <c r="M21" s="1"/>
      <c r="N21" s="5">
        <f t="shared" si="7"/>
        <v>0</v>
      </c>
      <c r="O21" s="13"/>
      <c r="P21" s="1">
        <f>SUM(OSRRefP22_0x_0)</f>
        <v>7.86</v>
      </c>
      <c r="Q21" s="1"/>
      <c r="R21" s="5">
        <f t="shared" si="8"/>
        <v>1.6045184546160119E-5</v>
      </c>
      <c r="S21" s="1"/>
      <c r="T21" s="1">
        <f>SUM(OSRRefT22_0x_0)</f>
        <v>0</v>
      </c>
      <c r="U21" s="1"/>
      <c r="V21" s="5">
        <f t="shared" si="9"/>
        <v>0</v>
      </c>
      <c r="W21" s="1"/>
      <c r="X21" s="1">
        <f t="shared" si="10"/>
        <v>7.86</v>
      </c>
      <c r="Y21" s="1"/>
      <c r="Z21" s="5">
        <f t="shared" si="11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4"/>
        <v>0</v>
      </c>
      <c r="G22" s="2"/>
      <c r="H22" s="6"/>
      <c r="I22" s="2"/>
      <c r="J22" s="7">
        <f t="shared" si="5"/>
        <v>0</v>
      </c>
      <c r="K22" s="2"/>
      <c r="L22" s="6">
        <f t="shared" si="6"/>
        <v>0</v>
      </c>
      <c r="M22" s="2"/>
      <c r="N22" s="7">
        <f t="shared" si="7"/>
        <v>0</v>
      </c>
      <c r="O22" s="11"/>
      <c r="P22" s="6">
        <v>7.86</v>
      </c>
      <c r="Q22" s="2"/>
      <c r="R22" s="7">
        <f t="shared" si="8"/>
        <v>1.6045184546160119E-5</v>
      </c>
      <c r="S22" s="2"/>
      <c r="T22" s="6"/>
      <c r="U22" s="2"/>
      <c r="V22" s="7">
        <f t="shared" si="9"/>
        <v>0</v>
      </c>
      <c r="W22" s="2"/>
      <c r="X22" s="6">
        <f t="shared" si="10"/>
        <v>7.86</v>
      </c>
      <c r="Y22" s="2"/>
      <c r="Z22" s="7">
        <f t="shared" si="11"/>
        <v>0</v>
      </c>
    </row>
    <row r="23" spans="1:26" s="27" customFormat="1" outlineLevel="1" collapsed="1" x14ac:dyDescent="0.25">
      <c r="A23" s="25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SUM(OSRRefD22_1x_0)</f>
        <v>0</v>
      </c>
      <c r="E23" s="1"/>
      <c r="F23" s="5">
        <f t="shared" si="4"/>
        <v>0</v>
      </c>
      <c r="G23" s="1"/>
      <c r="H23" s="1">
        <f>SUM(OSRRefH22_1x_0)</f>
        <v>0</v>
      </c>
      <c r="I23" s="1"/>
      <c r="J23" s="5">
        <f t="shared" si="5"/>
        <v>0</v>
      </c>
      <c r="K23" s="1"/>
      <c r="L23" s="1">
        <f t="shared" si="6"/>
        <v>0</v>
      </c>
      <c r="M23" s="1"/>
      <c r="N23" s="5">
        <f t="shared" si="7"/>
        <v>0</v>
      </c>
      <c r="O23" s="13"/>
      <c r="P23" s="1">
        <f>SUM(OSRRefP22_1x_0)</f>
        <v>341.22</v>
      </c>
      <c r="Q23" s="1"/>
      <c r="R23" s="5">
        <f t="shared" si="8"/>
        <v>6.9655698102299697E-4</v>
      </c>
      <c r="S23" s="1"/>
      <c r="T23" s="1">
        <f>SUM(OSRRefT22_1x_0)</f>
        <v>0</v>
      </c>
      <c r="U23" s="1"/>
      <c r="V23" s="5">
        <f t="shared" si="9"/>
        <v>0</v>
      </c>
      <c r="W23" s="1"/>
      <c r="X23" s="1">
        <f t="shared" si="10"/>
        <v>341.22</v>
      </c>
      <c r="Y23" s="1"/>
      <c r="Z23" s="5">
        <f t="shared" si="11"/>
        <v>0</v>
      </c>
    </row>
    <row r="24" spans="1:26" s="24" customFormat="1" hidden="1" outlineLevel="2" x14ac:dyDescent="0.25">
      <c r="A24" s="26"/>
      <c r="B24" s="11" t="str">
        <f>CONCATENATE("          ", "6375", " - ", "OUTSIDE REPAIRS &amp; MAINTENANCE")</f>
        <v xml:space="preserve">          6375 - OUTSIDE REPAIRS &amp; MAINTENANCE</v>
      </c>
      <c r="C24" s="11"/>
      <c r="D24" s="6"/>
      <c r="E24" s="2"/>
      <c r="F24" s="7">
        <f t="shared" si="4"/>
        <v>0</v>
      </c>
      <c r="G24" s="2"/>
      <c r="H24" s="6"/>
      <c r="I24" s="2"/>
      <c r="J24" s="7">
        <f t="shared" si="5"/>
        <v>0</v>
      </c>
      <c r="K24" s="2"/>
      <c r="L24" s="6">
        <f t="shared" si="6"/>
        <v>0</v>
      </c>
      <c r="M24" s="2"/>
      <c r="N24" s="7">
        <f t="shared" si="7"/>
        <v>0</v>
      </c>
      <c r="O24" s="11"/>
      <c r="P24" s="6">
        <v>341.22</v>
      </c>
      <c r="Q24" s="2"/>
      <c r="R24" s="7">
        <f t="shared" si="8"/>
        <v>6.9655698102299697E-4</v>
      </c>
      <c r="S24" s="2"/>
      <c r="T24" s="6"/>
      <c r="U24" s="2"/>
      <c r="V24" s="7">
        <f t="shared" si="9"/>
        <v>0</v>
      </c>
      <c r="W24" s="2"/>
      <c r="X24" s="6">
        <f t="shared" si="10"/>
        <v>341.22</v>
      </c>
      <c r="Y24" s="2"/>
      <c r="Z24" s="7">
        <f t="shared" si="11"/>
        <v>0</v>
      </c>
    </row>
    <row r="25" spans="1:26" s="61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277</v>
      </c>
      <c r="C28" s="28"/>
      <c r="D28" s="20">
        <f>+D18-D20+D26</f>
        <v>49632.639999999999</v>
      </c>
      <c r="E28" s="14"/>
      <c r="F28" s="22">
        <f>IF(D$12=0,0,D28/D$12)</f>
        <v>1</v>
      </c>
      <c r="G28" s="14"/>
      <c r="H28" s="20">
        <f>+H18-H20+H26</f>
        <v>0</v>
      </c>
      <c r="I28" s="14"/>
      <c r="J28" s="22">
        <f>IF(H$12=0,0,H28/H$12)</f>
        <v>0</v>
      </c>
      <c r="K28" s="16"/>
      <c r="L28" s="20">
        <f>+D28-H28</f>
        <v>49632.639999999999</v>
      </c>
      <c r="M28" s="16"/>
      <c r="N28" s="22">
        <f>IF(H28=0,0,L28/H28)</f>
        <v>0</v>
      </c>
      <c r="O28" s="29"/>
      <c r="P28" s="20">
        <f>+P18-P20+P26</f>
        <v>489517.51999999996</v>
      </c>
      <c r="Q28" s="14"/>
      <c r="R28" s="22">
        <f>IF(P$12=0,0,P28/P$12)</f>
        <v>0.99928739783443077</v>
      </c>
      <c r="S28" s="14"/>
      <c r="T28" s="20">
        <f>+T18-T20+T26</f>
        <v>0</v>
      </c>
      <c r="U28" s="14"/>
      <c r="V28" s="22">
        <f>IF(T$12=0,0,T28/T$12)</f>
        <v>0</v>
      </c>
      <c r="W28" s="16"/>
      <c r="X28" s="20">
        <f>+P28-T28</f>
        <v>489517.51999999996</v>
      </c>
      <c r="Y28" s="16"/>
      <c r="Z28" s="22">
        <f>IF(T28=0,0,X28/T28)</f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>
        <v>41518.629999999997</v>
      </c>
      <c r="E30" s="4"/>
      <c r="F30" s="12">
        <f>IF(D$12=0,0,D30/D$12)</f>
        <v>0.8365186699720184</v>
      </c>
      <c r="G30" s="4"/>
      <c r="H30" s="4"/>
      <c r="I30" s="4"/>
      <c r="J30" s="12">
        <f>IF(H$12=0,0,H30/H$12)</f>
        <v>0</v>
      </c>
      <c r="K30" s="4"/>
      <c r="L30" s="4">
        <f>+D30-H30</f>
        <v>41518.629999999997</v>
      </c>
      <c r="M30" s="4"/>
      <c r="N30" s="12">
        <f>IF(H30=0,0,L30/H30)</f>
        <v>0</v>
      </c>
      <c r="O30" s="10"/>
      <c r="P30" s="4">
        <v>135592.45000000001</v>
      </c>
      <c r="Q30" s="4"/>
      <c r="R30" s="12">
        <f>IF(P$12=0,0,P30/P$12)</f>
        <v>0.27679464164325557</v>
      </c>
      <c r="S30" s="4"/>
      <c r="T30" s="4"/>
      <c r="U30" s="4"/>
      <c r="V30" s="12">
        <f>IF(T$12=0,0,T30/T$12)</f>
        <v>0</v>
      </c>
      <c r="W30" s="4"/>
      <c r="X30" s="4">
        <f>+P30-T30</f>
        <v>135592.45000000001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126</v>
      </c>
      <c r="C32" s="28"/>
      <c r="D32" s="34">
        <f>+D28-D30</f>
        <v>8114.010000000002</v>
      </c>
      <c r="E32" s="14"/>
      <c r="F32" s="35">
        <f>IF(D$12=0,0,D32/D$12)</f>
        <v>0.16348133002798163</v>
      </c>
      <c r="G32" s="14"/>
      <c r="H32" s="34">
        <f>+H28-H30</f>
        <v>0</v>
      </c>
      <c r="I32" s="14"/>
      <c r="J32" s="35">
        <f>IF(H$12=0,0,H32/H$12)</f>
        <v>0</v>
      </c>
      <c r="K32" s="16"/>
      <c r="L32" s="34">
        <f>D32-H32</f>
        <v>8114.010000000002</v>
      </c>
      <c r="M32" s="16"/>
      <c r="N32" s="35">
        <f>IF(H32=0,0,L32/H32)</f>
        <v>0</v>
      </c>
      <c r="O32" s="29"/>
      <c r="P32" s="34">
        <f>+P28-P30</f>
        <v>353925.06999999995</v>
      </c>
      <c r="Q32" s="14"/>
      <c r="R32" s="35">
        <f>IF(P$12=0,0,P32/P$12)</f>
        <v>0.72249275619117526</v>
      </c>
      <c r="S32" s="14"/>
      <c r="T32" s="34">
        <f>+T28-T30</f>
        <v>0</v>
      </c>
      <c r="U32" s="14"/>
      <c r="V32" s="35">
        <f>IF(T$12=0,0,T32/T$12)</f>
        <v>0</v>
      </c>
      <c r="W32" s="16"/>
      <c r="X32" s="34">
        <f>P32-T32</f>
        <v>353925.06999999995</v>
      </c>
      <c r="Y32" s="16"/>
      <c r="Z32" s="35">
        <f>IF(T32=0,0,X32/T32)</f>
        <v>0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294</v>
      </c>
      <c r="C35" s="28"/>
      <c r="D35" s="33">
        <f>SUM(D32:D34)</f>
        <v>8114.010000000002</v>
      </c>
      <c r="E35" s="14"/>
      <c r="F35" s="31">
        <f>IF(D$12=0,0,D35/D$12)</f>
        <v>0.16348133002798163</v>
      </c>
      <c r="G35" s="14"/>
      <c r="H35" s="33">
        <f>SUM(H32:H34)</f>
        <v>0</v>
      </c>
      <c r="I35" s="14"/>
      <c r="J35" s="31">
        <f>IF(H$12=0,0,H35/H$12)</f>
        <v>0</v>
      </c>
      <c r="K35" s="16"/>
      <c r="L35" s="33">
        <f>+D35-H35</f>
        <v>8114.010000000002</v>
      </c>
      <c r="M35" s="16"/>
      <c r="N35" s="31">
        <f>IF(H35=0,0,L35/H35)</f>
        <v>0</v>
      </c>
      <c r="O35" s="29"/>
      <c r="P35" s="33">
        <f>SUM(P32:P34)</f>
        <v>353925.06999999995</v>
      </c>
      <c r="Q35" s="14"/>
      <c r="R35" s="31">
        <f>IF(P$12=0,0,P35/P$12)</f>
        <v>0.72249275619117526</v>
      </c>
      <c r="S35" s="14"/>
      <c r="T35" s="33">
        <f>SUM(T32:T34)</f>
        <v>0</v>
      </c>
      <c r="U35" s="14"/>
      <c r="V35" s="31">
        <f>IF(T$12=0,0,T35/T$12)</f>
        <v>0</v>
      </c>
      <c r="W35" s="16"/>
      <c r="X35" s="33">
        <f>+P35-T35</f>
        <v>353925.06999999995</v>
      </c>
      <c r="Y35" s="16"/>
      <c r="Z35" s="31">
        <f>IF(T35=0,0,X35/T35)</f>
        <v>0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6">
        <v>44454.686112384261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s">
        <v>56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3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","423", " - ", "Contract/Vending Revenue")</f>
        <v>Department 423 - Contract/Vending Revenue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186</v>
      </c>
      <c r="E18" s="21"/>
      <c r="F18" s="30">
        <f t="shared" ref="F18:F27" si="0">IF(D$12=0,0,D18/D$12)</f>
        <v>0</v>
      </c>
      <c r="G18" s="21"/>
      <c r="H18" s="21">
        <f>SUM(OSRRefH22x_0)</f>
        <v>16543.621307692309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-16357.621307692309</v>
      </c>
      <c r="M18" s="4"/>
      <c r="N18" s="30">
        <f t="shared" ref="N18:N27" si="3">IF(H18=0,0,L18/H18)</f>
        <v>-0.98875699603245182</v>
      </c>
      <c r="O18" s="10"/>
      <c r="P18" s="21">
        <f>SUM(OSRRefP22x_0)</f>
        <v>3402.9900000000002</v>
      </c>
      <c r="Q18" s="21"/>
      <c r="R18" s="30">
        <f t="shared" ref="R18:R27" si="4">IF(P$12=0,0,P18/P$12)</f>
        <v>0</v>
      </c>
      <c r="S18" s="21"/>
      <c r="T18" s="21">
        <f>SUM(OSRRefT22x_0)</f>
        <v>191257.07699999999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-187854.087</v>
      </c>
      <c r="Y18" s="4"/>
      <c r="Z18" s="30">
        <f t="shared" ref="Z18:Z27" si="7">IF(T18=0,0,X18/T18)</f>
        <v>-0.98220724663694414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3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55247.076999999997</v>
      </c>
      <c r="U19" s="1"/>
      <c r="V19" s="5">
        <f t="shared" si="5"/>
        <v>0</v>
      </c>
      <c r="W19" s="1"/>
      <c r="X19" s="1">
        <f t="shared" si="6"/>
        <v>-52768.346999999994</v>
      </c>
      <c r="Y19" s="1"/>
      <c r="Z19" s="5">
        <f t="shared" si="7"/>
        <v>-0.95513373494854759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847.12823076923098</v>
      </c>
      <c r="I20" s="2"/>
      <c r="J20" s="7">
        <f t="shared" si="1"/>
        <v>0</v>
      </c>
      <c r="K20" s="2"/>
      <c r="L20" s="6">
        <f t="shared" si="2"/>
        <v>-847.12823076923098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11012.666999999999</v>
      </c>
      <c r="U20" s="2"/>
      <c r="V20" s="7">
        <f t="shared" si="5"/>
        <v>0</v>
      </c>
      <c r="W20" s="2"/>
      <c r="X20" s="6">
        <f t="shared" si="6"/>
        <v>-11012.666999999999</v>
      </c>
      <c r="Y20" s="2"/>
      <c r="Z20" s="7">
        <f t="shared" si="7"/>
        <v>-1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36.528461538461499</v>
      </c>
      <c r="I21" s="2"/>
      <c r="J21" s="7">
        <f t="shared" si="1"/>
        <v>0</v>
      </c>
      <c r="K21" s="2"/>
      <c r="L21" s="6">
        <f t="shared" si="2"/>
        <v>-36.528461538461499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474.87</v>
      </c>
      <c r="U21" s="2"/>
      <c r="V21" s="7">
        <f t="shared" si="5"/>
        <v>0</v>
      </c>
      <c r="W21" s="2"/>
      <c r="X21" s="6">
        <f t="shared" si="6"/>
        <v>-474.87</v>
      </c>
      <c r="Y21" s="2"/>
      <c r="Z21" s="7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1385</v>
      </c>
      <c r="I22" s="2"/>
      <c r="J22" s="7">
        <f t="shared" si="1"/>
        <v>0</v>
      </c>
      <c r="K22" s="2"/>
      <c r="L22" s="6">
        <f t="shared" si="2"/>
        <v>-1385</v>
      </c>
      <c r="M22" s="2"/>
      <c r="N22" s="7">
        <f t="shared" si="3"/>
        <v>-1</v>
      </c>
      <c r="O22" s="11"/>
      <c r="P22" s="6">
        <v>1868.2</v>
      </c>
      <c r="Q22" s="2"/>
      <c r="R22" s="7">
        <f t="shared" si="4"/>
        <v>0</v>
      </c>
      <c r="S22" s="2"/>
      <c r="T22" s="6">
        <v>16620</v>
      </c>
      <c r="U22" s="2"/>
      <c r="V22" s="7">
        <f t="shared" si="5"/>
        <v>0</v>
      </c>
      <c r="W22" s="2"/>
      <c r="X22" s="6">
        <f t="shared" si="6"/>
        <v>-14751.8</v>
      </c>
      <c r="Y22" s="2"/>
      <c r="Z22" s="7">
        <f t="shared" si="7"/>
        <v>-0.88759326113116721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28.78</v>
      </c>
      <c r="I23" s="2"/>
      <c r="J23" s="7">
        <f t="shared" si="1"/>
        <v>0</v>
      </c>
      <c r="K23" s="2"/>
      <c r="L23" s="6">
        <f t="shared" si="2"/>
        <v>-28.78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374.14</v>
      </c>
      <c r="U23" s="2"/>
      <c r="V23" s="7">
        <f t="shared" si="5"/>
        <v>0</v>
      </c>
      <c r="W23" s="2"/>
      <c r="X23" s="6">
        <f t="shared" si="6"/>
        <v>-374.14</v>
      </c>
      <c r="Y23" s="2"/>
      <c r="Z23" s="7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951.95384615384603</v>
      </c>
      <c r="I24" s="2"/>
      <c r="J24" s="7">
        <f t="shared" si="1"/>
        <v>0</v>
      </c>
      <c r="K24" s="2"/>
      <c r="L24" s="6">
        <f t="shared" si="2"/>
        <v>-951.95384615384603</v>
      </c>
      <c r="M24" s="2"/>
      <c r="N24" s="7">
        <f t="shared" si="3"/>
        <v>-1</v>
      </c>
      <c r="O24" s="11"/>
      <c r="P24" s="6">
        <v>610.53</v>
      </c>
      <c r="Q24" s="2"/>
      <c r="R24" s="7">
        <f t="shared" si="4"/>
        <v>0</v>
      </c>
      <c r="S24" s="2"/>
      <c r="T24" s="6">
        <v>12375.4</v>
      </c>
      <c r="U24" s="2"/>
      <c r="V24" s="7">
        <f t="shared" si="5"/>
        <v>0</v>
      </c>
      <c r="W24" s="2"/>
      <c r="X24" s="6">
        <f t="shared" si="6"/>
        <v>-11764.869999999999</v>
      </c>
      <c r="Y24" s="2"/>
      <c r="Z24" s="7">
        <f t="shared" si="7"/>
        <v>-0.95066583706385244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1106.9230769230801</v>
      </c>
      <c r="I26" s="2"/>
      <c r="J26" s="7">
        <f t="shared" si="1"/>
        <v>0</v>
      </c>
      <c r="K26" s="2"/>
      <c r="L26" s="6">
        <f t="shared" si="2"/>
        <v>-1106.9230769230801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14390</v>
      </c>
      <c r="U26" s="2"/>
      <c r="V26" s="7">
        <f t="shared" si="5"/>
        <v>0</v>
      </c>
      <c r="W26" s="2"/>
      <c r="X26" s="6">
        <f t="shared" si="6"/>
        <v>-14390</v>
      </c>
      <c r="Y26" s="2"/>
      <c r="Z26" s="7">
        <f t="shared" si="7"/>
        <v>-1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3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129510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-129510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9962.3076923076896</v>
      </c>
      <c r="I29" s="2"/>
      <c r="J29" s="7">
        <f t="shared" si="9"/>
        <v>0</v>
      </c>
      <c r="K29" s="2"/>
      <c r="L29" s="6">
        <f t="shared" si="10"/>
        <v>-9962.3076923076896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129510</v>
      </c>
      <c r="U29" s="2"/>
      <c r="V29" s="7">
        <f t="shared" si="13"/>
        <v>0</v>
      </c>
      <c r="W29" s="2"/>
      <c r="X29" s="6">
        <f t="shared" si="14"/>
        <v>-129510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7" customFormat="1" outlineLevel="1" collapsed="1" x14ac:dyDescent="0.25">
      <c r="A39" s="25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SUM(OSRRefD22_2x_0)</f>
        <v>0</v>
      </c>
      <c r="E39" s="1"/>
      <c r="F39" s="5">
        <f t="shared" ref="F39:F45" si="16">IF(D$12=0,0,D39/D$12)</f>
        <v>0</v>
      </c>
      <c r="G39" s="1"/>
      <c r="H39" s="1">
        <f>SUM(OSRRefH22_2x_0)</f>
        <v>0</v>
      </c>
      <c r="I39" s="1"/>
      <c r="J39" s="5">
        <f t="shared" ref="J39:J45" si="17">IF(H$12=0,0,H39/H$12)</f>
        <v>0</v>
      </c>
      <c r="K39" s="1"/>
      <c r="L39" s="1">
        <f t="shared" ref="L39:L45" si="18">+D39-H39</f>
        <v>0</v>
      </c>
      <c r="M39" s="1"/>
      <c r="N39" s="5">
        <f t="shared" ref="N39:N45" si="19">IF(H39=0,0,L39/H39)</f>
        <v>0</v>
      </c>
      <c r="O39" s="13"/>
      <c r="P39" s="1">
        <f>SUM(OSRRefP22_2x_0)</f>
        <v>0</v>
      </c>
      <c r="Q39" s="1"/>
      <c r="R39" s="5">
        <f t="shared" ref="R39:R45" si="20">IF(P$12=0,0,P39/P$12)</f>
        <v>0</v>
      </c>
      <c r="S39" s="1"/>
      <c r="T39" s="1">
        <f>SUM(OSRRefT22_2x_0)</f>
        <v>3000</v>
      </c>
      <c r="U39" s="1"/>
      <c r="V39" s="5">
        <f t="shared" ref="V39:V45" si="21">IF(T$12=0,0,T39/T$12)</f>
        <v>0</v>
      </c>
      <c r="W39" s="1"/>
      <c r="X39" s="1">
        <f t="shared" ref="X39:X45" si="22">+P39-T39</f>
        <v>-3000</v>
      </c>
      <c r="Y39" s="1"/>
      <c r="Z39" s="5">
        <f t="shared" ref="Z39:Z45" si="23">IF(T39=0,0,X39/T39)</f>
        <v>-1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3000</v>
      </c>
      <c r="U40" s="2"/>
      <c r="V40" s="7">
        <f t="shared" si="21"/>
        <v>0</v>
      </c>
      <c r="W40" s="2"/>
      <c r="X40" s="6">
        <f t="shared" si="22"/>
        <v>-3000</v>
      </c>
      <c r="Y40" s="2"/>
      <c r="Z40" s="7">
        <f t="shared" si="23"/>
        <v>-1</v>
      </c>
    </row>
    <row r="41" spans="1:26" s="27" customFormat="1" outlineLevel="1" collapsed="1" x14ac:dyDescent="0.25">
      <c r="A41" s="25"/>
      <c r="B41" s="13" t="str">
        <f>CONCATENATE("     ","R/H Commissions                                   ")</f>
        <v xml:space="preserve">     R/H Commissions                                   </v>
      </c>
      <c r="C41" s="13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2000</v>
      </c>
      <c r="I41" s="1"/>
      <c r="J41" s="5">
        <f t="shared" si="17"/>
        <v>0</v>
      </c>
      <c r="K41" s="1"/>
      <c r="L41" s="1">
        <f t="shared" si="18"/>
        <v>-2000</v>
      </c>
      <c r="M41" s="1"/>
      <c r="N41" s="5">
        <f t="shared" si="19"/>
        <v>-1</v>
      </c>
      <c r="O41" s="13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2000</v>
      </c>
      <c r="U41" s="1"/>
      <c r="V41" s="5">
        <f t="shared" si="21"/>
        <v>0</v>
      </c>
      <c r="W41" s="1"/>
      <c r="X41" s="1">
        <f t="shared" si="22"/>
        <v>-2000</v>
      </c>
      <c r="Y41" s="1"/>
      <c r="Z41" s="5">
        <f t="shared" si="23"/>
        <v>-1</v>
      </c>
    </row>
    <row r="42" spans="1:26" s="24" customFormat="1" hidden="1" outlineLevel="2" x14ac:dyDescent="0.25">
      <c r="A42" s="26"/>
      <c r="B42" s="11" t="str">
        <f>CONCATENATE("          ", "6387", " - ", "COMMISSION DUE HOUSING")</f>
        <v xml:space="preserve">          6387 - COMMISSION DUE HOUSING</v>
      </c>
      <c r="C42" s="11"/>
      <c r="D42" s="6"/>
      <c r="E42" s="2"/>
      <c r="F42" s="7">
        <f t="shared" si="16"/>
        <v>0</v>
      </c>
      <c r="G42" s="2"/>
      <c r="H42" s="6">
        <v>2000</v>
      </c>
      <c r="I42" s="2"/>
      <c r="J42" s="7">
        <f t="shared" si="17"/>
        <v>0</v>
      </c>
      <c r="K42" s="2"/>
      <c r="L42" s="6">
        <f t="shared" si="18"/>
        <v>-2000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2000</v>
      </c>
      <c r="U42" s="2"/>
      <c r="V42" s="7">
        <f t="shared" si="21"/>
        <v>0</v>
      </c>
      <c r="W42" s="2"/>
      <c r="X42" s="6">
        <f t="shared" si="22"/>
        <v>-2000</v>
      </c>
      <c r="Y42" s="2"/>
      <c r="Z42" s="7">
        <f t="shared" si="23"/>
        <v>-1</v>
      </c>
    </row>
    <row r="43" spans="1:26" s="27" customFormat="1" outlineLevel="1" collapsed="1" x14ac:dyDescent="0.25">
      <c r="A43" s="25"/>
      <c r="B43" s="13" t="str">
        <f>CONCATENATE("     ","Services                                          ")</f>
        <v xml:space="preserve">     Services                                          </v>
      </c>
      <c r="C43" s="13"/>
      <c r="D43" s="1">
        <f>SUM(OSRRefD22_4x_0)</f>
        <v>0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SUM(OSRRefP22_4x_0)</f>
        <v>0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0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"6282", " - ", "JANITORIAL/EXTERMINATOR EXPENS")</f>
        <v xml:space="preserve">          6282 - JANITORIAL/EXTERMINATOR EXPENS</v>
      </c>
      <c r="C44" s="11"/>
      <c r="D44" s="6"/>
      <c r="E44" s="2"/>
      <c r="F44" s="7">
        <f t="shared" si="16"/>
        <v>0</v>
      </c>
      <c r="G44" s="2"/>
      <c r="H44" s="6">
        <v>0</v>
      </c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/>
      <c r="Q44" s="2"/>
      <c r="R44" s="7">
        <f t="shared" si="20"/>
        <v>0</v>
      </c>
      <c r="S44" s="2"/>
      <c r="T44" s="6">
        <v>0</v>
      </c>
      <c r="U44" s="2"/>
      <c r="V44" s="7">
        <f t="shared" si="21"/>
        <v>0</v>
      </c>
      <c r="W44" s="2"/>
      <c r="X44" s="6">
        <f t="shared" si="22"/>
        <v>0</v>
      </c>
      <c r="Y44" s="2"/>
      <c r="Z44" s="7">
        <f t="shared" si="23"/>
        <v>0</v>
      </c>
    </row>
    <row r="45" spans="1:26" s="24" customFormat="1" hidden="1" outlineLevel="2" x14ac:dyDescent="0.25">
      <c r="A45" s="26"/>
      <c r="B45" s="11" t="str">
        <f>CONCATENATE("          ", "6285", " - ", "JANITORIAL SERVICES")</f>
        <v xml:space="preserve">          6285 - JANITORIAL SERVICES</v>
      </c>
      <c r="C45" s="11"/>
      <c r="D45" s="6"/>
      <c r="E45" s="2"/>
      <c r="F45" s="7">
        <f t="shared" si="16"/>
        <v>0</v>
      </c>
      <c r="G45" s="2"/>
      <c r="H45" s="6">
        <v>0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0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7" customFormat="1" outlineLevel="1" collapsed="1" x14ac:dyDescent="0.25">
      <c r="A46" s="25"/>
      <c r="B46" s="13" t="str">
        <f>CONCATENATE("     ","Supplies                                          ")</f>
        <v xml:space="preserve">     Supplies                                          </v>
      </c>
      <c r="C46" s="13"/>
      <c r="D46" s="1">
        <f>SUM(OSRRefD22_5x_0)</f>
        <v>0</v>
      </c>
      <c r="E46" s="1"/>
      <c r="F46" s="5">
        <f t="shared" ref="F46:F51" si="24">IF(D$12=0,0,D46/D$12)</f>
        <v>0</v>
      </c>
      <c r="G46" s="1"/>
      <c r="H46" s="1">
        <f>SUM(OSRRefH22_5x_0)</f>
        <v>25</v>
      </c>
      <c r="I46" s="1"/>
      <c r="J46" s="5">
        <f t="shared" ref="J46:J51" si="25">IF(H$12=0,0,H46/H$12)</f>
        <v>0</v>
      </c>
      <c r="K46" s="1"/>
      <c r="L46" s="1">
        <f t="shared" ref="L46:L51" si="26">+D46-H46</f>
        <v>-25</v>
      </c>
      <c r="M46" s="1"/>
      <c r="N46" s="5">
        <f t="shared" ref="N46:N51" si="27">IF(H46=0,0,L46/H46)</f>
        <v>-1</v>
      </c>
      <c r="O46" s="13"/>
      <c r="P46" s="1">
        <f>SUM(OSRRefP22_5x_0)</f>
        <v>3.26</v>
      </c>
      <c r="Q46" s="1"/>
      <c r="R46" s="5">
        <f t="shared" ref="R46:R51" si="28">IF(P$12=0,0,P46/P$12)</f>
        <v>0</v>
      </c>
      <c r="S46" s="1"/>
      <c r="T46" s="1">
        <f>SUM(OSRRefT22_5x_0)</f>
        <v>300</v>
      </c>
      <c r="U46" s="1"/>
      <c r="V46" s="5">
        <f t="shared" ref="V46:V51" si="29">IF(T$12=0,0,T46/T$12)</f>
        <v>0</v>
      </c>
      <c r="W46" s="1"/>
      <c r="X46" s="1">
        <f t="shared" ref="X46:X51" si="30">+P46-T46</f>
        <v>-296.74</v>
      </c>
      <c r="Y46" s="1"/>
      <c r="Z46" s="5">
        <f t="shared" ref="Z46:Z51" si="31">IF(T46=0,0,X46/T46)</f>
        <v>-0.98913333333333331</v>
      </c>
    </row>
    <row r="47" spans="1:26" s="24" customFormat="1" hidden="1" outlineLevel="2" x14ac:dyDescent="0.25">
      <c r="A47" s="26"/>
      <c r="B47" s="11" t="str">
        <f>CONCATENATE("          ", "6241", " - ", "OFFICE EXPENSE")</f>
        <v xml:space="preserve">          6241 - OFFICE EXPENSE</v>
      </c>
      <c r="C47" s="11"/>
      <c r="D47" s="6"/>
      <c r="E47" s="2"/>
      <c r="F47" s="7">
        <f t="shared" si="24"/>
        <v>0</v>
      </c>
      <c r="G47" s="2"/>
      <c r="H47" s="6">
        <v>25</v>
      </c>
      <c r="I47" s="2"/>
      <c r="J47" s="7">
        <f t="shared" si="25"/>
        <v>0</v>
      </c>
      <c r="K47" s="2"/>
      <c r="L47" s="6">
        <f t="shared" si="26"/>
        <v>-25</v>
      </c>
      <c r="M47" s="2"/>
      <c r="N47" s="7">
        <f t="shared" si="27"/>
        <v>-1</v>
      </c>
      <c r="O47" s="11"/>
      <c r="P47" s="6">
        <v>3.26</v>
      </c>
      <c r="Q47" s="2"/>
      <c r="R47" s="7">
        <f t="shared" si="28"/>
        <v>0</v>
      </c>
      <c r="S47" s="2"/>
      <c r="T47" s="6">
        <v>300</v>
      </c>
      <c r="U47" s="2"/>
      <c r="V47" s="7">
        <f t="shared" si="29"/>
        <v>0</v>
      </c>
      <c r="W47" s="2"/>
      <c r="X47" s="6">
        <f t="shared" si="30"/>
        <v>-296.74</v>
      </c>
      <c r="Y47" s="2"/>
      <c r="Z47" s="7">
        <f t="shared" si="31"/>
        <v>-0.98913333333333331</v>
      </c>
    </row>
    <row r="48" spans="1:26" s="27" customFormat="1" outlineLevel="1" collapsed="1" x14ac:dyDescent="0.25">
      <c r="A48" s="25"/>
      <c r="B48" s="13" t="str">
        <f>CONCATENATE("     ","Telephone/Data Lines                              ")</f>
        <v xml:space="preserve">     Telephone/Data Lines                              </v>
      </c>
      <c r="C48" s="13"/>
      <c r="D48" s="1">
        <f>SUM(OSRRefD22_6x_0)</f>
        <v>186</v>
      </c>
      <c r="E48" s="1"/>
      <c r="F48" s="5">
        <f t="shared" si="24"/>
        <v>0</v>
      </c>
      <c r="G48" s="1"/>
      <c r="H48" s="1">
        <f>SUM(OSRRefH22_6x_0)</f>
        <v>200</v>
      </c>
      <c r="I48" s="1"/>
      <c r="J48" s="5">
        <f t="shared" si="25"/>
        <v>0</v>
      </c>
      <c r="K48" s="1"/>
      <c r="L48" s="1">
        <f t="shared" si="26"/>
        <v>-14</v>
      </c>
      <c r="M48" s="1"/>
      <c r="N48" s="5">
        <f t="shared" si="27"/>
        <v>-7.0000000000000007E-2</v>
      </c>
      <c r="O48" s="13"/>
      <c r="P48" s="1">
        <f>SUM(OSRRefP22_6x_0)</f>
        <v>921</v>
      </c>
      <c r="Q48" s="1"/>
      <c r="R48" s="5">
        <f t="shared" si="28"/>
        <v>0</v>
      </c>
      <c r="S48" s="1"/>
      <c r="T48" s="1">
        <f>SUM(OSRRefT22_6x_0)</f>
        <v>1200</v>
      </c>
      <c r="U48" s="1"/>
      <c r="V48" s="5">
        <f t="shared" si="29"/>
        <v>0</v>
      </c>
      <c r="W48" s="1"/>
      <c r="X48" s="1">
        <f t="shared" si="30"/>
        <v>-279</v>
      </c>
      <c r="Y48" s="1"/>
      <c r="Z48" s="5">
        <f t="shared" si="31"/>
        <v>-0.23250000000000001</v>
      </c>
    </row>
    <row r="49" spans="1:26" s="24" customFormat="1" hidden="1" outlineLevel="2" x14ac:dyDescent="0.25">
      <c r="A49" s="26"/>
      <c r="B49" s="11" t="str">
        <f>CONCATENATE("          ", "6309", " - ", "TELEPHONE")</f>
        <v xml:space="preserve">          6309 - TELEPHONE</v>
      </c>
      <c r="C49" s="11"/>
      <c r="D49" s="6">
        <v>186</v>
      </c>
      <c r="E49" s="2"/>
      <c r="F49" s="7">
        <f t="shared" si="24"/>
        <v>0</v>
      </c>
      <c r="G49" s="2"/>
      <c r="H49" s="6">
        <v>200</v>
      </c>
      <c r="I49" s="2"/>
      <c r="J49" s="7">
        <f t="shared" si="25"/>
        <v>0</v>
      </c>
      <c r="K49" s="2"/>
      <c r="L49" s="6">
        <f t="shared" si="26"/>
        <v>-14</v>
      </c>
      <c r="M49" s="2"/>
      <c r="N49" s="7">
        <f t="shared" si="27"/>
        <v>-7.0000000000000007E-2</v>
      </c>
      <c r="O49" s="11"/>
      <c r="P49" s="6">
        <v>921</v>
      </c>
      <c r="Q49" s="2"/>
      <c r="R49" s="7">
        <f t="shared" si="28"/>
        <v>0</v>
      </c>
      <c r="S49" s="2"/>
      <c r="T49" s="6">
        <v>1200</v>
      </c>
      <c r="U49" s="2"/>
      <c r="V49" s="7">
        <f t="shared" si="29"/>
        <v>0</v>
      </c>
      <c r="W49" s="2"/>
      <c r="X49" s="6">
        <f t="shared" si="30"/>
        <v>-279</v>
      </c>
      <c r="Y49" s="2"/>
      <c r="Z49" s="7">
        <f t="shared" si="31"/>
        <v>-0.23250000000000001</v>
      </c>
    </row>
    <row r="50" spans="1:26" s="27" customFormat="1" outlineLevel="1" collapsed="1" x14ac:dyDescent="0.25">
      <c r="A50" s="25"/>
      <c r="B50" s="13" t="str">
        <f>CONCATENATE("     ","Utilities                                         ")</f>
        <v xml:space="preserve">     Utilities                                         </v>
      </c>
      <c r="C50" s="13"/>
      <c r="D50" s="1">
        <f>SUM(OSRRefD22_7x_0)</f>
        <v>0</v>
      </c>
      <c r="E50" s="1"/>
      <c r="F50" s="5">
        <f t="shared" si="24"/>
        <v>0</v>
      </c>
      <c r="G50" s="1"/>
      <c r="H50" s="1">
        <f>SUM(OSRRefH22_7x_0)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SUM(OSRRefP22_7x_0)</f>
        <v>0</v>
      </c>
      <c r="Q50" s="1"/>
      <c r="R50" s="5">
        <f t="shared" si="28"/>
        <v>0</v>
      </c>
      <c r="S50" s="1"/>
      <c r="T50" s="1">
        <f>SUM(OSRRefT22_7x_0)</f>
        <v>0</v>
      </c>
      <c r="U50" s="1"/>
      <c r="V50" s="5">
        <f t="shared" si="29"/>
        <v>0</v>
      </c>
      <c r="W50" s="1"/>
      <c r="X50" s="1">
        <f t="shared" si="30"/>
        <v>0</v>
      </c>
      <c r="Y50" s="1"/>
      <c r="Z50" s="5">
        <f t="shared" si="31"/>
        <v>0</v>
      </c>
    </row>
    <row r="51" spans="1:26" s="24" customFormat="1" hidden="1" outlineLevel="2" x14ac:dyDescent="0.25">
      <c r="A51" s="26"/>
      <c r="B51" s="11" t="str">
        <f>CONCATENATE("          ", "6274", " - ", "UTILITIES")</f>
        <v xml:space="preserve">          6274 - UTILITIES</v>
      </c>
      <c r="C51" s="11"/>
      <c r="D51" s="6"/>
      <c r="E51" s="2"/>
      <c r="F51" s="7">
        <f t="shared" si="24"/>
        <v>0</v>
      </c>
      <c r="G51" s="2"/>
      <c r="H51" s="6">
        <v>0</v>
      </c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0</v>
      </c>
      <c r="U51" s="2"/>
      <c r="V51" s="7">
        <f t="shared" si="29"/>
        <v>0</v>
      </c>
      <c r="W51" s="2"/>
      <c r="X51" s="6">
        <f t="shared" si="30"/>
        <v>0</v>
      </c>
      <c r="Y51" s="2"/>
      <c r="Z51" s="7">
        <f t="shared" si="31"/>
        <v>0</v>
      </c>
    </row>
    <row r="52" spans="1:26" s="61" customFormat="1" x14ac:dyDescent="0.25">
      <c r="A52" s="36"/>
      <c r="B52" s="36"/>
      <c r="C52" s="36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collapsed="1" x14ac:dyDescent="0.25">
      <c r="A53" s="10"/>
      <c r="B53" s="29" t="s">
        <v>293</v>
      </c>
      <c r="C53" s="10"/>
      <c r="D53" s="4">
        <f>SUM(OSRRefD25x_0)</f>
        <v>0</v>
      </c>
      <c r="E53" s="4"/>
      <c r="F53" s="12">
        <f t="shared" ref="F53:F56" si="32">IF(D$12=0,0,D53/D$12)</f>
        <v>0</v>
      </c>
      <c r="G53" s="4"/>
      <c r="H53" s="4">
        <f>SUM(OSRRefH25x_0)</f>
        <v>17608</v>
      </c>
      <c r="I53" s="4"/>
      <c r="J53" s="12">
        <f t="shared" ref="J53:J56" si="33">IF(H$12=0,0,H53/H$12)</f>
        <v>0</v>
      </c>
      <c r="K53" s="4"/>
      <c r="L53" s="4">
        <f t="shared" ref="L53:L56" si="34">+D53-H53</f>
        <v>-17608</v>
      </c>
      <c r="M53" s="4"/>
      <c r="N53" s="12">
        <f t="shared" ref="N53:N56" si="35">IF(H53=0,0,L53/H53)</f>
        <v>-1</v>
      </c>
      <c r="O53" s="10"/>
      <c r="P53" s="4">
        <f>SUM(OSRRefP25x_0)</f>
        <v>0</v>
      </c>
      <c r="Q53" s="4"/>
      <c r="R53" s="12">
        <f t="shared" ref="R53:R56" si="36">IF(P$12=0,0,P53/P$12)</f>
        <v>0</v>
      </c>
      <c r="S53" s="4"/>
      <c r="T53" s="4">
        <f>SUM(OSRRefT25x_0)</f>
        <v>96558</v>
      </c>
      <c r="U53" s="4"/>
      <c r="V53" s="12">
        <f t="shared" ref="V53:V56" si="37">IF(T$12=0,0,T53/T$12)</f>
        <v>0</v>
      </c>
      <c r="W53" s="4"/>
      <c r="X53" s="4">
        <f t="shared" ref="X53:X56" si="38">+P53-T53</f>
        <v>-96558</v>
      </c>
      <c r="Y53" s="4"/>
      <c r="Z53" s="12">
        <f t="shared" ref="Z53:Z56" si="39">IF(T53=0,0,X53/T53)</f>
        <v>-1</v>
      </c>
    </row>
    <row r="54" spans="1:26" s="24" customFormat="1" hidden="1" outlineLevel="1" x14ac:dyDescent="0.25">
      <c r="A54" s="44"/>
      <c r="B54" s="11" t="str">
        <f>CONCATENATE("          ", "9150", " - ", "MISC. INCOME")</f>
        <v xml:space="preserve">          9150 - MISC. INCOME</v>
      </c>
      <c r="C54" s="11"/>
      <c r="D54" s="2">
        <f t="shared" ref="D54:D56" si="40">0</f>
        <v>0</v>
      </c>
      <c r="E54" s="2"/>
      <c r="F54" s="19">
        <f t="shared" si="32"/>
        <v>0</v>
      </c>
      <c r="G54" s="2"/>
      <c r="H54" s="2">
        <v>3664</v>
      </c>
      <c r="I54" s="2"/>
      <c r="J54" s="19">
        <f t="shared" si="33"/>
        <v>0</v>
      </c>
      <c r="K54" s="2"/>
      <c r="L54" s="2">
        <f t="shared" si="34"/>
        <v>-3664</v>
      </c>
      <c r="M54" s="2"/>
      <c r="N54" s="19">
        <f t="shared" si="35"/>
        <v>-1</v>
      </c>
      <c r="O54" s="11"/>
      <c r="P54" s="2">
        <f t="shared" ref="P54:P56" si="41">0</f>
        <v>0</v>
      </c>
      <c r="Q54" s="2"/>
      <c r="R54" s="19">
        <f t="shared" si="36"/>
        <v>0</v>
      </c>
      <c r="S54" s="2"/>
      <c r="T54" s="2">
        <v>30725</v>
      </c>
      <c r="U54" s="2"/>
      <c r="V54" s="19">
        <f t="shared" si="37"/>
        <v>0</v>
      </c>
      <c r="W54" s="2"/>
      <c r="X54" s="2">
        <f t="shared" si="38"/>
        <v>-30725</v>
      </c>
      <c r="Y54" s="2"/>
      <c r="Z54" s="19">
        <f t="shared" si="39"/>
        <v>-1</v>
      </c>
    </row>
    <row r="55" spans="1:26" s="24" customFormat="1" hidden="1" outlineLevel="1" x14ac:dyDescent="0.25">
      <c r="A55" s="44"/>
      <c r="B55" s="11" t="str">
        <f>CONCATENATE("          ", "9151", " - ", "MISC. INCOME")</f>
        <v xml:space="preserve">          9151 - MISC. INCOME</v>
      </c>
      <c r="C55" s="11"/>
      <c r="D55" s="2">
        <f t="shared" si="40"/>
        <v>0</v>
      </c>
      <c r="E55" s="2"/>
      <c r="F55" s="19">
        <f t="shared" si="32"/>
        <v>0</v>
      </c>
      <c r="G55" s="2"/>
      <c r="H55" s="2">
        <v>6343</v>
      </c>
      <c r="I55" s="2"/>
      <c r="J55" s="19">
        <f t="shared" si="33"/>
        <v>0</v>
      </c>
      <c r="K55" s="2"/>
      <c r="L55" s="2">
        <f t="shared" si="34"/>
        <v>-6343</v>
      </c>
      <c r="M55" s="2"/>
      <c r="N55" s="19">
        <f t="shared" si="35"/>
        <v>-1</v>
      </c>
      <c r="O55" s="11"/>
      <c r="P55" s="2">
        <f t="shared" si="41"/>
        <v>0</v>
      </c>
      <c r="Q55" s="2"/>
      <c r="R55" s="19">
        <f t="shared" si="36"/>
        <v>0</v>
      </c>
      <c r="S55" s="2"/>
      <c r="T55" s="2">
        <v>41738</v>
      </c>
      <c r="U55" s="2"/>
      <c r="V55" s="19">
        <f t="shared" si="37"/>
        <v>0</v>
      </c>
      <c r="W55" s="2"/>
      <c r="X55" s="2">
        <f t="shared" si="38"/>
        <v>-41738</v>
      </c>
      <c r="Y55" s="2"/>
      <c r="Z55" s="19">
        <f t="shared" si="39"/>
        <v>-1</v>
      </c>
    </row>
    <row r="56" spans="1:26" s="24" customFormat="1" hidden="1" outlineLevel="1" x14ac:dyDescent="0.25">
      <c r="A56" s="44"/>
      <c r="B56" s="11" t="str">
        <f>CONCATENATE("          ", "9160", " - ", "MISC. INCOME")</f>
        <v xml:space="preserve">          9160 - MISC. INCOME</v>
      </c>
      <c r="C56" s="11"/>
      <c r="D56" s="2">
        <f t="shared" si="40"/>
        <v>0</v>
      </c>
      <c r="E56" s="2"/>
      <c r="F56" s="19">
        <f t="shared" si="32"/>
        <v>0</v>
      </c>
      <c r="G56" s="2"/>
      <c r="H56" s="2">
        <v>7601</v>
      </c>
      <c r="I56" s="2"/>
      <c r="J56" s="19">
        <f t="shared" si="33"/>
        <v>0</v>
      </c>
      <c r="K56" s="2"/>
      <c r="L56" s="2">
        <f t="shared" si="34"/>
        <v>-7601</v>
      </c>
      <c r="M56" s="2"/>
      <c r="N56" s="19">
        <f t="shared" si="35"/>
        <v>-1</v>
      </c>
      <c r="O56" s="11"/>
      <c r="P56" s="2">
        <f t="shared" si="41"/>
        <v>0</v>
      </c>
      <c r="Q56" s="2"/>
      <c r="R56" s="19">
        <f t="shared" si="36"/>
        <v>0</v>
      </c>
      <c r="S56" s="2"/>
      <c r="T56" s="2">
        <v>24095</v>
      </c>
      <c r="U56" s="2"/>
      <c r="V56" s="19">
        <f t="shared" si="37"/>
        <v>0</v>
      </c>
      <c r="W56" s="2"/>
      <c r="X56" s="2">
        <f t="shared" si="38"/>
        <v>-24095</v>
      </c>
      <c r="Y56" s="2"/>
      <c r="Z56" s="19">
        <f t="shared" si="39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277</v>
      </c>
      <c r="C58" s="28"/>
      <c r="D58" s="20">
        <f>+D16-D18+D53</f>
        <v>-186</v>
      </c>
      <c r="E58" s="14"/>
      <c r="F58" s="22">
        <f>IF(D$12=0,0,D58/D$12)</f>
        <v>0</v>
      </c>
      <c r="G58" s="14"/>
      <c r="H58" s="20">
        <f>+H16-H18+H53</f>
        <v>1064.3786923076914</v>
      </c>
      <c r="I58" s="14"/>
      <c r="J58" s="22">
        <f>IF(H$12=0,0,H58/H$12)</f>
        <v>0</v>
      </c>
      <c r="K58" s="16"/>
      <c r="L58" s="20">
        <f>+D58-H58</f>
        <v>-1250.3786923076914</v>
      </c>
      <c r="M58" s="16"/>
      <c r="N58" s="22">
        <f>IF(H58=0,0,L58/H58)</f>
        <v>-1.1747498341936282</v>
      </c>
      <c r="O58" s="29"/>
      <c r="P58" s="20">
        <f>+P16-P18+P53</f>
        <v>-3402.9900000000002</v>
      </c>
      <c r="Q58" s="14"/>
      <c r="R58" s="22">
        <f>IF(P$12=0,0,P58/P$12)</f>
        <v>0</v>
      </c>
      <c r="S58" s="14"/>
      <c r="T58" s="20">
        <f>+T16-T18+T53</f>
        <v>-94699.07699999999</v>
      </c>
      <c r="U58" s="14"/>
      <c r="V58" s="22">
        <f>IF(T$12=0,0,T58/T$12)</f>
        <v>0</v>
      </c>
      <c r="W58" s="16"/>
      <c r="X58" s="20">
        <f>+P58-T58</f>
        <v>91296.086999999985</v>
      </c>
      <c r="Y58" s="16"/>
      <c r="Z58" s="22">
        <f>IF(T58=0,0,X58/T58)</f>
        <v>-0.96406522526085436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126</v>
      </c>
      <c r="C62" s="28"/>
      <c r="D62" s="34">
        <f>+D58-D60</f>
        <v>-186</v>
      </c>
      <c r="E62" s="14"/>
      <c r="F62" s="35">
        <f>IF(D$12=0,0,D62/D$12)</f>
        <v>0</v>
      </c>
      <c r="G62" s="14"/>
      <c r="H62" s="34">
        <f>+H58-H60</f>
        <v>1064.3786923076914</v>
      </c>
      <c r="I62" s="14"/>
      <c r="J62" s="35">
        <f>IF(H$12=0,0,H62/H$12)</f>
        <v>0</v>
      </c>
      <c r="K62" s="16"/>
      <c r="L62" s="34">
        <f>D62-H62</f>
        <v>-1250.3786923076914</v>
      </c>
      <c r="M62" s="16"/>
      <c r="N62" s="35">
        <f>IF(H62=0,0,L62/H62)</f>
        <v>-1.1747498341936282</v>
      </c>
      <c r="O62" s="29"/>
      <c r="P62" s="34">
        <f>+P58-P60</f>
        <v>-3402.9900000000002</v>
      </c>
      <c r="Q62" s="14"/>
      <c r="R62" s="35">
        <f>IF(P$12=0,0,P62/P$12)</f>
        <v>0</v>
      </c>
      <c r="S62" s="14"/>
      <c r="T62" s="34">
        <f>+T58-T60</f>
        <v>-94699.07699999999</v>
      </c>
      <c r="U62" s="14"/>
      <c r="V62" s="35">
        <f>IF(T$12=0,0,T62/T$12)</f>
        <v>0</v>
      </c>
      <c r="W62" s="16"/>
      <c r="X62" s="34">
        <f>P62-T62</f>
        <v>91296.086999999985</v>
      </c>
      <c r="Y62" s="16"/>
      <c r="Z62" s="35">
        <f>IF(T62=0,0,X62/T62)</f>
        <v>-0.96406522526085436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294</v>
      </c>
      <c r="C65" s="28"/>
      <c r="D65" s="33">
        <f>SUM(D62:D64)</f>
        <v>-186</v>
      </c>
      <c r="E65" s="14"/>
      <c r="F65" s="31">
        <f>IF(D$12=0,0,D65/D$12)</f>
        <v>0</v>
      </c>
      <c r="G65" s="14"/>
      <c r="H65" s="33">
        <f>SUM(H62:H64)</f>
        <v>1064.3786923076914</v>
      </c>
      <c r="I65" s="14"/>
      <c r="J65" s="31">
        <f>IF(H$12=0,0,H65/H$12)</f>
        <v>0</v>
      </c>
      <c r="K65" s="16"/>
      <c r="L65" s="33">
        <f>+D65-H65</f>
        <v>-1250.3786923076914</v>
      </c>
      <c r="M65" s="16"/>
      <c r="N65" s="31">
        <f>IF(H65=0,0,L65/H65)</f>
        <v>-1.1747498341936282</v>
      </c>
      <c r="O65" s="29"/>
      <c r="P65" s="33">
        <f>SUM(P62:P64)</f>
        <v>-3402.9900000000002</v>
      </c>
      <c r="Q65" s="14"/>
      <c r="R65" s="31">
        <f>IF(P$12=0,0,P65/P$12)</f>
        <v>0</v>
      </c>
      <c r="S65" s="14"/>
      <c r="T65" s="33">
        <f>SUM(T62:T64)</f>
        <v>-94699.07699999999</v>
      </c>
      <c r="U65" s="14"/>
      <c r="V65" s="31">
        <f>IF(T$12=0,0,T65/T$12)</f>
        <v>0</v>
      </c>
      <c r="W65" s="16"/>
      <c r="X65" s="33">
        <f>+P65-T65</f>
        <v>91296.086999999985</v>
      </c>
      <c r="Y65" s="16"/>
      <c r="Z65" s="31">
        <f>IF(T65=0,0,X65/T65)</f>
        <v>-0.96406522526085436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6">
        <v>44454.686112384261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5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3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479.29</v>
      </c>
      <c r="E18" s="21"/>
      <c r="F18" s="30">
        <f t="shared" ref="F18:F26" si="0">IF(D$12=0,0,D18/D$12)</f>
        <v>0</v>
      </c>
      <c r="G18" s="21"/>
      <c r="H18" s="21">
        <f>SUM(OSRRefH22x_0)</f>
        <v>479</v>
      </c>
      <c r="I18" s="21"/>
      <c r="J18" s="30">
        <f t="shared" ref="J18:J26" si="1">IF(H$12=0,0,H18/H$12)</f>
        <v>0</v>
      </c>
      <c r="K18" s="4"/>
      <c r="L18" s="21">
        <f t="shared" ref="L18:L26" si="2">+D18-H18</f>
        <v>0.29000000000002046</v>
      </c>
      <c r="M18" s="4"/>
      <c r="N18" s="30">
        <f t="shared" ref="N18:N26" si="3">IF(H18=0,0,L18/H18)</f>
        <v>6.054279749478506E-4</v>
      </c>
      <c r="O18" s="10"/>
      <c r="P18" s="21">
        <f>SUM(OSRRefP22x_0)</f>
        <v>7312.37</v>
      </c>
      <c r="Q18" s="21"/>
      <c r="R18" s="30">
        <f t="shared" ref="R18:R26" si="4">IF(P$12=0,0,P18/P$12)</f>
        <v>0</v>
      </c>
      <c r="S18" s="21"/>
      <c r="T18" s="21">
        <f>SUM(OSRRefT22x_0)</f>
        <v>5748</v>
      </c>
      <c r="U18" s="21"/>
      <c r="V18" s="30">
        <f t="shared" ref="V18:V26" si="5">IF(T$12=0,0,T18/T$12)</f>
        <v>0</v>
      </c>
      <c r="W18" s="4"/>
      <c r="X18" s="21">
        <f t="shared" ref="X18:X26" si="6">+P18-T18</f>
        <v>1564.37</v>
      </c>
      <c r="Y18" s="4"/>
      <c r="Z18" s="30">
        <f t="shared" ref="Z18:Z26" si="7">IF(T18=0,0,X18/T18)</f>
        <v>0.2721590118302018</v>
      </c>
    </row>
    <row r="19" spans="1:26" s="27" customFormat="1" outlineLevel="1" collapsed="1" x14ac:dyDescent="0.25">
      <c r="A19" s="25"/>
      <c r="B19" s="13" t="str">
        <f>CONCATENATE("     ","Depreciation                                      ")</f>
        <v xml:space="preserve">     Depreciation                                      </v>
      </c>
      <c r="C19" s="13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3"/>
      <c r="P19" s="1">
        <f>SUM(OSRRefP22_0x_0)</f>
        <v>5751.48</v>
      </c>
      <c r="Q19" s="1"/>
      <c r="R19" s="5">
        <f t="shared" si="4"/>
        <v>0</v>
      </c>
      <c r="S19" s="1"/>
      <c r="T19" s="1">
        <f>SUM(OSRRefT22_0x_0)</f>
        <v>5748</v>
      </c>
      <c r="U19" s="1"/>
      <c r="V19" s="5">
        <f t="shared" si="5"/>
        <v>0</v>
      </c>
      <c r="W19" s="1"/>
      <c r="X19" s="1">
        <f t="shared" si="6"/>
        <v>3.4799999999995634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6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5751.48</v>
      </c>
      <c r="Q20" s="2"/>
      <c r="R20" s="7">
        <f t="shared" si="4"/>
        <v>0</v>
      </c>
      <c r="S20" s="2"/>
      <c r="T20" s="6">
        <v>5748</v>
      </c>
      <c r="U20" s="2"/>
      <c r="V20" s="7">
        <f t="shared" si="5"/>
        <v>0</v>
      </c>
      <c r="W20" s="2"/>
      <c r="X20" s="6">
        <f t="shared" si="6"/>
        <v>3.4799999999995634</v>
      </c>
      <c r="Y20" s="2"/>
      <c r="Z20" s="7">
        <f t="shared" si="7"/>
        <v>6.0542797494773199E-4</v>
      </c>
    </row>
    <row r="21" spans="1:26" s="27" customFormat="1" outlineLevel="1" collapsed="1" x14ac:dyDescent="0.25">
      <c r="A21" s="25"/>
      <c r="B21" s="13" t="str">
        <f>CONCATENATE("     ","General                                           ")</f>
        <v xml:space="preserve">     General                                           </v>
      </c>
      <c r="C21" s="13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3"/>
      <c r="P21" s="1">
        <f>SUM(OSRRefP22_1x_0)</f>
        <v>978.55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978.55</v>
      </c>
      <c r="Y21" s="1"/>
      <c r="Z21" s="5">
        <f t="shared" si="7"/>
        <v>0</v>
      </c>
    </row>
    <row r="22" spans="1:26" s="24" customFormat="1" hidden="1" outlineLevel="2" x14ac:dyDescent="0.25">
      <c r="A22" s="26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978.55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978.55</v>
      </c>
      <c r="Y22" s="2"/>
      <c r="Z22" s="7">
        <f t="shared" si="7"/>
        <v>0</v>
      </c>
    </row>
    <row r="23" spans="1:26" s="27" customFormat="1" outlineLevel="1" collapsed="1" x14ac:dyDescent="0.25">
      <c r="A23" s="25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154.33000000000001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154.33000000000001</v>
      </c>
      <c r="Y24" s="2"/>
      <c r="Z24" s="7">
        <f t="shared" si="7"/>
        <v>0</v>
      </c>
    </row>
    <row r="25" spans="1:26" s="27" customFormat="1" outlineLevel="1" collapsed="1" x14ac:dyDescent="0.25">
      <c r="A25" s="25"/>
      <c r="B25" s="13" t="str">
        <f>CONCATENATE("     ","Telephone/Data Lines                              ")</f>
        <v xml:space="preserve">     Telephone/Data Lines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428.01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428.01</v>
      </c>
      <c r="Y26" s="2"/>
      <c r="Z26" s="7">
        <f t="shared" si="7"/>
        <v>0</v>
      </c>
    </row>
    <row r="27" spans="1:26" s="61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277</v>
      </c>
      <c r="C30" s="28"/>
      <c r="D30" s="20">
        <f>+D16-D18+D28</f>
        <v>-479.29</v>
      </c>
      <c r="E30" s="14"/>
      <c r="F30" s="22">
        <f>IF(D$12=0,0,D30/D$12)</f>
        <v>0</v>
      </c>
      <c r="G30" s="14"/>
      <c r="H30" s="20">
        <f>+H16-H18+H28</f>
        <v>-479</v>
      </c>
      <c r="I30" s="14"/>
      <c r="J30" s="22">
        <f>IF(H$12=0,0,H30/H$12)</f>
        <v>0</v>
      </c>
      <c r="K30" s="16"/>
      <c r="L30" s="20">
        <f>+D30-H30</f>
        <v>-0.29000000000002046</v>
      </c>
      <c r="M30" s="16"/>
      <c r="N30" s="22">
        <f>IF(H30=0,0,L30/H30)</f>
        <v>6.054279749478506E-4</v>
      </c>
      <c r="O30" s="29"/>
      <c r="P30" s="20">
        <f>+P16-P18+P28</f>
        <v>-7312.37</v>
      </c>
      <c r="Q30" s="14"/>
      <c r="R30" s="22">
        <f>IF(P$12=0,0,P30/P$12)</f>
        <v>0</v>
      </c>
      <c r="S30" s="14"/>
      <c r="T30" s="20">
        <f>+T16-T18+T28</f>
        <v>-5748</v>
      </c>
      <c r="U30" s="14"/>
      <c r="V30" s="22">
        <f>IF(T$12=0,0,T30/T$12)</f>
        <v>0</v>
      </c>
      <c r="W30" s="16"/>
      <c r="X30" s="20">
        <f>+P30-T30</f>
        <v>-1564.37</v>
      </c>
      <c r="Y30" s="16"/>
      <c r="Z30" s="22">
        <f>IF(T30=0,0,X30/T30)</f>
        <v>0.2721590118302018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126</v>
      </c>
      <c r="C34" s="28"/>
      <c r="D34" s="34">
        <f>+D30-D32</f>
        <v>-479.29</v>
      </c>
      <c r="E34" s="14"/>
      <c r="F34" s="35">
        <f>IF(D$12=0,0,D34/D$12)</f>
        <v>0</v>
      </c>
      <c r="G34" s="14"/>
      <c r="H34" s="34">
        <f>+H30-H32</f>
        <v>-479</v>
      </c>
      <c r="I34" s="14"/>
      <c r="J34" s="35">
        <f>IF(H$12=0,0,H34/H$12)</f>
        <v>0</v>
      </c>
      <c r="K34" s="16"/>
      <c r="L34" s="34">
        <f>D34-H34</f>
        <v>-0.29000000000002046</v>
      </c>
      <c r="M34" s="16"/>
      <c r="N34" s="35">
        <f>IF(H34=0,0,L34/H34)</f>
        <v>6.054279749478506E-4</v>
      </c>
      <c r="O34" s="29"/>
      <c r="P34" s="34">
        <f>+P30-P32</f>
        <v>-7312.37</v>
      </c>
      <c r="Q34" s="14"/>
      <c r="R34" s="35">
        <f>IF(P$12=0,0,P34/P$12)</f>
        <v>0</v>
      </c>
      <c r="S34" s="14"/>
      <c r="T34" s="34">
        <f>+T30-T32</f>
        <v>-5748</v>
      </c>
      <c r="U34" s="14"/>
      <c r="V34" s="35">
        <f>IF(T$12=0,0,T34/T$12)</f>
        <v>0</v>
      </c>
      <c r="W34" s="16"/>
      <c r="X34" s="34">
        <f>P34-T34</f>
        <v>-1564.37</v>
      </c>
      <c r="Y34" s="16"/>
      <c r="Z34" s="35">
        <f>IF(T34=0,0,X34/T34)</f>
        <v>0.2721590118302018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294</v>
      </c>
      <c r="C37" s="28"/>
      <c r="D37" s="33">
        <f>SUM(D34:D36)</f>
        <v>-479.29</v>
      </c>
      <c r="E37" s="14"/>
      <c r="F37" s="31">
        <f>IF(D$12=0,0,D37/D$12)</f>
        <v>0</v>
      </c>
      <c r="G37" s="14"/>
      <c r="H37" s="33">
        <f>SUM(H34:H36)</f>
        <v>-479</v>
      </c>
      <c r="I37" s="14"/>
      <c r="J37" s="31">
        <f>IF(H$12=0,0,H37/H$12)</f>
        <v>0</v>
      </c>
      <c r="K37" s="16"/>
      <c r="L37" s="33">
        <f>+D37-H37</f>
        <v>-0.29000000000002046</v>
      </c>
      <c r="M37" s="16"/>
      <c r="N37" s="31">
        <f>IF(H37=0,0,L37/H37)</f>
        <v>6.054279749478506E-4</v>
      </c>
      <c r="O37" s="29"/>
      <c r="P37" s="33">
        <f>SUM(P34:P36)</f>
        <v>-7312.37</v>
      </c>
      <c r="Q37" s="14"/>
      <c r="R37" s="31">
        <f>IF(P$12=0,0,P37/P$12)</f>
        <v>0</v>
      </c>
      <c r="S37" s="14"/>
      <c r="T37" s="33">
        <f>SUM(T34:T36)</f>
        <v>-5748</v>
      </c>
      <c r="U37" s="14"/>
      <c r="V37" s="31">
        <f>IF(T$12=0,0,T37/T$12)</f>
        <v>0</v>
      </c>
      <c r="W37" s="16"/>
      <c r="X37" s="33">
        <f>+P37-T37</f>
        <v>-1564.37</v>
      </c>
      <c r="Y37" s="16"/>
      <c r="Z37" s="31">
        <f>IF(T37=0,0,X37/T37)</f>
        <v>0.2721590118302018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>
        <v>44454.686112384261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5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3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","455", " - ", "Vending (old)")</f>
        <v>Department 455 - Vending (old)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9" t="s">
        <v>293</v>
      </c>
      <c r="C20" s="10"/>
      <c r="D20" s="4">
        <f>SUM(OSRRefD25x_0)</f>
        <v>576.86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576.86</v>
      </c>
      <c r="M20" s="4"/>
      <c r="N20" s="12">
        <f t="shared" ref="N20:N22" si="3">IF(H20=0,0,L20/H20)</f>
        <v>0</v>
      </c>
      <c r="O20" s="10"/>
      <c r="P20" s="4">
        <f>SUM(OSRRefP25x_0)</f>
        <v>16897.25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16897.25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>0</f>
        <v>0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0</v>
      </c>
      <c r="M21" s="2"/>
      <c r="N21" s="19">
        <f t="shared" si="3"/>
        <v>0</v>
      </c>
      <c r="O21" s="11"/>
      <c r="P21" s="2">
        <f>--12798.71</f>
        <v>12798.71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12798.71</v>
      </c>
      <c r="Y21" s="2"/>
      <c r="Z21" s="19">
        <f t="shared" si="7"/>
        <v>0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>--576.86</f>
        <v>576.86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576.86</v>
      </c>
      <c r="M22" s="2"/>
      <c r="N22" s="19">
        <f t="shared" si="3"/>
        <v>0</v>
      </c>
      <c r="O22" s="11"/>
      <c r="P22" s="2">
        <f>--4098.54</f>
        <v>4098.54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4098.54</v>
      </c>
      <c r="Y22" s="2"/>
      <c r="Z22" s="19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0">
        <f>+D16-D18+D20</f>
        <v>576.86</v>
      </c>
      <c r="E24" s="14"/>
      <c r="F24" s="22">
        <f>IF(D$12=0,0,D24/D$12)</f>
        <v>0</v>
      </c>
      <c r="G24" s="14"/>
      <c r="H24" s="20">
        <f>+H16-H18+H20</f>
        <v>0</v>
      </c>
      <c r="I24" s="14"/>
      <c r="J24" s="22">
        <f>IF(H$12=0,0,H24/H$12)</f>
        <v>0</v>
      </c>
      <c r="K24" s="16"/>
      <c r="L24" s="20">
        <f>+D24-H24</f>
        <v>576.86</v>
      </c>
      <c r="M24" s="16"/>
      <c r="N24" s="22">
        <f>IF(H24=0,0,L24/H24)</f>
        <v>0</v>
      </c>
      <c r="O24" s="29"/>
      <c r="P24" s="20">
        <f>+P16-P18+P20</f>
        <v>16897.25</v>
      </c>
      <c r="Q24" s="14"/>
      <c r="R24" s="22">
        <f>IF(P$12=0,0,P24/P$12)</f>
        <v>0</v>
      </c>
      <c r="S24" s="14"/>
      <c r="T24" s="20">
        <f>+T16-T18+T20</f>
        <v>0</v>
      </c>
      <c r="U24" s="14"/>
      <c r="V24" s="22">
        <f>IF(T$12=0,0,T24/T$12)</f>
        <v>0</v>
      </c>
      <c r="W24" s="16"/>
      <c r="X24" s="20">
        <f>+P24-T24</f>
        <v>16897.25</v>
      </c>
      <c r="Y24" s="16"/>
      <c r="Z24" s="22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4">
        <f>+D24-D26</f>
        <v>576.86</v>
      </c>
      <c r="E28" s="14"/>
      <c r="F28" s="35">
        <f>IF(D$12=0,0,D28/D$12)</f>
        <v>0</v>
      </c>
      <c r="G28" s="14"/>
      <c r="H28" s="34">
        <f>+H24-H26</f>
        <v>0</v>
      </c>
      <c r="I28" s="14"/>
      <c r="J28" s="35">
        <f>IF(H$12=0,0,H28/H$12)</f>
        <v>0</v>
      </c>
      <c r="K28" s="16"/>
      <c r="L28" s="34">
        <f>D28-H28</f>
        <v>576.86</v>
      </c>
      <c r="M28" s="16"/>
      <c r="N28" s="35">
        <f>IF(H28=0,0,L28/H28)</f>
        <v>0</v>
      </c>
      <c r="O28" s="29"/>
      <c r="P28" s="34">
        <f>+P24-P26</f>
        <v>16897.25</v>
      </c>
      <c r="Q28" s="14"/>
      <c r="R28" s="35">
        <f>IF(P$12=0,0,P28/P$12)</f>
        <v>0</v>
      </c>
      <c r="S28" s="14"/>
      <c r="T28" s="34">
        <f>+T24-T26</f>
        <v>0</v>
      </c>
      <c r="U28" s="14"/>
      <c r="V28" s="35">
        <f>IF(T$12=0,0,T28/T$12)</f>
        <v>0</v>
      </c>
      <c r="W28" s="16"/>
      <c r="X28" s="34">
        <f>P28-T28</f>
        <v>16897.25</v>
      </c>
      <c r="Y28" s="16"/>
      <c r="Z28" s="35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SUM(D28:D30)</f>
        <v>576.86</v>
      </c>
      <c r="E31" s="14"/>
      <c r="F31" s="31">
        <f>IF(D$12=0,0,D31/D$12)</f>
        <v>0</v>
      </c>
      <c r="G31" s="14"/>
      <c r="H31" s="33">
        <f>SUM(H28:H30)</f>
        <v>0</v>
      </c>
      <c r="I31" s="14"/>
      <c r="J31" s="31">
        <f>IF(H$12=0,0,H31/H$12)</f>
        <v>0</v>
      </c>
      <c r="K31" s="16"/>
      <c r="L31" s="33">
        <f>+D31-H31</f>
        <v>576.86</v>
      </c>
      <c r="M31" s="16"/>
      <c r="N31" s="31">
        <f>IF(H31=0,0,L31/H31)</f>
        <v>0</v>
      </c>
      <c r="O31" s="29"/>
      <c r="P31" s="33">
        <f>SUM(P28:P30)</f>
        <v>16897.25</v>
      </c>
      <c r="Q31" s="14"/>
      <c r="R31" s="31">
        <f>IF(P$12=0,0,P31/P$12)</f>
        <v>0</v>
      </c>
      <c r="S31" s="14"/>
      <c r="T31" s="33">
        <f>SUM(T28:T30)</f>
        <v>0</v>
      </c>
      <c r="U31" s="14"/>
      <c r="V31" s="31">
        <f>IF(T$12=0,0,T31/T$12)</f>
        <v>0</v>
      </c>
      <c r="W31" s="16"/>
      <c r="X31" s="33">
        <f>+P31-T31</f>
        <v>16897.25</v>
      </c>
      <c r="Y31" s="16"/>
      <c r="Z31" s="31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6">
        <v>44454.686112384261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-6593.4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-6593.4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-6593.4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-6593.4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P12-P14</f>
        <v>6593.4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6593.4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1">
        <f>SUM(OSRRefD22x_0)</f>
        <v>1000.95</v>
      </c>
      <c r="E19" s="21"/>
      <c r="F19" s="30">
        <f t="shared" ref="F19:F25" si="8">IF(D$12=0,0,D19/D$12)</f>
        <v>0</v>
      </c>
      <c r="G19" s="21"/>
      <c r="H19" s="21">
        <f>SUM(OSRRefH22x_0)</f>
        <v>1001</v>
      </c>
      <c r="I19" s="21"/>
      <c r="J19" s="30">
        <f t="shared" ref="J19:J25" si="9">IF(H$12=0,0,H19/H$12)</f>
        <v>0</v>
      </c>
      <c r="K19" s="4"/>
      <c r="L19" s="21">
        <f t="shared" ref="L19:L25" si="10">+D19-H19</f>
        <v>-4.9999999999954525E-2</v>
      </c>
      <c r="M19" s="4"/>
      <c r="N19" s="30">
        <f t="shared" ref="N19:N25" si="11">IF(H19=0,0,L19/H19)</f>
        <v>-4.9950049950004522E-5</v>
      </c>
      <c r="O19" s="10"/>
      <c r="P19" s="21">
        <f>SUM(OSRRefP22x_0)</f>
        <v>15639.64</v>
      </c>
      <c r="Q19" s="21"/>
      <c r="R19" s="30">
        <f t="shared" ref="R19:R25" si="12">IF(P$12=0,0,P19/P$12)</f>
        <v>0</v>
      </c>
      <c r="S19" s="21"/>
      <c r="T19" s="21">
        <f>SUM(OSRRefT22x_0)</f>
        <v>12012</v>
      </c>
      <c r="U19" s="21"/>
      <c r="V19" s="30">
        <f t="shared" ref="V19:V25" si="13">IF(T$12=0,0,T19/T$12)</f>
        <v>0</v>
      </c>
      <c r="W19" s="4"/>
      <c r="X19" s="21">
        <f t="shared" ref="X19:X25" si="14">+P19-T19</f>
        <v>3627.6399999999994</v>
      </c>
      <c r="Y19" s="4"/>
      <c r="Z19" s="30">
        <f t="shared" ref="Z19:Z25" si="15">IF(T19=0,0,X19/T19)</f>
        <v>0.30200133200133195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3"/>
      <c r="P20" s="1">
        <f>SUM(OSRRefP22_0x_0)</f>
        <v>1420.5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1420.5</v>
      </c>
      <c r="Y20" s="1"/>
      <c r="Z20" s="5">
        <f t="shared" si="15"/>
        <v>0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0</v>
      </c>
      <c r="M21" s="2"/>
      <c r="N21" s="7">
        <f t="shared" si="11"/>
        <v>0</v>
      </c>
      <c r="O21" s="11"/>
      <c r="P21" s="6">
        <v>171.54</v>
      </c>
      <c r="Q21" s="2"/>
      <c r="R21" s="7">
        <f t="shared" si="12"/>
        <v>0</v>
      </c>
      <c r="S21" s="2"/>
      <c r="T21" s="6"/>
      <c r="U21" s="2"/>
      <c r="V21" s="7">
        <f t="shared" si="13"/>
        <v>0</v>
      </c>
      <c r="W21" s="2"/>
      <c r="X21" s="6">
        <f t="shared" si="14"/>
        <v>171.54</v>
      </c>
      <c r="Y21" s="2"/>
      <c r="Z21" s="7">
        <f t="shared" si="15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>
        <v>699.3</v>
      </c>
      <c r="Q22" s="2"/>
      <c r="R22" s="7">
        <f t="shared" si="12"/>
        <v>0</v>
      </c>
      <c r="S22" s="2"/>
      <c r="T22" s="6"/>
      <c r="U22" s="2"/>
      <c r="V22" s="7">
        <f t="shared" si="13"/>
        <v>0</v>
      </c>
      <c r="W22" s="2"/>
      <c r="X22" s="6">
        <f t="shared" si="14"/>
        <v>699.3</v>
      </c>
      <c r="Y22" s="2"/>
      <c r="Z22" s="7">
        <f t="shared" si="15"/>
        <v>0</v>
      </c>
    </row>
    <row r="23" spans="1:26" s="24" customFormat="1" hidden="1" outlineLevel="2" x14ac:dyDescent="0.25">
      <c r="A23" s="26"/>
      <c r="B23" s="11" t="str">
        <f>CONCATENATE("          ", "6115", " - ", "P.E.R.S.")</f>
        <v xml:space="preserve">          6115 - P.E.R.S.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355.22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355.22</v>
      </c>
      <c r="Y23" s="2"/>
      <c r="Z23" s="7">
        <f t="shared" si="15"/>
        <v>0</v>
      </c>
    </row>
    <row r="24" spans="1:26" s="24" customFormat="1" hidden="1" outlineLevel="2" x14ac:dyDescent="0.25">
      <c r="A24" s="26"/>
      <c r="B24" s="11" t="str">
        <f>CONCATENATE("          ", "6118", " - ", "VACATION")</f>
        <v xml:space="preserve">          6118 - VACATION</v>
      </c>
      <c r="C24" s="11"/>
      <c r="D24" s="6"/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>
        <v>88.46</v>
      </c>
      <c r="Q24" s="2"/>
      <c r="R24" s="7">
        <f t="shared" si="12"/>
        <v>0</v>
      </c>
      <c r="S24" s="2"/>
      <c r="T24" s="6"/>
      <c r="U24" s="2"/>
      <c r="V24" s="7">
        <f t="shared" si="13"/>
        <v>0</v>
      </c>
      <c r="W24" s="2"/>
      <c r="X24" s="6">
        <f t="shared" si="14"/>
        <v>88.46</v>
      </c>
      <c r="Y24" s="2"/>
      <c r="Z24" s="7">
        <f t="shared" si="15"/>
        <v>0</v>
      </c>
    </row>
    <row r="25" spans="1:26" s="24" customFormat="1" hidden="1" outlineLevel="2" x14ac:dyDescent="0.25">
      <c r="A25" s="26"/>
      <c r="B25" s="11" t="str">
        <f>CONCATENATE("          ", "6119", " - ", "SICK LEAVE")</f>
        <v xml:space="preserve">          6119 - SICK LEAVE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>
        <v>105.98</v>
      </c>
      <c r="Q25" s="2"/>
      <c r="R25" s="7">
        <f t="shared" si="12"/>
        <v>0</v>
      </c>
      <c r="S25" s="2"/>
      <c r="T25" s="6"/>
      <c r="U25" s="2"/>
      <c r="V25" s="7">
        <f t="shared" si="13"/>
        <v>0</v>
      </c>
      <c r="W25" s="2"/>
      <c r="X25" s="6">
        <f t="shared" si="14"/>
        <v>105.98</v>
      </c>
      <c r="Y25" s="2"/>
      <c r="Z25" s="7">
        <f t="shared" si="15"/>
        <v>0</v>
      </c>
    </row>
    <row r="26" spans="1:26" s="27" customFormat="1" outlineLevel="1" collapsed="1" x14ac:dyDescent="0.25">
      <c r="A26" s="25"/>
      <c r="B26" s="13" t="str">
        <f>CONCATENATE("     ","*Payroll                                          ")</f>
        <v xml:space="preserve">     *Payroll                                          </v>
      </c>
      <c r="C26" s="13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3"/>
      <c r="P26" s="1">
        <f>SUM(OSRRefP22_1x_0)</f>
        <v>1378.61</v>
      </c>
      <c r="Q26" s="1"/>
      <c r="R26" s="5">
        <f t="shared" ref="R26:R34" si="20">IF(P$12=0,0,P26/P$12)</f>
        <v>0</v>
      </c>
      <c r="S26" s="1"/>
      <c r="T26" s="1">
        <f>SUM(OSRRefT22_1x_0)</f>
        <v>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1378.61</v>
      </c>
      <c r="Y26" s="1"/>
      <c r="Z26" s="5">
        <f t="shared" ref="Z26:Z34" si="23">IF(T26=0,0,X26/T26)</f>
        <v>0</v>
      </c>
    </row>
    <row r="27" spans="1:26" s="24" customFormat="1" hidden="1" outlineLevel="2" x14ac:dyDescent="0.25">
      <c r="A27" s="26"/>
      <c r="B27" s="11" t="str">
        <f>CONCATENATE("          ", "6002", " - ", "STAFF SALARIES")</f>
        <v xml:space="preserve">          6002 - STAFF SALARIES</v>
      </c>
      <c r="C27" s="11"/>
      <c r="D27" s="6"/>
      <c r="E27" s="2"/>
      <c r="F27" s="7">
        <f t="shared" si="16"/>
        <v>0</v>
      </c>
      <c r="G27" s="2"/>
      <c r="H27" s="6"/>
      <c r="I27" s="2"/>
      <c r="J27" s="7">
        <f t="shared" si="17"/>
        <v>0</v>
      </c>
      <c r="K27" s="2"/>
      <c r="L27" s="6">
        <f t="shared" si="18"/>
        <v>0</v>
      </c>
      <c r="M27" s="2"/>
      <c r="N27" s="7">
        <f t="shared" si="19"/>
        <v>0</v>
      </c>
      <c r="O27" s="11"/>
      <c r="P27" s="6">
        <v>1378.61</v>
      </c>
      <c r="Q27" s="2"/>
      <c r="R27" s="7">
        <f t="shared" si="20"/>
        <v>0</v>
      </c>
      <c r="S27" s="2"/>
      <c r="T27" s="6"/>
      <c r="U27" s="2"/>
      <c r="V27" s="7">
        <f t="shared" si="21"/>
        <v>0</v>
      </c>
      <c r="W27" s="2"/>
      <c r="X27" s="6">
        <f t="shared" si="22"/>
        <v>1378.61</v>
      </c>
      <c r="Y27" s="2"/>
      <c r="Z27" s="7">
        <f t="shared" si="23"/>
        <v>0</v>
      </c>
    </row>
    <row r="28" spans="1:26" s="27" customFormat="1" outlineLevel="1" collapsed="1" x14ac:dyDescent="0.25">
      <c r="A28" s="25"/>
      <c r="B28" s="13" t="str">
        <f>CONCATENATE("     ","Depreciation                                      ")</f>
        <v xml:space="preserve">     Depreciation                                      </v>
      </c>
      <c r="C28" s="13"/>
      <c r="D28" s="1">
        <f>SUM(OSRRefD22_2x_0)</f>
        <v>1000.95</v>
      </c>
      <c r="E28" s="1"/>
      <c r="F28" s="5">
        <f t="shared" si="16"/>
        <v>0</v>
      </c>
      <c r="G28" s="1"/>
      <c r="H28" s="1">
        <f>SUM(OSRRefH22_2x_0)</f>
        <v>1001</v>
      </c>
      <c r="I28" s="1"/>
      <c r="J28" s="5">
        <f t="shared" si="17"/>
        <v>0</v>
      </c>
      <c r="K28" s="1"/>
      <c r="L28" s="1">
        <f t="shared" si="18"/>
        <v>-4.9999999999954525E-2</v>
      </c>
      <c r="M28" s="1"/>
      <c r="N28" s="5">
        <f t="shared" si="19"/>
        <v>-4.9950049950004522E-5</v>
      </c>
      <c r="O28" s="13"/>
      <c r="P28" s="1">
        <f>SUM(OSRRefP22_2x_0)</f>
        <v>12010.96</v>
      </c>
      <c r="Q28" s="1"/>
      <c r="R28" s="5">
        <f t="shared" si="20"/>
        <v>0</v>
      </c>
      <c r="S28" s="1"/>
      <c r="T28" s="1">
        <f>SUM(OSRRefT22_2x_0)</f>
        <v>12012</v>
      </c>
      <c r="U28" s="1"/>
      <c r="V28" s="5">
        <f t="shared" si="21"/>
        <v>0</v>
      </c>
      <c r="W28" s="1"/>
      <c r="X28" s="1">
        <f t="shared" si="22"/>
        <v>-1.0400000000008731</v>
      </c>
      <c r="Y28" s="1"/>
      <c r="Z28" s="5">
        <f t="shared" si="23"/>
        <v>-8.6580086580159262E-5</v>
      </c>
    </row>
    <row r="29" spans="1:26" s="24" customFormat="1" hidden="1" outlineLevel="2" x14ac:dyDescent="0.25">
      <c r="A29" s="26"/>
      <c r="B29" s="11" t="str">
        <f>CONCATENATE("          ", "6322", " - ", "EQUIPMENT DEPRECIATION EXPENSE")</f>
        <v xml:space="preserve">          6322 - EQUIPMENT DEPRECIATION EXPENSE</v>
      </c>
      <c r="C29" s="11"/>
      <c r="D29" s="6">
        <v>1000.95</v>
      </c>
      <c r="E29" s="2"/>
      <c r="F29" s="7">
        <f t="shared" si="16"/>
        <v>0</v>
      </c>
      <c r="G29" s="2"/>
      <c r="H29" s="6">
        <v>1001</v>
      </c>
      <c r="I29" s="2"/>
      <c r="J29" s="7">
        <f t="shared" si="17"/>
        <v>0</v>
      </c>
      <c r="K29" s="2"/>
      <c r="L29" s="6">
        <f t="shared" si="18"/>
        <v>-4.9999999999954525E-2</v>
      </c>
      <c r="M29" s="2"/>
      <c r="N29" s="7">
        <f t="shared" si="19"/>
        <v>-4.9950049950004522E-5</v>
      </c>
      <c r="O29" s="11"/>
      <c r="P29" s="6">
        <v>12010.96</v>
      </c>
      <c r="Q29" s="2"/>
      <c r="R29" s="7">
        <f t="shared" si="20"/>
        <v>0</v>
      </c>
      <c r="S29" s="2"/>
      <c r="T29" s="6">
        <v>12012</v>
      </c>
      <c r="U29" s="2"/>
      <c r="V29" s="7">
        <f t="shared" si="21"/>
        <v>0</v>
      </c>
      <c r="W29" s="2"/>
      <c r="X29" s="6">
        <f t="shared" si="22"/>
        <v>-1.0400000000008731</v>
      </c>
      <c r="Y29" s="2"/>
      <c r="Z29" s="7">
        <f t="shared" si="23"/>
        <v>-8.6580086580159262E-5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3"/>
      <c r="P30" s="1">
        <f>SUM(OSRRefP22_3x_0)</f>
        <v>455</v>
      </c>
      <c r="Q30" s="1"/>
      <c r="R30" s="5">
        <f t="shared" si="20"/>
        <v>0</v>
      </c>
      <c r="S30" s="1"/>
      <c r="T30" s="1">
        <f>SUM(OSRRefT22_3x_0)</f>
        <v>0</v>
      </c>
      <c r="U30" s="1"/>
      <c r="V30" s="5">
        <f t="shared" si="21"/>
        <v>0</v>
      </c>
      <c r="W30" s="1"/>
      <c r="X30" s="1">
        <f t="shared" si="22"/>
        <v>455</v>
      </c>
      <c r="Y30" s="1"/>
      <c r="Z30" s="5">
        <f t="shared" si="23"/>
        <v>0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>
        <v>455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455</v>
      </c>
      <c r="Y31" s="2"/>
      <c r="Z31" s="7">
        <f t="shared" si="23"/>
        <v>0</v>
      </c>
    </row>
    <row r="32" spans="1:26" s="27" customFormat="1" outlineLevel="1" collapsed="1" x14ac:dyDescent="0.25">
      <c r="A32" s="25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3"/>
      <c r="P32" s="1">
        <f>SUM(OSRRefP22_4x_0)</f>
        <v>242.03</v>
      </c>
      <c r="Q32" s="1"/>
      <c r="R32" s="5">
        <f t="shared" si="20"/>
        <v>0</v>
      </c>
      <c r="S32" s="1"/>
      <c r="T32" s="1">
        <f>SUM(OSRRefT22_4x_0)</f>
        <v>0</v>
      </c>
      <c r="U32" s="1"/>
      <c r="V32" s="5">
        <f t="shared" si="21"/>
        <v>0</v>
      </c>
      <c r="W32" s="1"/>
      <c r="X32" s="1">
        <f t="shared" si="22"/>
        <v>242.03</v>
      </c>
      <c r="Y32" s="1"/>
      <c r="Z32" s="5">
        <f t="shared" si="23"/>
        <v>0</v>
      </c>
    </row>
    <row r="33" spans="1:26" s="24" customFormat="1" hidden="1" outlineLevel="2" x14ac:dyDescent="0.25">
      <c r="A33" s="26"/>
      <c r="B33" s="11" t="str">
        <f>CONCATENATE("          ", "6373", " - ", "MAINTENANCE CONTRACTS")</f>
        <v xml:space="preserve">          6373 - MAINTENANCE CONTRACTS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235.8</v>
      </c>
      <c r="Q33" s="2"/>
      <c r="R33" s="7">
        <f t="shared" si="20"/>
        <v>0</v>
      </c>
      <c r="S33" s="2"/>
      <c r="T33" s="6"/>
      <c r="U33" s="2"/>
      <c r="V33" s="7">
        <f t="shared" si="21"/>
        <v>0</v>
      </c>
      <c r="W33" s="2"/>
      <c r="X33" s="6">
        <f t="shared" si="22"/>
        <v>235.8</v>
      </c>
      <c r="Y33" s="2"/>
      <c r="Z33" s="7">
        <f t="shared" si="23"/>
        <v>0</v>
      </c>
    </row>
    <row r="34" spans="1:26" s="24" customFormat="1" hidden="1" outlineLevel="2" x14ac:dyDescent="0.25">
      <c r="A34" s="26"/>
      <c r="B34" s="11" t="str">
        <f>CONCATENATE("          ", "6375", " - ", "OUTSIDE REPAIRS &amp; MAINTENANCE")</f>
        <v xml:space="preserve">          6375 - OUTSIDE REPAIRS &amp; MAINTENANCE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6.23</v>
      </c>
      <c r="Q34" s="2"/>
      <c r="R34" s="7">
        <f t="shared" si="20"/>
        <v>0</v>
      </c>
      <c r="S34" s="2"/>
      <c r="T34" s="6"/>
      <c r="U34" s="2"/>
      <c r="V34" s="7">
        <f t="shared" si="21"/>
        <v>0</v>
      </c>
      <c r="W34" s="2"/>
      <c r="X34" s="6">
        <f t="shared" si="22"/>
        <v>6.23</v>
      </c>
      <c r="Y34" s="2"/>
      <c r="Z34" s="7">
        <f t="shared" si="23"/>
        <v>0</v>
      </c>
    </row>
    <row r="35" spans="1:26" s="27" customFormat="1" outlineLevel="1" collapsed="1" x14ac:dyDescent="0.25">
      <c r="A35" s="25"/>
      <c r="B35" s="13" t="str">
        <f>CONCATENATE("     ","Telephone/Data Lines                              ")</f>
        <v xml:space="preserve">     Telephone/Data Lines                              </v>
      </c>
      <c r="C35" s="13"/>
      <c r="D35" s="1">
        <f>SUM(OSRRefD22_5x_0)</f>
        <v>0</v>
      </c>
      <c r="E35" s="1"/>
      <c r="F35" s="5">
        <f t="shared" ref="F35:F36" si="24">IF(D$12=0,0,D35/D$12)</f>
        <v>0</v>
      </c>
      <c r="G35" s="1"/>
      <c r="H35" s="1">
        <f>SUM(OSRRefH22_5x_0)</f>
        <v>0</v>
      </c>
      <c r="I35" s="1"/>
      <c r="J35" s="5">
        <f t="shared" ref="J35:J36" si="25">IF(H$12=0,0,H35/H$12)</f>
        <v>0</v>
      </c>
      <c r="K35" s="1"/>
      <c r="L35" s="1">
        <f t="shared" ref="L35:L36" si="26">+D35-H35</f>
        <v>0</v>
      </c>
      <c r="M35" s="1"/>
      <c r="N35" s="5">
        <f t="shared" ref="N35:N36" si="27">IF(H35=0,0,L35/H35)</f>
        <v>0</v>
      </c>
      <c r="O35" s="13"/>
      <c r="P35" s="1">
        <f>SUM(OSRRefP22_5x_0)</f>
        <v>132.54</v>
      </c>
      <c r="Q35" s="1"/>
      <c r="R35" s="5">
        <f t="shared" ref="R35:R36" si="28">IF(P$12=0,0,P35/P$12)</f>
        <v>0</v>
      </c>
      <c r="S35" s="1"/>
      <c r="T35" s="1">
        <f>SUM(OSRRefT22_5x_0)</f>
        <v>0</v>
      </c>
      <c r="U35" s="1"/>
      <c r="V35" s="5">
        <f t="shared" ref="V35:V36" si="29">IF(T$12=0,0,T35/T$12)</f>
        <v>0</v>
      </c>
      <c r="W35" s="1"/>
      <c r="X35" s="1">
        <f t="shared" ref="X35:X36" si="30">+P35-T35</f>
        <v>132.54</v>
      </c>
      <c r="Y35" s="1"/>
      <c r="Z35" s="5">
        <f t="shared" ref="Z35:Z36" si="31">IF(T35=0,0,X35/T35)</f>
        <v>0</v>
      </c>
    </row>
    <row r="36" spans="1:26" s="24" customFormat="1" hidden="1" outlineLevel="2" x14ac:dyDescent="0.25">
      <c r="A36" s="26"/>
      <c r="B36" s="11" t="str">
        <f>CONCATENATE("          ", "6309", " - ", "TELEPHONE")</f>
        <v xml:space="preserve">          6309 - TELEPHONE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>
        <v>132.54</v>
      </c>
      <c r="Q36" s="2"/>
      <c r="R36" s="7">
        <f t="shared" si="28"/>
        <v>0</v>
      </c>
      <c r="S36" s="2"/>
      <c r="T36" s="6"/>
      <c r="U36" s="2"/>
      <c r="V36" s="7">
        <f t="shared" si="29"/>
        <v>0</v>
      </c>
      <c r="W36" s="2"/>
      <c r="X36" s="6">
        <f t="shared" si="30"/>
        <v>132.54</v>
      </c>
      <c r="Y36" s="2"/>
      <c r="Z36" s="7">
        <f t="shared" si="31"/>
        <v>0</v>
      </c>
    </row>
    <row r="37" spans="1:26" s="61" customFormat="1" x14ac:dyDescent="0.25">
      <c r="A37" s="36"/>
      <c r="B37" s="36"/>
      <c r="C37" s="36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293</v>
      </c>
      <c r="C38" s="10"/>
      <c r="D38" s="4">
        <f>SUM(0)</f>
        <v>0</v>
      </c>
      <c r="E38" s="4"/>
      <c r="F38" s="12">
        <f>IF(D$12=0,0,D38/D$12)</f>
        <v>0</v>
      </c>
      <c r="G38" s="4"/>
      <c r="H38" s="4">
        <f>SUM(0)</f>
        <v>0</v>
      </c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>
        <f>SUM(0)</f>
        <v>0</v>
      </c>
      <c r="Q38" s="4"/>
      <c r="R38" s="12">
        <f>IF(P$12=0,0,P38/P$12)</f>
        <v>0</v>
      </c>
      <c r="S38" s="4"/>
      <c r="T38" s="4">
        <f>SUM(0)</f>
        <v>0</v>
      </c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8" t="s">
        <v>277</v>
      </c>
      <c r="C40" s="28"/>
      <c r="D40" s="20">
        <f>+D17-D19+D38</f>
        <v>-1000.95</v>
      </c>
      <c r="E40" s="14"/>
      <c r="F40" s="22">
        <f>IF(D$12=0,0,D40/D$12)</f>
        <v>0</v>
      </c>
      <c r="G40" s="14"/>
      <c r="H40" s="20">
        <f>+H17-H19+H38</f>
        <v>-1001</v>
      </c>
      <c r="I40" s="14"/>
      <c r="J40" s="22">
        <f>IF(H$12=0,0,H40/H$12)</f>
        <v>0</v>
      </c>
      <c r="K40" s="16"/>
      <c r="L40" s="20">
        <f>+D40-H40</f>
        <v>4.9999999999954525E-2</v>
      </c>
      <c r="M40" s="16"/>
      <c r="N40" s="22">
        <f>IF(H40=0,0,L40/H40)</f>
        <v>-4.9950049950004522E-5</v>
      </c>
      <c r="O40" s="29"/>
      <c r="P40" s="20">
        <f>+P17-P19+P38</f>
        <v>-9046.24</v>
      </c>
      <c r="Q40" s="14"/>
      <c r="R40" s="22">
        <f>IF(P$12=0,0,P40/P$12)</f>
        <v>0</v>
      </c>
      <c r="S40" s="14"/>
      <c r="T40" s="20">
        <f>+T17-T19+T38</f>
        <v>-12012</v>
      </c>
      <c r="U40" s="14"/>
      <c r="V40" s="22">
        <f>IF(T$12=0,0,T40/T$12)</f>
        <v>0</v>
      </c>
      <c r="W40" s="16"/>
      <c r="X40" s="20">
        <f>+P40-T40</f>
        <v>2965.76</v>
      </c>
      <c r="Y40" s="16"/>
      <c r="Z40" s="22">
        <f>IF(T40=0,0,X40/T40)</f>
        <v>-0.24689976689976692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52"/>
      <c r="B42" s="10" t="s">
        <v>128</v>
      </c>
      <c r="C42" s="10"/>
      <c r="D42" s="4"/>
      <c r="E42" s="4"/>
      <c r="F42" s="12">
        <f>IF(D$12=0,0,D42/D$12)</f>
        <v>0</v>
      </c>
      <c r="G42" s="4"/>
      <c r="H42" s="4"/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/>
      <c r="Q42" s="4"/>
      <c r="R42" s="12">
        <f>IF(P$12=0,0,P42/P$12)</f>
        <v>0</v>
      </c>
      <c r="S42" s="4"/>
      <c r="T42" s="4"/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126</v>
      </c>
      <c r="C44" s="28"/>
      <c r="D44" s="34">
        <f>+D40-D42</f>
        <v>-1000.95</v>
      </c>
      <c r="E44" s="14"/>
      <c r="F44" s="35">
        <f>IF(D$12=0,0,D44/D$12)</f>
        <v>0</v>
      </c>
      <c r="G44" s="14"/>
      <c r="H44" s="34">
        <f>+H40-H42</f>
        <v>-1001</v>
      </c>
      <c r="I44" s="14"/>
      <c r="J44" s="35">
        <f>IF(H$12=0,0,H44/H$12)</f>
        <v>0</v>
      </c>
      <c r="K44" s="16"/>
      <c r="L44" s="34">
        <f>D44-H44</f>
        <v>4.9999999999954525E-2</v>
      </c>
      <c r="M44" s="16"/>
      <c r="N44" s="35">
        <f>IF(H44=0,0,L44/H44)</f>
        <v>-4.9950049950004522E-5</v>
      </c>
      <c r="O44" s="29"/>
      <c r="P44" s="34">
        <f>+P40-P42</f>
        <v>-9046.24</v>
      </c>
      <c r="Q44" s="14"/>
      <c r="R44" s="35">
        <f>IF(P$12=0,0,P44/P$12)</f>
        <v>0</v>
      </c>
      <c r="S44" s="14"/>
      <c r="T44" s="34">
        <f>+T40-T42</f>
        <v>-12012</v>
      </c>
      <c r="U44" s="14"/>
      <c r="V44" s="35">
        <f>IF(T$12=0,0,T44/T$12)</f>
        <v>0</v>
      </c>
      <c r="W44" s="16"/>
      <c r="X44" s="34">
        <f>P44-T44</f>
        <v>2965.76</v>
      </c>
      <c r="Y44" s="16"/>
      <c r="Z44" s="35">
        <f>IF(T44=0,0,X44/T44)</f>
        <v>-0.24689976689976692</v>
      </c>
    </row>
    <row r="45" spans="1:26" ht="15.75" thickTop="1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294</v>
      </c>
      <c r="C47" s="28"/>
      <c r="D47" s="33">
        <f>SUM(D44:D46)</f>
        <v>-1000.95</v>
      </c>
      <c r="E47" s="14"/>
      <c r="F47" s="31">
        <f>IF(D$12=0,0,D47/D$12)</f>
        <v>0</v>
      </c>
      <c r="G47" s="14"/>
      <c r="H47" s="33">
        <f>SUM(H44:H46)</f>
        <v>-1001</v>
      </c>
      <c r="I47" s="14"/>
      <c r="J47" s="31">
        <f>IF(H$12=0,0,H47/H$12)</f>
        <v>0</v>
      </c>
      <c r="K47" s="16"/>
      <c r="L47" s="33">
        <f>+D47-H47</f>
        <v>4.9999999999954525E-2</v>
      </c>
      <c r="M47" s="16"/>
      <c r="N47" s="31">
        <f>IF(H47=0,0,L47/H47)</f>
        <v>-4.9950049950004522E-5</v>
      </c>
      <c r="O47" s="29"/>
      <c r="P47" s="33">
        <f>SUM(P44:P46)</f>
        <v>-9046.24</v>
      </c>
      <c r="Q47" s="14"/>
      <c r="R47" s="31">
        <f>IF(P$12=0,0,P47/P$12)</f>
        <v>0</v>
      </c>
      <c r="S47" s="14"/>
      <c r="T47" s="33">
        <f>SUM(T44:T46)</f>
        <v>-12012</v>
      </c>
      <c r="U47" s="14"/>
      <c r="V47" s="31">
        <f>IF(T$12=0,0,T47/T$12)</f>
        <v>0</v>
      </c>
      <c r="W47" s="16"/>
      <c r="X47" s="33">
        <f>+P47-T47</f>
        <v>2965.76</v>
      </c>
      <c r="Y47" s="16"/>
      <c r="Z47" s="31">
        <f>IF(T47=0,0,X47/T47)</f>
        <v>-0.24689976689976692</v>
      </c>
    </row>
    <row r="48" spans="1:26" ht="15.75" thickTop="1" x14ac:dyDescent="0.25">
      <c r="A48" s="9"/>
      <c r="C48" s="9"/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56">
        <v>44454.686112384261</v>
      </c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A50" s="9"/>
      <c r="B50" s="55" t="s">
        <v>56</v>
      </c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  <row r="51" spans="1:24" x14ac:dyDescent="0.25">
      <c r="A51" s="9"/>
      <c r="B51" s="63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4" x14ac:dyDescent="0.25"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30111.4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30111.4</v>
      </c>
      <c r="M12" s="4"/>
      <c r="N12" s="12">
        <f t="shared" ref="N12:N16" si="1">IF(H12=0,0,L12/H12)</f>
        <v>0</v>
      </c>
      <c r="O12" s="10"/>
      <c r="P12" s="4">
        <f>SUM(OSRRefP13x_0)</f>
        <v>1021996</v>
      </c>
      <c r="Q12" s="4"/>
      <c r="R12" s="12"/>
      <c r="S12" s="4"/>
      <c r="T12" s="4">
        <f>SUM(OSRRefT13x_0)</f>
        <v>3936272</v>
      </c>
      <c r="U12" s="4"/>
      <c r="V12" s="12"/>
      <c r="W12" s="4"/>
      <c r="X12" s="4">
        <f t="shared" ref="X12:X16" si="2">+P12-T12</f>
        <v>-2914276</v>
      </c>
      <c r="Y12" s="4"/>
      <c r="Z12" s="12">
        <f t="shared" ref="Z12:Z16" si="3">IF(T12=0,0,X12/T12)</f>
        <v>-0.74036448700699542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--10.83</f>
        <v>10.83</v>
      </c>
      <c r="E13" s="2"/>
      <c r="F13" s="19"/>
      <c r="G13" s="2"/>
      <c r="H13" s="2"/>
      <c r="I13" s="2"/>
      <c r="J13" s="19"/>
      <c r="K13" s="2"/>
      <c r="L13" s="2">
        <f t="shared" si="0"/>
        <v>10.83</v>
      </c>
      <c r="M13" s="2"/>
      <c r="N13" s="19">
        <f t="shared" si="1"/>
        <v>0</v>
      </c>
      <c r="O13" s="11"/>
      <c r="P13" s="2">
        <f>--1117.39</f>
        <v>1117.3900000000001</v>
      </c>
      <c r="Q13" s="2"/>
      <c r="R13" s="19"/>
      <c r="S13" s="2"/>
      <c r="T13" s="2"/>
      <c r="U13" s="2"/>
      <c r="V13" s="19"/>
      <c r="W13" s="2"/>
      <c r="X13" s="2">
        <f t="shared" si="2"/>
        <v>1117.3900000000001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3936272</v>
      </c>
      <c r="U14" s="2"/>
      <c r="V14" s="19"/>
      <c r="W14" s="2"/>
      <c r="X14" s="2">
        <f t="shared" si="2"/>
        <v>-3936272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--27599</f>
        <v>27599</v>
      </c>
      <c r="E15" s="2"/>
      <c r="F15" s="19"/>
      <c r="G15" s="2"/>
      <c r="H15" s="2"/>
      <c r="I15" s="2"/>
      <c r="J15" s="19"/>
      <c r="K15" s="2"/>
      <c r="L15" s="2">
        <f t="shared" si="0"/>
        <v>27599</v>
      </c>
      <c r="M15" s="2"/>
      <c r="N15" s="19">
        <f t="shared" si="1"/>
        <v>0</v>
      </c>
      <c r="O15" s="11"/>
      <c r="P15" s="2">
        <f>--968042.72</f>
        <v>968042.72</v>
      </c>
      <c r="Q15" s="2"/>
      <c r="R15" s="19"/>
      <c r="S15" s="2"/>
      <c r="T15" s="2"/>
      <c r="U15" s="2"/>
      <c r="V15" s="19"/>
      <c r="W15" s="2"/>
      <c r="X15" s="2">
        <f t="shared" si="2"/>
        <v>968042.72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--2501.57</f>
        <v>2501.5700000000002</v>
      </c>
      <c r="E16" s="2"/>
      <c r="F16" s="19"/>
      <c r="G16" s="2"/>
      <c r="H16" s="2"/>
      <c r="I16" s="2"/>
      <c r="J16" s="19"/>
      <c r="K16" s="2"/>
      <c r="L16" s="2">
        <f t="shared" si="0"/>
        <v>2501.5700000000002</v>
      </c>
      <c r="M16" s="2"/>
      <c r="N16" s="19">
        <f t="shared" si="1"/>
        <v>0</v>
      </c>
      <c r="O16" s="11"/>
      <c r="P16" s="2">
        <f>--52835.89</f>
        <v>52835.89</v>
      </c>
      <c r="Q16" s="2"/>
      <c r="R16" s="19"/>
      <c r="S16" s="2"/>
      <c r="T16" s="2"/>
      <c r="U16" s="2"/>
      <c r="V16" s="19"/>
      <c r="W16" s="2"/>
      <c r="X16" s="2">
        <f t="shared" si="2"/>
        <v>52835.89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19817.82</v>
      </c>
      <c r="E18" s="4"/>
      <c r="F18" s="12">
        <f t="shared" ref="F18:F21" si="4">IF(D$12=0,0,D18/D$12)</f>
        <v>0.65815006940892817</v>
      </c>
      <c r="G18" s="4"/>
      <c r="H18" s="4">
        <f>SUM(OSRRefH16x_0)</f>
        <v>0</v>
      </c>
      <c r="I18" s="4"/>
      <c r="J18" s="12">
        <f t="shared" ref="J18:J21" si="5">IF(H$12=0,0,H18/H$12)</f>
        <v>0</v>
      </c>
      <c r="K18" s="4"/>
      <c r="L18" s="4">
        <f t="shared" ref="L18:L21" si="6">+D18-H18</f>
        <v>19817.82</v>
      </c>
      <c r="M18" s="4"/>
      <c r="N18" s="12">
        <f t="shared" ref="N18:N21" si="7">IF(H18=0,0,L18/H18)</f>
        <v>0</v>
      </c>
      <c r="O18" s="10"/>
      <c r="P18" s="4">
        <f>SUM(OSRRefP16x_0)</f>
        <v>460889.79</v>
      </c>
      <c r="Q18" s="4"/>
      <c r="R18" s="12">
        <f t="shared" ref="R18:R21" si="8">IF(P$12=0,0,P18/P$12)</f>
        <v>0.45097024841584504</v>
      </c>
      <c r="S18" s="4"/>
      <c r="T18" s="4">
        <f>SUM(OSRRefT16x_0)</f>
        <v>1064271</v>
      </c>
      <c r="U18" s="4"/>
      <c r="V18" s="12">
        <f t="shared" ref="V18:V21" si="9">IF(T$12=0,0,T18/T$12)</f>
        <v>0.27037537040123244</v>
      </c>
      <c r="W18" s="4"/>
      <c r="X18" s="4">
        <f t="shared" ref="X18:X21" si="10">+P18-T18</f>
        <v>-603381.21</v>
      </c>
      <c r="Y18" s="4"/>
      <c r="Z18" s="12">
        <f t="shared" ref="Z18:Z21" si="11">IF(T18=0,0,X18/T18)</f>
        <v>-0.56694320337583193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0</v>
      </c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/>
      <c r="Q19" s="2"/>
      <c r="R19" s="19">
        <f t="shared" si="8"/>
        <v>0</v>
      </c>
      <c r="S19" s="2"/>
      <c r="T19" s="2">
        <v>1064271</v>
      </c>
      <c r="U19" s="2"/>
      <c r="V19" s="19">
        <f t="shared" si="9"/>
        <v>0.27037537040123244</v>
      </c>
      <c r="W19" s="2"/>
      <c r="X19" s="2">
        <f t="shared" si="10"/>
        <v>-1064271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14888.82</v>
      </c>
      <c r="E20" s="2"/>
      <c r="F20" s="19">
        <f t="shared" si="4"/>
        <v>0.49445791294991265</v>
      </c>
      <c r="G20" s="2"/>
      <c r="H20" s="2"/>
      <c r="I20" s="2"/>
      <c r="J20" s="19">
        <f t="shared" si="5"/>
        <v>0</v>
      </c>
      <c r="K20" s="2"/>
      <c r="L20" s="2">
        <f t="shared" si="6"/>
        <v>14888.82</v>
      </c>
      <c r="M20" s="2"/>
      <c r="N20" s="19">
        <f t="shared" si="7"/>
        <v>0</v>
      </c>
      <c r="O20" s="11"/>
      <c r="P20" s="2">
        <v>458637.49</v>
      </c>
      <c r="Q20" s="2"/>
      <c r="R20" s="19">
        <f t="shared" si="8"/>
        <v>0.44876642374334147</v>
      </c>
      <c r="S20" s="2"/>
      <c r="T20" s="2"/>
      <c r="U20" s="2"/>
      <c r="V20" s="19">
        <f t="shared" si="9"/>
        <v>0</v>
      </c>
      <c r="W20" s="2"/>
      <c r="X20" s="2">
        <f t="shared" si="10"/>
        <v>458637.49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4929</v>
      </c>
      <c r="E21" s="2"/>
      <c r="F21" s="19">
        <f t="shared" si="4"/>
        <v>0.16369215645901553</v>
      </c>
      <c r="G21" s="2"/>
      <c r="H21" s="2"/>
      <c r="I21" s="2"/>
      <c r="J21" s="19">
        <f t="shared" si="5"/>
        <v>0</v>
      </c>
      <c r="K21" s="2"/>
      <c r="L21" s="2">
        <f t="shared" si="6"/>
        <v>4929</v>
      </c>
      <c r="M21" s="2"/>
      <c r="N21" s="19">
        <f t="shared" si="7"/>
        <v>0</v>
      </c>
      <c r="O21" s="11"/>
      <c r="P21" s="2">
        <v>2252.3000000000002</v>
      </c>
      <c r="Q21" s="2"/>
      <c r="R21" s="19">
        <f t="shared" si="8"/>
        <v>2.2038246725036106E-3</v>
      </c>
      <c r="S21" s="2"/>
      <c r="T21" s="2"/>
      <c r="U21" s="2"/>
      <c r="V21" s="19">
        <f t="shared" si="9"/>
        <v>0</v>
      </c>
      <c r="W21" s="2"/>
      <c r="X21" s="2">
        <f t="shared" si="10"/>
        <v>2252.3000000000002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10293.580000000002</v>
      </c>
      <c r="E23" s="14"/>
      <c r="F23" s="22">
        <f>IF(D$12=0,0,D23/D$12)</f>
        <v>0.34184993059107188</v>
      </c>
      <c r="G23" s="14"/>
      <c r="H23" s="20">
        <f>H12-H18</f>
        <v>0</v>
      </c>
      <c r="I23" s="14"/>
      <c r="J23" s="22">
        <f>IF(H$12=0,0,H23/H$12)</f>
        <v>0</v>
      </c>
      <c r="K23" s="16"/>
      <c r="L23" s="20">
        <f>+D23-H23</f>
        <v>10293.580000000002</v>
      </c>
      <c r="M23" s="16"/>
      <c r="N23" s="22">
        <f>IF(H23=0,0,L23/H23)</f>
        <v>0</v>
      </c>
      <c r="O23" s="29"/>
      <c r="P23" s="20">
        <f>P12-P18</f>
        <v>561106.21</v>
      </c>
      <c r="Q23" s="14"/>
      <c r="R23" s="22">
        <f>IF(P$12=0,0,P23/P$12)</f>
        <v>0.5490297515841549</v>
      </c>
      <c r="S23" s="14"/>
      <c r="T23" s="20">
        <f>T12-T18</f>
        <v>2872001</v>
      </c>
      <c r="U23" s="14"/>
      <c r="V23" s="22">
        <f>IF(T$12=0,0,T23/T$12)</f>
        <v>0.72962462959876762</v>
      </c>
      <c r="W23" s="16"/>
      <c r="X23" s="20">
        <f>+P23-T23</f>
        <v>-2310894.79</v>
      </c>
      <c r="Y23" s="16"/>
      <c r="Z23" s="22">
        <f>IF(T23=0,0,X23/T23)</f>
        <v>-0.80462882498996346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186453.34</v>
      </c>
      <c r="E25" s="21"/>
      <c r="F25" s="30">
        <f t="shared" ref="F25:F36" si="12">IF(D$12=0,0,D25/D$12)</f>
        <v>6.1921179353998816</v>
      </c>
      <c r="G25" s="21"/>
      <c r="H25" s="21">
        <f>SUM(OSRRefH22x_0)</f>
        <v>246610.45929112611</v>
      </c>
      <c r="I25" s="21"/>
      <c r="J25" s="30">
        <f t="shared" ref="J25:J36" si="13">IF(H$12=0,0,H25/H$12)</f>
        <v>0</v>
      </c>
      <c r="K25" s="4"/>
      <c r="L25" s="21">
        <f t="shared" ref="L25:L36" si="14">+D25-H25</f>
        <v>-60157.119291126117</v>
      </c>
      <c r="M25" s="4"/>
      <c r="N25" s="30">
        <f t="shared" ref="N25:N36" si="15">IF(H25=0,0,L25/H25)</f>
        <v>-0.24393579844117655</v>
      </c>
      <c r="O25" s="10"/>
      <c r="P25" s="21">
        <f>SUM(OSRRefP22x_0)</f>
        <v>2654253.1099999994</v>
      </c>
      <c r="Q25" s="21"/>
      <c r="R25" s="30">
        <f t="shared" ref="R25:R36" si="16">IF(P$12=0,0,P25/P$12)</f>
        <v>2.5971267108677525</v>
      </c>
      <c r="S25" s="21"/>
      <c r="T25" s="21">
        <f>SUM(OSRRefT22x_0)</f>
        <v>4275504.6328406399</v>
      </c>
      <c r="U25" s="21"/>
      <c r="V25" s="30">
        <f t="shared" ref="V25:V36" si="17">IF(T$12=0,0,T25/T$12)</f>
        <v>1.0861811970414239</v>
      </c>
      <c r="W25" s="4"/>
      <c r="X25" s="21">
        <f t="shared" ref="X25:X36" si="18">+P25-T25</f>
        <v>-1621251.5228406405</v>
      </c>
      <c r="Y25" s="4"/>
      <c r="Z25" s="30">
        <f t="shared" ref="Z25:Z36" si="19">IF(T25=0,0,X25/T25)</f>
        <v>-0.37919536103121543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74650.010000000009</v>
      </c>
      <c r="E26" s="1"/>
      <c r="F26" s="5">
        <f t="shared" si="12"/>
        <v>2.4791278386259026</v>
      </c>
      <c r="G26" s="1"/>
      <c r="H26" s="1">
        <f>SUM(OSRRefH22_0x_0)</f>
        <v>93979.287832664646</v>
      </c>
      <c r="I26" s="1"/>
      <c r="J26" s="5">
        <f t="shared" si="13"/>
        <v>0</v>
      </c>
      <c r="K26" s="1"/>
      <c r="L26" s="1">
        <f t="shared" si="14"/>
        <v>-19329.277832664637</v>
      </c>
      <c r="M26" s="1"/>
      <c r="N26" s="5">
        <f t="shared" si="15"/>
        <v>-0.20567593433014189</v>
      </c>
      <c r="O26" s="13"/>
      <c r="P26" s="1">
        <f>SUM(OSRRefP22_0x_0)</f>
        <v>923533.87</v>
      </c>
      <c r="Q26" s="1"/>
      <c r="R26" s="5">
        <f t="shared" si="16"/>
        <v>0.90365702996880615</v>
      </c>
      <c r="S26" s="1"/>
      <c r="T26" s="1">
        <f>SUM(OSRRefT22_0x_0)</f>
        <v>1240494.4290406399</v>
      </c>
      <c r="U26" s="1"/>
      <c r="V26" s="5">
        <f t="shared" si="17"/>
        <v>0.31514448926309968</v>
      </c>
      <c r="W26" s="1"/>
      <c r="X26" s="1">
        <f t="shared" si="18"/>
        <v>-316960.5590406399</v>
      </c>
      <c r="Y26" s="1"/>
      <c r="Z26" s="5">
        <f t="shared" si="19"/>
        <v>-0.25551147318393636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6728.86</v>
      </c>
      <c r="E27" s="2"/>
      <c r="F27" s="7">
        <f t="shared" si="12"/>
        <v>0.2234655313270057</v>
      </c>
      <c r="G27" s="2"/>
      <c r="H27" s="6">
        <v>9428.4270523569194</v>
      </c>
      <c r="I27" s="2"/>
      <c r="J27" s="7">
        <f t="shared" si="13"/>
        <v>0</v>
      </c>
      <c r="K27" s="2"/>
      <c r="L27" s="6">
        <f t="shared" si="14"/>
        <v>-2699.5670523569197</v>
      </c>
      <c r="M27" s="2"/>
      <c r="N27" s="7">
        <f t="shared" si="15"/>
        <v>-0.28632210201828751</v>
      </c>
      <c r="O27" s="11"/>
      <c r="P27" s="6">
        <v>96017.37</v>
      </c>
      <c r="Q27" s="2"/>
      <c r="R27" s="7">
        <f t="shared" si="16"/>
        <v>9.3950827596194109E-2</v>
      </c>
      <c r="S27" s="2"/>
      <c r="T27" s="6">
        <v>128734.88501064001</v>
      </c>
      <c r="U27" s="2"/>
      <c r="V27" s="7">
        <f t="shared" si="17"/>
        <v>3.2704773707365756E-2</v>
      </c>
      <c r="W27" s="2"/>
      <c r="X27" s="6">
        <f t="shared" si="18"/>
        <v>-32717.515010640011</v>
      </c>
      <c r="Y27" s="2"/>
      <c r="Z27" s="7">
        <f t="shared" si="19"/>
        <v>-0.25414645772150951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3759.81</v>
      </c>
      <c r="E28" s="2"/>
      <c r="F28" s="7">
        <f t="shared" si="12"/>
        <v>0.12486334079451636</v>
      </c>
      <c r="G28" s="2"/>
      <c r="H28" s="6">
        <v>5285.2413503999996</v>
      </c>
      <c r="I28" s="2"/>
      <c r="J28" s="7">
        <f t="shared" si="13"/>
        <v>0</v>
      </c>
      <c r="K28" s="2"/>
      <c r="L28" s="6">
        <f t="shared" si="14"/>
        <v>-1525.4313503999997</v>
      </c>
      <c r="M28" s="2"/>
      <c r="N28" s="7">
        <f t="shared" si="15"/>
        <v>-0.28862094448809822</v>
      </c>
      <c r="O28" s="11"/>
      <c r="P28" s="6">
        <v>59067.74</v>
      </c>
      <c r="Q28" s="2"/>
      <c r="R28" s="7">
        <f t="shared" si="16"/>
        <v>5.7796449301171428E-2</v>
      </c>
      <c r="S28" s="2"/>
      <c r="T28" s="6">
        <v>88867.361153999998</v>
      </c>
      <c r="U28" s="2"/>
      <c r="V28" s="7">
        <f t="shared" si="17"/>
        <v>2.2576529557408635E-2</v>
      </c>
      <c r="W28" s="2"/>
      <c r="X28" s="6">
        <f t="shared" si="18"/>
        <v>-29799.621154</v>
      </c>
      <c r="Y28" s="2"/>
      <c r="Z28" s="7">
        <f t="shared" si="19"/>
        <v>-0.33532694981636341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44827.15</v>
      </c>
      <c r="E29" s="2"/>
      <c r="F29" s="7">
        <f t="shared" si="12"/>
        <v>1.4887102559163639</v>
      </c>
      <c r="G29" s="2"/>
      <c r="H29" s="6">
        <v>59594.230769230802</v>
      </c>
      <c r="I29" s="2"/>
      <c r="J29" s="7">
        <f t="shared" si="13"/>
        <v>0</v>
      </c>
      <c r="K29" s="2"/>
      <c r="L29" s="6">
        <f t="shared" si="14"/>
        <v>-14767.080769230801</v>
      </c>
      <c r="M29" s="2"/>
      <c r="N29" s="7">
        <f t="shared" si="15"/>
        <v>-0.24779379779921948</v>
      </c>
      <c r="O29" s="11"/>
      <c r="P29" s="6">
        <v>538344.89</v>
      </c>
      <c r="Q29" s="2"/>
      <c r="R29" s="7">
        <f t="shared" si="16"/>
        <v>0.52675831412256013</v>
      </c>
      <c r="S29" s="2"/>
      <c r="T29" s="6">
        <v>755520</v>
      </c>
      <c r="U29" s="2"/>
      <c r="V29" s="7">
        <f t="shared" si="17"/>
        <v>0.19193795550713974</v>
      </c>
      <c r="W29" s="2"/>
      <c r="X29" s="6">
        <f t="shared" si="18"/>
        <v>-217175.11</v>
      </c>
      <c r="Y29" s="2"/>
      <c r="Z29" s="7">
        <f t="shared" si="19"/>
        <v>-0.28745117270224479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227.86</v>
      </c>
      <c r="E30" s="2"/>
      <c r="F30" s="7">
        <f t="shared" si="12"/>
        <v>7.5672336722968714E-3</v>
      </c>
      <c r="G30" s="2"/>
      <c r="H30" s="6">
        <v>320.31765760000002</v>
      </c>
      <c r="I30" s="2"/>
      <c r="J30" s="7">
        <f t="shared" si="13"/>
        <v>0</v>
      </c>
      <c r="K30" s="2"/>
      <c r="L30" s="6">
        <f t="shared" si="14"/>
        <v>-92.457657600000005</v>
      </c>
      <c r="M30" s="2"/>
      <c r="N30" s="7">
        <f t="shared" si="15"/>
        <v>-0.28864364922229002</v>
      </c>
      <c r="O30" s="11"/>
      <c r="P30" s="6">
        <v>3668.27</v>
      </c>
      <c r="Q30" s="2"/>
      <c r="R30" s="7">
        <f t="shared" si="16"/>
        <v>3.589319331973902E-3</v>
      </c>
      <c r="S30" s="2"/>
      <c r="T30" s="6">
        <v>5385.9006760000002</v>
      </c>
      <c r="U30" s="2"/>
      <c r="V30" s="7">
        <f t="shared" si="17"/>
        <v>1.3682745186308263E-3</v>
      </c>
      <c r="W30" s="2"/>
      <c r="X30" s="6">
        <f t="shared" si="18"/>
        <v>-1717.6306760000002</v>
      </c>
      <c r="Y30" s="2"/>
      <c r="Z30" s="7">
        <f t="shared" si="19"/>
        <v>-0.31891243068293079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5391.44</v>
      </c>
      <c r="E31" s="2"/>
      <c r="F31" s="7">
        <f t="shared" si="12"/>
        <v>0.17904979509421678</v>
      </c>
      <c r="G31" s="2"/>
      <c r="H31" s="6">
        <v>4603.1433846153896</v>
      </c>
      <c r="I31" s="2"/>
      <c r="J31" s="7">
        <f t="shared" si="13"/>
        <v>0</v>
      </c>
      <c r="K31" s="2"/>
      <c r="L31" s="6">
        <f t="shared" si="14"/>
        <v>788.29661538461005</v>
      </c>
      <c r="M31" s="2"/>
      <c r="N31" s="7">
        <f t="shared" si="15"/>
        <v>0.17125180545521401</v>
      </c>
      <c r="O31" s="11"/>
      <c r="P31" s="6">
        <v>48724.45</v>
      </c>
      <c r="Q31" s="2"/>
      <c r="R31" s="7">
        <f t="shared" si="16"/>
        <v>4.7675773682088772E-2</v>
      </c>
      <c r="S31" s="2"/>
      <c r="T31" s="6">
        <v>59840.864000000103</v>
      </c>
      <c r="U31" s="2"/>
      <c r="V31" s="7">
        <f t="shared" si="17"/>
        <v>1.5202420970908541E-2</v>
      </c>
      <c r="W31" s="2"/>
      <c r="X31" s="6">
        <f t="shared" si="18"/>
        <v>-11116.414000000106</v>
      </c>
      <c r="Y31" s="2"/>
      <c r="Z31" s="7">
        <f t="shared" si="19"/>
        <v>-0.18576626834799856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1294.78</v>
      </c>
      <c r="E33" s="2"/>
      <c r="F33" s="7">
        <f t="shared" si="12"/>
        <v>4.2999661257862469E-2</v>
      </c>
      <c r="G33" s="2"/>
      <c r="H33" s="6"/>
      <c r="I33" s="2"/>
      <c r="J33" s="7">
        <f t="shared" si="13"/>
        <v>0</v>
      </c>
      <c r="K33" s="2"/>
      <c r="L33" s="6">
        <f t="shared" si="14"/>
        <v>1294.78</v>
      </c>
      <c r="M33" s="2"/>
      <c r="N33" s="7">
        <f t="shared" si="15"/>
        <v>0</v>
      </c>
      <c r="O33" s="11"/>
      <c r="P33" s="6">
        <v>18126.740000000002</v>
      </c>
      <c r="Q33" s="2"/>
      <c r="R33" s="7">
        <f t="shared" si="16"/>
        <v>1.7736605622722595E-2</v>
      </c>
      <c r="S33" s="2"/>
      <c r="T33" s="6"/>
      <c r="U33" s="2"/>
      <c r="V33" s="7">
        <f t="shared" si="17"/>
        <v>0</v>
      </c>
      <c r="W33" s="2"/>
      <c r="X33" s="6">
        <f t="shared" si="18"/>
        <v>18126.740000000002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5963.56</v>
      </c>
      <c r="E34" s="2"/>
      <c r="F34" s="7">
        <f t="shared" si="12"/>
        <v>0.19804990800826267</v>
      </c>
      <c r="G34" s="2"/>
      <c r="H34" s="6">
        <v>6756.0878769230803</v>
      </c>
      <c r="I34" s="2"/>
      <c r="J34" s="7">
        <f t="shared" si="13"/>
        <v>0</v>
      </c>
      <c r="K34" s="2"/>
      <c r="L34" s="6">
        <f t="shared" si="14"/>
        <v>-792.52787692307993</v>
      </c>
      <c r="M34" s="2"/>
      <c r="N34" s="7">
        <f t="shared" si="15"/>
        <v>-0.11730573837414623</v>
      </c>
      <c r="O34" s="11"/>
      <c r="P34" s="6">
        <v>78998.289999999994</v>
      </c>
      <c r="Q34" s="2"/>
      <c r="R34" s="7">
        <f t="shared" si="16"/>
        <v>7.7298042262396324E-2</v>
      </c>
      <c r="S34" s="2"/>
      <c r="T34" s="6">
        <v>87829.142399999997</v>
      </c>
      <c r="U34" s="2"/>
      <c r="V34" s="7">
        <f t="shared" si="17"/>
        <v>2.2312772694569886E-2</v>
      </c>
      <c r="W34" s="2"/>
      <c r="X34" s="6">
        <f t="shared" si="18"/>
        <v>-8830.8524000000034</v>
      </c>
      <c r="Y34" s="2"/>
      <c r="Z34" s="7">
        <f t="shared" si="19"/>
        <v>-0.10054581154603194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3877.69</v>
      </c>
      <c r="E35" s="2"/>
      <c r="F35" s="7">
        <f t="shared" si="12"/>
        <v>0.1287781371839237</v>
      </c>
      <c r="G35" s="2"/>
      <c r="H35" s="6">
        <v>4316.8397415384597</v>
      </c>
      <c r="I35" s="2"/>
      <c r="J35" s="7">
        <f t="shared" si="13"/>
        <v>0</v>
      </c>
      <c r="K35" s="2"/>
      <c r="L35" s="6">
        <f t="shared" si="14"/>
        <v>-439.14974153845969</v>
      </c>
      <c r="M35" s="2"/>
      <c r="N35" s="7">
        <f t="shared" si="15"/>
        <v>-0.10172945206021315</v>
      </c>
      <c r="O35" s="11"/>
      <c r="P35" s="6">
        <v>53169.45</v>
      </c>
      <c r="Q35" s="2"/>
      <c r="R35" s="7">
        <f t="shared" si="16"/>
        <v>5.202510577340811E-2</v>
      </c>
      <c r="S35" s="2"/>
      <c r="T35" s="6">
        <v>70216.275800000003</v>
      </c>
      <c r="U35" s="2"/>
      <c r="V35" s="7">
        <f t="shared" si="17"/>
        <v>1.78382682395932E-2</v>
      </c>
      <c r="W35" s="2"/>
      <c r="X35" s="6">
        <f t="shared" si="18"/>
        <v>-17046.825800000006</v>
      </c>
      <c r="Y35" s="2"/>
      <c r="Z35" s="7">
        <f t="shared" si="19"/>
        <v>-0.2427759889823152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2578.86</v>
      </c>
      <c r="E36" s="2"/>
      <c r="F36" s="7">
        <f t="shared" si="12"/>
        <v>8.5643975371454004E-2</v>
      </c>
      <c r="G36" s="2"/>
      <c r="H36" s="6">
        <v>3675</v>
      </c>
      <c r="I36" s="2"/>
      <c r="J36" s="7">
        <f t="shared" si="13"/>
        <v>0</v>
      </c>
      <c r="K36" s="2"/>
      <c r="L36" s="6">
        <f t="shared" si="14"/>
        <v>-1096.1399999999999</v>
      </c>
      <c r="M36" s="2"/>
      <c r="N36" s="7">
        <f t="shared" si="15"/>
        <v>-0.29826938775510203</v>
      </c>
      <c r="O36" s="11"/>
      <c r="P36" s="6">
        <v>27416.67</v>
      </c>
      <c r="Q36" s="2"/>
      <c r="R36" s="7">
        <f t="shared" si="16"/>
        <v>2.6826592276290709E-2</v>
      </c>
      <c r="S36" s="2"/>
      <c r="T36" s="6">
        <v>44100</v>
      </c>
      <c r="U36" s="2"/>
      <c r="V36" s="7">
        <f t="shared" si="17"/>
        <v>1.1203494067483142E-2</v>
      </c>
      <c r="W36" s="2"/>
      <c r="X36" s="6">
        <f t="shared" si="18"/>
        <v>-16683.330000000002</v>
      </c>
      <c r="Y36" s="2"/>
      <c r="Z36" s="7">
        <f t="shared" si="19"/>
        <v>-0.37830680272108846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74887.960000000006</v>
      </c>
      <c r="E37" s="1"/>
      <c r="F37" s="5">
        <f t="shared" ref="F37:F47" si="20">IF(D$12=0,0,D37/D$12)</f>
        <v>2.4870301613342458</v>
      </c>
      <c r="G37" s="1"/>
      <c r="H37" s="1">
        <f>SUM(OSRRefH22_1x_0)</f>
        <v>112222.1714584615</v>
      </c>
      <c r="I37" s="1"/>
      <c r="J37" s="5">
        <f t="shared" ref="J37:J47" si="21">IF(H$12=0,0,H37/H$12)</f>
        <v>0</v>
      </c>
      <c r="K37" s="1"/>
      <c r="L37" s="1">
        <f t="shared" ref="L37:L47" si="22">+D37-H37</f>
        <v>-37334.21145846149</v>
      </c>
      <c r="M37" s="1"/>
      <c r="N37" s="5">
        <f t="shared" ref="N37:N47" si="23">IF(H37=0,0,L37/H37)</f>
        <v>-0.33268124269258659</v>
      </c>
      <c r="O37" s="13"/>
      <c r="P37" s="1">
        <f>SUM(OSRRefP22_1x_0)</f>
        <v>1232994.53</v>
      </c>
      <c r="Q37" s="1"/>
      <c r="R37" s="5">
        <f t="shared" ref="R37:R47" si="24">IF(P$12=0,0,P37/P$12)</f>
        <v>1.20645729533188</v>
      </c>
      <c r="S37" s="1"/>
      <c r="T37" s="1">
        <f>SUM(OSRRefT22_1x_0)</f>
        <v>1919861.2038000003</v>
      </c>
      <c r="U37" s="1"/>
      <c r="V37" s="5">
        <f t="shared" ref="V37:V47" si="25">IF(T$12=0,0,T37/T$12)</f>
        <v>0.48773590945950895</v>
      </c>
      <c r="W37" s="1"/>
      <c r="X37" s="1">
        <f t="shared" ref="X37:X47" si="26">+P37-T37</f>
        <v>-686866.67380000022</v>
      </c>
      <c r="Y37" s="1"/>
      <c r="Z37" s="5">
        <f t="shared" ref="Z37:Z47" si="27">IF(T37=0,0,X37/T37)</f>
        <v>-0.35776892227442181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>
        <v>6271.67</v>
      </c>
      <c r="E38" s="2"/>
      <c r="F38" s="7">
        <f t="shared" si="20"/>
        <v>0.20828224526259156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6271.67</v>
      </c>
      <c r="M38" s="2"/>
      <c r="N38" s="7">
        <f t="shared" si="23"/>
        <v>0</v>
      </c>
      <c r="O38" s="11"/>
      <c r="P38" s="6">
        <v>106395.53</v>
      </c>
      <c r="Q38" s="2"/>
      <c r="R38" s="7">
        <f t="shared" si="24"/>
        <v>0.10410562272259383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106395.53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25713.03</v>
      </c>
      <c r="E39" s="2"/>
      <c r="F39" s="7">
        <f t="shared" si="20"/>
        <v>0.85393007299560952</v>
      </c>
      <c r="G39" s="2"/>
      <c r="H39" s="6">
        <v>48283.721538461497</v>
      </c>
      <c r="I39" s="2"/>
      <c r="J39" s="7">
        <f t="shared" si="21"/>
        <v>0</v>
      </c>
      <c r="K39" s="2"/>
      <c r="L39" s="6">
        <f t="shared" si="22"/>
        <v>-22570.691538461499</v>
      </c>
      <c r="M39" s="2"/>
      <c r="N39" s="7">
        <f t="shared" si="23"/>
        <v>-0.46745964932471706</v>
      </c>
      <c r="O39" s="11"/>
      <c r="P39" s="6">
        <v>342842.12</v>
      </c>
      <c r="Q39" s="2"/>
      <c r="R39" s="7">
        <f t="shared" si="24"/>
        <v>0.33546326991495073</v>
      </c>
      <c r="S39" s="2"/>
      <c r="T39" s="6">
        <v>627688.38</v>
      </c>
      <c r="U39" s="2"/>
      <c r="V39" s="7">
        <f t="shared" si="25"/>
        <v>0.15946265400358511</v>
      </c>
      <c r="W39" s="2"/>
      <c r="X39" s="6">
        <f t="shared" si="26"/>
        <v>-284846.26</v>
      </c>
      <c r="Y39" s="2"/>
      <c r="Z39" s="7">
        <f t="shared" si="27"/>
        <v>-0.45380202832494687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38569.269999999997</v>
      </c>
      <c r="E41" s="2"/>
      <c r="F41" s="7">
        <f t="shared" si="20"/>
        <v>1.2808859767397063</v>
      </c>
      <c r="G41" s="2"/>
      <c r="H41" s="6">
        <v>63938.449919999999</v>
      </c>
      <c r="I41" s="2"/>
      <c r="J41" s="7">
        <f t="shared" si="21"/>
        <v>0</v>
      </c>
      <c r="K41" s="2"/>
      <c r="L41" s="6">
        <f t="shared" si="22"/>
        <v>-25369.179920000002</v>
      </c>
      <c r="M41" s="2"/>
      <c r="N41" s="7">
        <f t="shared" si="23"/>
        <v>-0.39677502272485499</v>
      </c>
      <c r="O41" s="11"/>
      <c r="P41" s="6">
        <v>543261.93999999994</v>
      </c>
      <c r="Q41" s="2"/>
      <c r="R41" s="7">
        <f t="shared" si="24"/>
        <v>0.53156953647568084</v>
      </c>
      <c r="S41" s="2"/>
      <c r="T41" s="6">
        <v>897471.84895999997</v>
      </c>
      <c r="U41" s="2"/>
      <c r="V41" s="7">
        <f t="shared" si="25"/>
        <v>0.22800046565887722</v>
      </c>
      <c r="W41" s="2"/>
      <c r="X41" s="6">
        <f t="shared" si="26"/>
        <v>-354209.90896000003</v>
      </c>
      <c r="Y41" s="2"/>
      <c r="Z41" s="7">
        <f t="shared" si="27"/>
        <v>-0.39467523061638343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4305.99</v>
      </c>
      <c r="E42" s="2"/>
      <c r="F42" s="7">
        <f t="shared" si="20"/>
        <v>0.14300198595880628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4305.99</v>
      </c>
      <c r="M42" s="2"/>
      <c r="N42" s="7">
        <f t="shared" si="23"/>
        <v>0</v>
      </c>
      <c r="O42" s="11"/>
      <c r="P42" s="6">
        <v>110372.98</v>
      </c>
      <c r="Q42" s="2"/>
      <c r="R42" s="7">
        <f t="shared" si="24"/>
        <v>0.10799746770046066</v>
      </c>
      <c r="S42" s="2"/>
      <c r="T42" s="6">
        <v>87613.845440000005</v>
      </c>
      <c r="U42" s="2"/>
      <c r="V42" s="7">
        <f t="shared" si="25"/>
        <v>2.2258077043456347E-2</v>
      </c>
      <c r="W42" s="2"/>
      <c r="X42" s="6">
        <f t="shared" si="26"/>
        <v>22759.134559999991</v>
      </c>
      <c r="Y42" s="2"/>
      <c r="Z42" s="7">
        <f t="shared" si="27"/>
        <v>0.25976641529318534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2427.2199999999998</v>
      </c>
      <c r="Q43" s="2"/>
      <c r="R43" s="7">
        <f t="shared" si="24"/>
        <v>2.3749799412130768E-3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2427.2199999999998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28</v>
      </c>
      <c r="E44" s="2"/>
      <c r="F44" s="7">
        <f t="shared" si="20"/>
        <v>9.2988037753143321E-4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28</v>
      </c>
      <c r="M44" s="2"/>
      <c r="N44" s="7">
        <f t="shared" si="23"/>
        <v>0</v>
      </c>
      <c r="O44" s="11"/>
      <c r="P44" s="6">
        <v>117063.86</v>
      </c>
      <c r="Q44" s="2"/>
      <c r="R44" s="7">
        <f t="shared" si="24"/>
        <v>0.11454434263930582</v>
      </c>
      <c r="S44" s="2"/>
      <c r="T44" s="6">
        <v>13860.33</v>
      </c>
      <c r="U44" s="2"/>
      <c r="V44" s="7">
        <f t="shared" si="25"/>
        <v>3.5211819711645945E-3</v>
      </c>
      <c r="W44" s="2"/>
      <c r="X44" s="6">
        <f t="shared" si="26"/>
        <v>103203.53</v>
      </c>
      <c r="Y44" s="2"/>
      <c r="Z44" s="7">
        <f t="shared" si="27"/>
        <v>7.445964850764736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>
        <v>10630.88</v>
      </c>
      <c r="Q45" s="2"/>
      <c r="R45" s="7">
        <f t="shared" si="24"/>
        <v>1.0402075937674901E-2</v>
      </c>
      <c r="S45" s="2"/>
      <c r="T45" s="6">
        <v>293226.79940000002</v>
      </c>
      <c r="U45" s="2"/>
      <c r="V45" s="7">
        <f t="shared" si="25"/>
        <v>7.4493530782425613E-2</v>
      </c>
      <c r="W45" s="2"/>
      <c r="X45" s="6">
        <f t="shared" si="26"/>
        <v>-282595.91940000001</v>
      </c>
      <c r="Y45" s="2"/>
      <c r="Z45" s="7">
        <f t="shared" si="27"/>
        <v>-0.96374519647674461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36.89</v>
      </c>
      <c r="E48" s="1"/>
      <c r="F48" s="5">
        <f t="shared" ref="F48:F72" si="28">IF(D$12=0,0,D48/D$12)</f>
        <v>1.2251173973976633E-3</v>
      </c>
      <c r="G48" s="1"/>
      <c r="H48" s="1">
        <f>SUM(OSRRefH22_2x_0)</f>
        <v>869</v>
      </c>
      <c r="I48" s="1"/>
      <c r="J48" s="5">
        <f t="shared" ref="J48:J72" si="29">IF(H$12=0,0,H48/H$12)</f>
        <v>0</v>
      </c>
      <c r="K48" s="1"/>
      <c r="L48" s="1">
        <f t="shared" ref="L48:L72" si="30">+D48-H48</f>
        <v>-832.11</v>
      </c>
      <c r="M48" s="1"/>
      <c r="N48" s="5">
        <f t="shared" ref="N48:N72" si="31">IF(H48=0,0,L48/H48)</f>
        <v>-0.95754890678941318</v>
      </c>
      <c r="O48" s="13"/>
      <c r="P48" s="1">
        <f>SUM(OSRRefP22_2x_0)</f>
        <v>1604.82</v>
      </c>
      <c r="Q48" s="1"/>
      <c r="R48" s="5">
        <f t="shared" ref="R48:R72" si="32">IF(P$12=0,0,P48/P$12)</f>
        <v>1.5702801185131839E-3</v>
      </c>
      <c r="S48" s="1"/>
      <c r="T48" s="1">
        <f>SUM(OSRRefT22_2x_0)</f>
        <v>13828</v>
      </c>
      <c r="U48" s="1"/>
      <c r="V48" s="5">
        <f t="shared" ref="V48:V72" si="33">IF(T$12=0,0,T48/T$12)</f>
        <v>3.5129686159899517E-3</v>
      </c>
      <c r="W48" s="1"/>
      <c r="X48" s="1">
        <f t="shared" ref="X48:X72" si="34">+P48-T48</f>
        <v>-12223.18</v>
      </c>
      <c r="Y48" s="1"/>
      <c r="Z48" s="5">
        <f t="shared" ref="Z48:Z72" si="35">IF(T48=0,0,X48/T48)</f>
        <v>-0.88394417124674574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>
        <v>36.89</v>
      </c>
      <c r="E49" s="2"/>
      <c r="F49" s="7">
        <f t="shared" si="28"/>
        <v>1.2251173973976633E-3</v>
      </c>
      <c r="G49" s="2"/>
      <c r="H49" s="6">
        <v>869</v>
      </c>
      <c r="I49" s="2"/>
      <c r="J49" s="7">
        <f t="shared" si="29"/>
        <v>0</v>
      </c>
      <c r="K49" s="2"/>
      <c r="L49" s="6">
        <f t="shared" si="30"/>
        <v>-832.11</v>
      </c>
      <c r="M49" s="2"/>
      <c r="N49" s="7">
        <f t="shared" si="31"/>
        <v>-0.95754890678941318</v>
      </c>
      <c r="O49" s="11"/>
      <c r="P49" s="6">
        <v>1604.82</v>
      </c>
      <c r="Q49" s="2"/>
      <c r="R49" s="7">
        <f t="shared" si="32"/>
        <v>1.5702801185131839E-3</v>
      </c>
      <c r="S49" s="2"/>
      <c r="T49" s="6">
        <v>13828</v>
      </c>
      <c r="U49" s="2"/>
      <c r="V49" s="7">
        <f t="shared" si="33"/>
        <v>3.5129686159899517E-3</v>
      </c>
      <c r="W49" s="2"/>
      <c r="X49" s="6">
        <f t="shared" si="34"/>
        <v>-12223.18</v>
      </c>
      <c r="Y49" s="2"/>
      <c r="Z49" s="7">
        <f t="shared" si="35"/>
        <v>-0.88394417124674574</v>
      </c>
    </row>
    <row r="50" spans="1:26" s="27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-0.02</v>
      </c>
      <c r="E50" s="1"/>
      <c r="F50" s="5">
        <f t="shared" si="28"/>
        <v>-6.6420026966530949E-7</v>
      </c>
      <c r="G50" s="1"/>
      <c r="H50" s="1">
        <f>SUM(OSRRefH22_3x_0)</f>
        <v>15</v>
      </c>
      <c r="I50" s="1"/>
      <c r="J50" s="5">
        <f t="shared" si="29"/>
        <v>0</v>
      </c>
      <c r="K50" s="1"/>
      <c r="L50" s="1">
        <f t="shared" si="30"/>
        <v>-15.02</v>
      </c>
      <c r="M50" s="1"/>
      <c r="N50" s="5">
        <f t="shared" si="31"/>
        <v>-1.0013333333333334</v>
      </c>
      <c r="O50" s="13"/>
      <c r="P50" s="1">
        <f>SUM(OSRRefP22_3x_0)</f>
        <v>53.52</v>
      </c>
      <c r="Q50" s="1"/>
      <c r="R50" s="5">
        <f t="shared" si="32"/>
        <v>5.2368111029788767E-5</v>
      </c>
      <c r="S50" s="1"/>
      <c r="T50" s="1">
        <f>SUM(OSRRefT22_3x_0)</f>
        <v>340</v>
      </c>
      <c r="U50" s="1"/>
      <c r="V50" s="5">
        <f t="shared" si="33"/>
        <v>8.6376144737965266E-5</v>
      </c>
      <c r="W50" s="1"/>
      <c r="X50" s="1">
        <f t="shared" si="34"/>
        <v>-286.48</v>
      </c>
      <c r="Y50" s="1"/>
      <c r="Z50" s="5">
        <f t="shared" si="35"/>
        <v>-0.84258823529411775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>
        <v>-0.02</v>
      </c>
      <c r="E51" s="2"/>
      <c r="F51" s="7">
        <f t="shared" si="28"/>
        <v>-6.6420026966530949E-7</v>
      </c>
      <c r="G51" s="2"/>
      <c r="H51" s="6">
        <v>15</v>
      </c>
      <c r="I51" s="2"/>
      <c r="J51" s="7">
        <f t="shared" si="29"/>
        <v>0</v>
      </c>
      <c r="K51" s="2"/>
      <c r="L51" s="6">
        <f t="shared" si="30"/>
        <v>-15.02</v>
      </c>
      <c r="M51" s="2"/>
      <c r="N51" s="7">
        <f t="shared" si="31"/>
        <v>-1.0013333333333334</v>
      </c>
      <c r="O51" s="11"/>
      <c r="P51" s="6">
        <v>53.52</v>
      </c>
      <c r="Q51" s="2"/>
      <c r="R51" s="7">
        <f t="shared" si="32"/>
        <v>5.2368111029788767E-5</v>
      </c>
      <c r="S51" s="2"/>
      <c r="T51" s="6">
        <v>340</v>
      </c>
      <c r="U51" s="2"/>
      <c r="V51" s="7">
        <f t="shared" si="33"/>
        <v>8.6376144737965266E-5</v>
      </c>
      <c r="W51" s="2"/>
      <c r="X51" s="6">
        <f t="shared" si="34"/>
        <v>-286.48</v>
      </c>
      <c r="Y51" s="2"/>
      <c r="Z51" s="7">
        <f t="shared" si="35"/>
        <v>-0.84258823529411775</v>
      </c>
    </row>
    <row r="52" spans="1:26" s="27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250</v>
      </c>
      <c r="I52" s="1"/>
      <c r="J52" s="5">
        <f t="shared" si="29"/>
        <v>0</v>
      </c>
      <c r="K52" s="1"/>
      <c r="L52" s="1">
        <f t="shared" si="30"/>
        <v>-250</v>
      </c>
      <c r="M52" s="1"/>
      <c r="N52" s="5">
        <f t="shared" si="31"/>
        <v>-1</v>
      </c>
      <c r="O52" s="13"/>
      <c r="P52" s="1">
        <f>SUM(OSRRefP22_4x_0)</f>
        <v>423.53</v>
      </c>
      <c r="Q52" s="1"/>
      <c r="R52" s="5">
        <f t="shared" si="32"/>
        <v>4.1441453782597971E-4</v>
      </c>
      <c r="S52" s="1"/>
      <c r="T52" s="1">
        <f>SUM(OSRRefT22_4x_0)</f>
        <v>4576</v>
      </c>
      <c r="U52" s="1"/>
      <c r="V52" s="5">
        <f t="shared" si="33"/>
        <v>1.1625212891792031E-3</v>
      </c>
      <c r="W52" s="1"/>
      <c r="X52" s="1">
        <f t="shared" si="34"/>
        <v>-4152.47</v>
      </c>
      <c r="Y52" s="1"/>
      <c r="Z52" s="5">
        <f t="shared" si="35"/>
        <v>-0.90744536713286716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250</v>
      </c>
      <c r="I53" s="2"/>
      <c r="J53" s="7">
        <f t="shared" si="29"/>
        <v>0</v>
      </c>
      <c r="K53" s="2"/>
      <c r="L53" s="6">
        <f t="shared" si="30"/>
        <v>-250</v>
      </c>
      <c r="M53" s="2"/>
      <c r="N53" s="7">
        <f t="shared" si="31"/>
        <v>-1</v>
      </c>
      <c r="O53" s="11"/>
      <c r="P53" s="6">
        <v>423.53</v>
      </c>
      <c r="Q53" s="2"/>
      <c r="R53" s="7">
        <f t="shared" si="32"/>
        <v>4.1441453782597971E-4</v>
      </c>
      <c r="S53" s="2"/>
      <c r="T53" s="6">
        <v>4576</v>
      </c>
      <c r="U53" s="2"/>
      <c r="V53" s="7">
        <f t="shared" si="33"/>
        <v>1.1625212891792031E-3</v>
      </c>
      <c r="W53" s="2"/>
      <c r="X53" s="6">
        <f t="shared" si="34"/>
        <v>-4152.47</v>
      </c>
      <c r="Y53" s="2"/>
      <c r="Z53" s="7">
        <f t="shared" si="35"/>
        <v>-0.90744536713286716</v>
      </c>
    </row>
    <row r="54" spans="1:26" s="27" customFormat="1" outlineLevel="1" collapsed="1" x14ac:dyDescent="0.25">
      <c r="A54" s="25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758.41</v>
      </c>
      <c r="E54" s="1"/>
      <c r="F54" s="5">
        <f t="shared" si="28"/>
        <v>2.5186806325843365E-2</v>
      </c>
      <c r="G54" s="1"/>
      <c r="H54" s="1">
        <f>SUM(OSRRefH22_5x_0)</f>
        <v>213</v>
      </c>
      <c r="I54" s="1"/>
      <c r="J54" s="5">
        <f t="shared" si="29"/>
        <v>0</v>
      </c>
      <c r="K54" s="1"/>
      <c r="L54" s="1">
        <f t="shared" si="30"/>
        <v>545.41</v>
      </c>
      <c r="M54" s="1"/>
      <c r="N54" s="5">
        <f t="shared" si="31"/>
        <v>2.5606103286384974</v>
      </c>
      <c r="O54" s="13"/>
      <c r="P54" s="1">
        <f>SUM(OSRRefP22_5x_0)</f>
        <v>8573.4699999999993</v>
      </c>
      <c r="Q54" s="1"/>
      <c r="R54" s="5">
        <f t="shared" si="32"/>
        <v>8.3889467277758426E-3</v>
      </c>
      <c r="S54" s="1"/>
      <c r="T54" s="1">
        <f>SUM(OSRRefT22_5x_0)</f>
        <v>2556</v>
      </c>
      <c r="U54" s="1"/>
      <c r="V54" s="5">
        <f t="shared" si="33"/>
        <v>6.4934537044188004E-4</v>
      </c>
      <c r="W54" s="1"/>
      <c r="X54" s="1">
        <f t="shared" si="34"/>
        <v>6017.4699999999993</v>
      </c>
      <c r="Y54" s="1"/>
      <c r="Z54" s="5">
        <f t="shared" si="35"/>
        <v>2.354252738654147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758.41</v>
      </c>
      <c r="E55" s="2"/>
      <c r="F55" s="7">
        <f t="shared" si="28"/>
        <v>2.5186806325843365E-2</v>
      </c>
      <c r="G55" s="2"/>
      <c r="H55" s="6">
        <v>213</v>
      </c>
      <c r="I55" s="2"/>
      <c r="J55" s="7">
        <f t="shared" si="29"/>
        <v>0</v>
      </c>
      <c r="K55" s="2"/>
      <c r="L55" s="6">
        <f t="shared" si="30"/>
        <v>545.41</v>
      </c>
      <c r="M55" s="2"/>
      <c r="N55" s="7">
        <f t="shared" si="31"/>
        <v>2.5606103286384974</v>
      </c>
      <c r="O55" s="11"/>
      <c r="P55" s="6">
        <v>8573.4699999999993</v>
      </c>
      <c r="Q55" s="2"/>
      <c r="R55" s="7">
        <f t="shared" si="32"/>
        <v>8.3889467277758426E-3</v>
      </c>
      <c r="S55" s="2"/>
      <c r="T55" s="6">
        <v>2556</v>
      </c>
      <c r="U55" s="2"/>
      <c r="V55" s="7">
        <f t="shared" si="33"/>
        <v>6.4934537044188004E-4</v>
      </c>
      <c r="W55" s="2"/>
      <c r="X55" s="6">
        <f t="shared" si="34"/>
        <v>6017.4699999999993</v>
      </c>
      <c r="Y55" s="2"/>
      <c r="Z55" s="7">
        <f t="shared" si="35"/>
        <v>2.354252738654147</v>
      </c>
    </row>
    <row r="56" spans="1:26" s="27" customFormat="1" outlineLevel="1" collapsed="1" x14ac:dyDescent="0.25">
      <c r="A56" s="25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3"/>
      <c r="P56" s="1">
        <f>SUM(OSRRefP22_6x_0)</f>
        <v>61909.05</v>
      </c>
      <c r="Q56" s="1"/>
      <c r="R56" s="5">
        <f t="shared" si="32"/>
        <v>6.0576606953451878E-2</v>
      </c>
      <c r="S56" s="1"/>
      <c r="T56" s="1">
        <f>SUM(OSRRefT22_6x_0)</f>
        <v>130730</v>
      </c>
      <c r="U56" s="1"/>
      <c r="V56" s="5">
        <f t="shared" si="33"/>
        <v>3.3211627651747642E-2</v>
      </c>
      <c r="W56" s="1"/>
      <c r="X56" s="1">
        <f t="shared" si="34"/>
        <v>-68820.95</v>
      </c>
      <c r="Y56" s="1"/>
      <c r="Z56" s="5">
        <f t="shared" si="35"/>
        <v>-0.5264357836762793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61909.05</v>
      </c>
      <c r="Q57" s="2"/>
      <c r="R57" s="7">
        <f t="shared" si="32"/>
        <v>6.0576606953451878E-2</v>
      </c>
      <c r="S57" s="2"/>
      <c r="T57" s="6">
        <v>130730</v>
      </c>
      <c r="U57" s="2"/>
      <c r="V57" s="7">
        <f t="shared" si="33"/>
        <v>3.3211627651747642E-2</v>
      </c>
      <c r="W57" s="2"/>
      <c r="X57" s="6">
        <f t="shared" si="34"/>
        <v>-68820.95</v>
      </c>
      <c r="Y57" s="2"/>
      <c r="Z57" s="7">
        <f t="shared" si="35"/>
        <v>-0.5264357836762793</v>
      </c>
    </row>
    <row r="58" spans="1:26" s="27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25</v>
      </c>
      <c r="E58" s="1"/>
      <c r="F58" s="5">
        <f t="shared" si="28"/>
        <v>8.3025033708163684E-4</v>
      </c>
      <c r="G58" s="1"/>
      <c r="H58" s="1">
        <f>SUM(OSRRefH22_7x_0)</f>
        <v>100</v>
      </c>
      <c r="I58" s="1"/>
      <c r="J58" s="5">
        <f t="shared" si="29"/>
        <v>0</v>
      </c>
      <c r="K58" s="1"/>
      <c r="L58" s="1">
        <f t="shared" si="30"/>
        <v>-75</v>
      </c>
      <c r="M58" s="1"/>
      <c r="N58" s="5">
        <f t="shared" si="31"/>
        <v>-0.75</v>
      </c>
      <c r="O58" s="13"/>
      <c r="P58" s="1">
        <f>SUM(OSRRefP22_7x_0)</f>
        <v>25</v>
      </c>
      <c r="Q58" s="1"/>
      <c r="R58" s="5">
        <f t="shared" si="32"/>
        <v>2.4461935271762315E-5</v>
      </c>
      <c r="S58" s="1"/>
      <c r="T58" s="1">
        <f>SUM(OSRRefT22_7x_0)</f>
        <v>3200</v>
      </c>
      <c r="U58" s="1"/>
      <c r="V58" s="5">
        <f t="shared" si="33"/>
        <v>8.1295195047496719E-4</v>
      </c>
      <c r="W58" s="1"/>
      <c r="X58" s="1">
        <f t="shared" si="34"/>
        <v>-3175</v>
      </c>
      <c r="Y58" s="1"/>
      <c r="Z58" s="5">
        <f t="shared" si="35"/>
        <v>-0.9921875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25</v>
      </c>
      <c r="E59" s="2"/>
      <c r="F59" s="7">
        <f t="shared" si="28"/>
        <v>8.3025033708163684E-4</v>
      </c>
      <c r="G59" s="2"/>
      <c r="H59" s="6">
        <v>100</v>
      </c>
      <c r="I59" s="2"/>
      <c r="J59" s="7">
        <f t="shared" si="29"/>
        <v>0</v>
      </c>
      <c r="K59" s="2"/>
      <c r="L59" s="6">
        <f t="shared" si="30"/>
        <v>-75</v>
      </c>
      <c r="M59" s="2"/>
      <c r="N59" s="7">
        <f t="shared" si="31"/>
        <v>-0.75</v>
      </c>
      <c r="O59" s="11"/>
      <c r="P59" s="6">
        <v>25</v>
      </c>
      <c r="Q59" s="2"/>
      <c r="R59" s="7">
        <f t="shared" si="32"/>
        <v>2.4461935271762315E-5</v>
      </c>
      <c r="S59" s="2"/>
      <c r="T59" s="6">
        <v>3200</v>
      </c>
      <c r="U59" s="2"/>
      <c r="V59" s="7">
        <f t="shared" si="33"/>
        <v>8.1295195047496719E-4</v>
      </c>
      <c r="W59" s="2"/>
      <c r="X59" s="6">
        <f t="shared" si="34"/>
        <v>-3175</v>
      </c>
      <c r="Y59" s="2"/>
      <c r="Z59" s="7">
        <f t="shared" si="35"/>
        <v>-0.9921875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805.87</v>
      </c>
      <c r="E60" s="1"/>
      <c r="F60" s="5">
        <f t="shared" si="28"/>
        <v>2.6762953565759147E-2</v>
      </c>
      <c r="G60" s="1"/>
      <c r="H60" s="1">
        <f>SUM(OSRRefH22_8x_0)</f>
        <v>690</v>
      </c>
      <c r="I60" s="1"/>
      <c r="J60" s="5">
        <f t="shared" si="29"/>
        <v>0</v>
      </c>
      <c r="K60" s="1"/>
      <c r="L60" s="1">
        <f t="shared" si="30"/>
        <v>115.87</v>
      </c>
      <c r="M60" s="1"/>
      <c r="N60" s="5">
        <f t="shared" si="31"/>
        <v>0.16792753623188406</v>
      </c>
      <c r="O60" s="13"/>
      <c r="P60" s="1">
        <f>SUM(OSRRefP22_8x_0)</f>
        <v>7091.37</v>
      </c>
      <c r="Q60" s="1"/>
      <c r="R60" s="5">
        <f t="shared" si="32"/>
        <v>6.9387453571246854E-3</v>
      </c>
      <c r="S60" s="1"/>
      <c r="T60" s="1">
        <f>SUM(OSRRefT22_8x_0)</f>
        <v>8280</v>
      </c>
      <c r="U60" s="1"/>
      <c r="V60" s="5">
        <f t="shared" si="33"/>
        <v>2.1035131718539777E-3</v>
      </c>
      <c r="W60" s="1"/>
      <c r="X60" s="1">
        <f t="shared" si="34"/>
        <v>-1188.6300000000001</v>
      </c>
      <c r="Y60" s="1"/>
      <c r="Z60" s="5">
        <f t="shared" si="35"/>
        <v>-0.14355434782608698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805.87</v>
      </c>
      <c r="E61" s="2"/>
      <c r="F61" s="7">
        <f t="shared" si="28"/>
        <v>2.6762953565759147E-2</v>
      </c>
      <c r="G61" s="2"/>
      <c r="H61" s="6">
        <v>690</v>
      </c>
      <c r="I61" s="2"/>
      <c r="J61" s="7">
        <f t="shared" si="29"/>
        <v>0</v>
      </c>
      <c r="K61" s="2"/>
      <c r="L61" s="6">
        <f t="shared" si="30"/>
        <v>115.87</v>
      </c>
      <c r="M61" s="2"/>
      <c r="N61" s="7">
        <f t="shared" si="31"/>
        <v>0.16792753623188406</v>
      </c>
      <c r="O61" s="11"/>
      <c r="P61" s="6">
        <v>7091.37</v>
      </c>
      <c r="Q61" s="2"/>
      <c r="R61" s="7">
        <f t="shared" si="32"/>
        <v>6.9387453571246854E-3</v>
      </c>
      <c r="S61" s="2"/>
      <c r="T61" s="6">
        <v>8280</v>
      </c>
      <c r="U61" s="2"/>
      <c r="V61" s="7">
        <f t="shared" si="33"/>
        <v>2.1035131718539777E-3</v>
      </c>
      <c r="W61" s="2"/>
      <c r="X61" s="6">
        <f t="shared" si="34"/>
        <v>-1188.6300000000001</v>
      </c>
      <c r="Y61" s="2"/>
      <c r="Z61" s="7">
        <f t="shared" si="35"/>
        <v>-0.14355434782608698</v>
      </c>
    </row>
    <row r="62" spans="1:26" s="27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2520</v>
      </c>
      <c r="E62" s="1"/>
      <c r="F62" s="5">
        <f t="shared" si="28"/>
        <v>8.3689233977828986E-2</v>
      </c>
      <c r="G62" s="1"/>
      <c r="H62" s="1">
        <f>SUM(OSRRefH22_9x_0)</f>
        <v>430</v>
      </c>
      <c r="I62" s="1"/>
      <c r="J62" s="5">
        <f t="shared" si="29"/>
        <v>0</v>
      </c>
      <c r="K62" s="1"/>
      <c r="L62" s="1">
        <f t="shared" si="30"/>
        <v>2090</v>
      </c>
      <c r="M62" s="1"/>
      <c r="N62" s="5">
        <f t="shared" si="31"/>
        <v>4.8604651162790695</v>
      </c>
      <c r="O62" s="13"/>
      <c r="P62" s="1">
        <f>SUM(OSRRefP22_9x_0)</f>
        <v>10436.93</v>
      </c>
      <c r="Q62" s="1"/>
      <c r="R62" s="5">
        <f t="shared" si="32"/>
        <v>1.0212300243836571E-2</v>
      </c>
      <c r="S62" s="1"/>
      <c r="T62" s="1">
        <f>SUM(OSRRefT22_9x_0)</f>
        <v>9580</v>
      </c>
      <c r="U62" s="1"/>
      <c r="V62" s="5">
        <f t="shared" si="33"/>
        <v>2.4337749017344329E-3</v>
      </c>
      <c r="W62" s="1"/>
      <c r="X62" s="1">
        <f t="shared" si="34"/>
        <v>856.93000000000029</v>
      </c>
      <c r="Y62" s="1"/>
      <c r="Z62" s="5">
        <f t="shared" si="35"/>
        <v>8.9449895615866415E-2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2520</v>
      </c>
      <c r="E63" s="2"/>
      <c r="F63" s="7">
        <f t="shared" si="28"/>
        <v>8.3689233977828986E-2</v>
      </c>
      <c r="G63" s="2"/>
      <c r="H63" s="6">
        <v>430</v>
      </c>
      <c r="I63" s="2"/>
      <c r="J63" s="7">
        <f t="shared" si="29"/>
        <v>0</v>
      </c>
      <c r="K63" s="2"/>
      <c r="L63" s="6">
        <f t="shared" si="30"/>
        <v>2090</v>
      </c>
      <c r="M63" s="2"/>
      <c r="N63" s="7">
        <f t="shared" si="31"/>
        <v>4.8604651162790695</v>
      </c>
      <c r="O63" s="11"/>
      <c r="P63" s="6">
        <v>10436.93</v>
      </c>
      <c r="Q63" s="2"/>
      <c r="R63" s="7">
        <f t="shared" si="32"/>
        <v>1.0212300243836571E-2</v>
      </c>
      <c r="S63" s="2"/>
      <c r="T63" s="6">
        <v>9580</v>
      </c>
      <c r="U63" s="2"/>
      <c r="V63" s="7">
        <f t="shared" si="33"/>
        <v>2.4337749017344329E-3</v>
      </c>
      <c r="W63" s="2"/>
      <c r="X63" s="6">
        <f t="shared" si="34"/>
        <v>856.93000000000029</v>
      </c>
      <c r="Y63" s="2"/>
      <c r="Z63" s="7">
        <f t="shared" si="35"/>
        <v>8.9449895615866415E-2</v>
      </c>
    </row>
    <row r="64" spans="1:26" s="27" customFormat="1" outlineLevel="1" collapsed="1" x14ac:dyDescent="0.25">
      <c r="A64" s="25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SUM(OSRRefD22_10x_0)</f>
        <v>-7.01</v>
      </c>
      <c r="E64" s="1"/>
      <c r="F64" s="5">
        <f t="shared" si="28"/>
        <v>-2.3280219451769096E-4</v>
      </c>
      <c r="G64" s="1"/>
      <c r="H64" s="1">
        <f>SUM(OSRRefH22_10x_0)</f>
        <v>7</v>
      </c>
      <c r="I64" s="1"/>
      <c r="J64" s="5">
        <f t="shared" si="29"/>
        <v>0</v>
      </c>
      <c r="K64" s="1"/>
      <c r="L64" s="1">
        <f t="shared" si="30"/>
        <v>-14.01</v>
      </c>
      <c r="M64" s="1"/>
      <c r="N64" s="5">
        <f t="shared" si="31"/>
        <v>-2.0014285714285713</v>
      </c>
      <c r="O64" s="13"/>
      <c r="P64" s="1">
        <f>SUM(OSRRefP22_10x_0)</f>
        <v>57.89</v>
      </c>
      <c r="Q64" s="1"/>
      <c r="R64" s="5">
        <f t="shared" si="32"/>
        <v>5.664405731529282E-5</v>
      </c>
      <c r="S64" s="1"/>
      <c r="T64" s="1">
        <f>SUM(OSRRefT22_10x_0)</f>
        <v>84</v>
      </c>
      <c r="U64" s="1"/>
      <c r="V64" s="5">
        <f t="shared" si="33"/>
        <v>2.1339988699967888E-5</v>
      </c>
      <c r="W64" s="1"/>
      <c r="X64" s="1">
        <f t="shared" si="34"/>
        <v>-26.11</v>
      </c>
      <c r="Y64" s="1"/>
      <c r="Z64" s="5">
        <f t="shared" si="35"/>
        <v>-0.31083333333333335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6">
        <v>-7.01</v>
      </c>
      <c r="E65" s="2"/>
      <c r="F65" s="7">
        <f t="shared" si="28"/>
        <v>-2.3280219451769096E-4</v>
      </c>
      <c r="G65" s="2"/>
      <c r="H65" s="6">
        <v>7</v>
      </c>
      <c r="I65" s="2"/>
      <c r="J65" s="7">
        <f t="shared" si="29"/>
        <v>0</v>
      </c>
      <c r="K65" s="2"/>
      <c r="L65" s="6">
        <f t="shared" si="30"/>
        <v>-14.01</v>
      </c>
      <c r="M65" s="2"/>
      <c r="N65" s="7">
        <f t="shared" si="31"/>
        <v>-2.0014285714285713</v>
      </c>
      <c r="O65" s="11"/>
      <c r="P65" s="6">
        <v>57.89</v>
      </c>
      <c r="Q65" s="2"/>
      <c r="R65" s="7">
        <f t="shared" si="32"/>
        <v>5.664405731529282E-5</v>
      </c>
      <c r="S65" s="2"/>
      <c r="T65" s="6">
        <v>84</v>
      </c>
      <c r="U65" s="2"/>
      <c r="V65" s="7">
        <f t="shared" si="33"/>
        <v>2.1339988699967888E-5</v>
      </c>
      <c r="W65" s="2"/>
      <c r="X65" s="6">
        <f t="shared" si="34"/>
        <v>-26.11</v>
      </c>
      <c r="Y65" s="2"/>
      <c r="Z65" s="7">
        <f t="shared" si="35"/>
        <v>-0.31083333333333335</v>
      </c>
    </row>
    <row r="66" spans="1:26" s="27" customFormat="1" outlineLevel="1" collapsed="1" x14ac:dyDescent="0.25">
      <c r="A66" s="25"/>
      <c r="B66" s="13" t="str">
        <f>CONCATENATE("     ","R/H Commissions                                   ")</f>
        <v xml:space="preserve">     R/H Commissions                                   </v>
      </c>
      <c r="C66" s="13"/>
      <c r="D66" s="1">
        <f>SUM(OSRRefD22_11x_0)</f>
        <v>2207.92</v>
      </c>
      <c r="E66" s="1"/>
      <c r="F66" s="5">
        <f t="shared" si="28"/>
        <v>7.3325052969971508E-2</v>
      </c>
      <c r="G66" s="1"/>
      <c r="H66" s="1">
        <f>SUM(OSRRefH22_11x_0)</f>
        <v>0</v>
      </c>
      <c r="I66" s="1"/>
      <c r="J66" s="5">
        <f t="shared" si="29"/>
        <v>0</v>
      </c>
      <c r="K66" s="1"/>
      <c r="L66" s="1">
        <f t="shared" si="30"/>
        <v>2207.92</v>
      </c>
      <c r="M66" s="1"/>
      <c r="N66" s="5">
        <f t="shared" si="31"/>
        <v>0</v>
      </c>
      <c r="O66" s="13"/>
      <c r="P66" s="1">
        <f>SUM(OSRRefP22_11x_0)</f>
        <v>71608.39</v>
      </c>
      <c r="Q66" s="1"/>
      <c r="R66" s="5">
        <f t="shared" si="32"/>
        <v>7.0067192043804474E-2</v>
      </c>
      <c r="S66" s="1"/>
      <c r="T66" s="1">
        <f>SUM(OSRRefT22_11x_0)</f>
        <v>317179</v>
      </c>
      <c r="U66" s="1"/>
      <c r="V66" s="5">
        <f t="shared" si="33"/>
        <v>8.0578527093656135E-2</v>
      </c>
      <c r="W66" s="1"/>
      <c r="X66" s="1">
        <f t="shared" si="34"/>
        <v>-245570.61</v>
      </c>
      <c r="Y66" s="1"/>
      <c r="Z66" s="5">
        <f t="shared" si="35"/>
        <v>-0.77423350852357808</v>
      </c>
    </row>
    <row r="67" spans="1:26" s="24" customFormat="1" hidden="1" outlineLevel="2" x14ac:dyDescent="0.25">
      <c r="A67" s="26"/>
      <c r="B67" s="11" t="str">
        <f>CONCATENATE("          ", "6387", " - ", "COMMISSION DUE HOUSING")</f>
        <v xml:space="preserve">          6387 - COMMISSION DUE HOUSING</v>
      </c>
      <c r="C67" s="11"/>
      <c r="D67" s="6">
        <v>2207.92</v>
      </c>
      <c r="E67" s="2"/>
      <c r="F67" s="7">
        <f t="shared" si="28"/>
        <v>7.3325052969971508E-2</v>
      </c>
      <c r="G67" s="2"/>
      <c r="H67" s="6">
        <v>0</v>
      </c>
      <c r="I67" s="2"/>
      <c r="J67" s="7">
        <f t="shared" si="29"/>
        <v>0</v>
      </c>
      <c r="K67" s="2"/>
      <c r="L67" s="6">
        <f t="shared" si="30"/>
        <v>2207.92</v>
      </c>
      <c r="M67" s="2"/>
      <c r="N67" s="7">
        <f t="shared" si="31"/>
        <v>0</v>
      </c>
      <c r="O67" s="11"/>
      <c r="P67" s="6">
        <v>71608.39</v>
      </c>
      <c r="Q67" s="2"/>
      <c r="R67" s="7">
        <f t="shared" si="32"/>
        <v>7.0067192043804474E-2</v>
      </c>
      <c r="S67" s="2"/>
      <c r="T67" s="6">
        <v>317179</v>
      </c>
      <c r="U67" s="2"/>
      <c r="V67" s="7">
        <f t="shared" si="33"/>
        <v>8.0578527093656135E-2</v>
      </c>
      <c r="W67" s="2"/>
      <c r="X67" s="6">
        <f t="shared" si="34"/>
        <v>-245570.61</v>
      </c>
      <c r="Y67" s="2"/>
      <c r="Z67" s="7">
        <f t="shared" si="35"/>
        <v>-0.77423350852357808</v>
      </c>
    </row>
    <row r="68" spans="1:26" s="27" customFormat="1" outlineLevel="1" collapsed="1" x14ac:dyDescent="0.25">
      <c r="A68" s="25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SUM(OSRRefD22_12x_0)</f>
        <v>3923.75</v>
      </c>
      <c r="E68" s="1"/>
      <c r="F68" s="5">
        <f t="shared" si="28"/>
        <v>0.1303077904049629</v>
      </c>
      <c r="G68" s="1"/>
      <c r="H68" s="1">
        <f>SUM(OSRRefH22_12x_0)</f>
        <v>508</v>
      </c>
      <c r="I68" s="1"/>
      <c r="J68" s="5">
        <f t="shared" si="29"/>
        <v>0</v>
      </c>
      <c r="K68" s="1"/>
      <c r="L68" s="1">
        <f t="shared" si="30"/>
        <v>3415.75</v>
      </c>
      <c r="M68" s="1"/>
      <c r="N68" s="5">
        <f t="shared" si="31"/>
        <v>6.7239173228346454</v>
      </c>
      <c r="O68" s="13"/>
      <c r="P68" s="1">
        <f>SUM(OSRRefP22_12x_0)</f>
        <v>30001.02</v>
      </c>
      <c r="Q68" s="1"/>
      <c r="R68" s="5">
        <f t="shared" si="32"/>
        <v>2.9355320373073868E-2</v>
      </c>
      <c r="S68" s="1"/>
      <c r="T68" s="1">
        <f>SUM(OSRRefT22_12x_0)</f>
        <v>73124</v>
      </c>
      <c r="U68" s="1"/>
      <c r="V68" s="5">
        <f t="shared" si="33"/>
        <v>1.8576968258291093E-2</v>
      </c>
      <c r="W68" s="1"/>
      <c r="X68" s="1">
        <f t="shared" si="34"/>
        <v>-43122.979999999996</v>
      </c>
      <c r="Y68" s="1"/>
      <c r="Z68" s="5">
        <f t="shared" si="35"/>
        <v>-0.58972403041409105</v>
      </c>
    </row>
    <row r="69" spans="1:26" s="24" customFormat="1" hidden="1" outlineLevel="2" x14ac:dyDescent="0.25">
      <c r="A69" s="26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3500</v>
      </c>
      <c r="E69" s="2"/>
      <c r="F69" s="7">
        <f t="shared" si="28"/>
        <v>0.11623504719142916</v>
      </c>
      <c r="G69" s="2"/>
      <c r="H69" s="6"/>
      <c r="I69" s="2"/>
      <c r="J69" s="7">
        <f t="shared" si="29"/>
        <v>0</v>
      </c>
      <c r="K69" s="2"/>
      <c r="L69" s="6">
        <f t="shared" si="30"/>
        <v>3500</v>
      </c>
      <c r="M69" s="2"/>
      <c r="N69" s="7">
        <f t="shared" si="31"/>
        <v>0</v>
      </c>
      <c r="O69" s="11"/>
      <c r="P69" s="6">
        <v>24500</v>
      </c>
      <c r="Q69" s="2"/>
      <c r="R69" s="7">
        <f t="shared" si="32"/>
        <v>2.397269656632707E-2</v>
      </c>
      <c r="S69" s="2"/>
      <c r="T69" s="6">
        <v>56745</v>
      </c>
      <c r="U69" s="2"/>
      <c r="V69" s="7">
        <f t="shared" si="33"/>
        <v>1.4415924509281879E-2</v>
      </c>
      <c r="W69" s="2"/>
      <c r="X69" s="6">
        <f t="shared" si="34"/>
        <v>-32245</v>
      </c>
      <c r="Y69" s="2"/>
      <c r="Z69" s="7">
        <f t="shared" si="35"/>
        <v>-0.56824389814080534</v>
      </c>
    </row>
    <row r="70" spans="1:26" s="24" customFormat="1" hidden="1" outlineLevel="2" x14ac:dyDescent="0.25">
      <c r="A70" s="26"/>
      <c r="B70" s="11" t="str">
        <f>CONCATENATE("          ", "6372", " - ", "COMPUTER HARDWARE MAINTENANCE")</f>
        <v xml:space="preserve">          6372 - COMPUTER HARDWARE MAINTENANCE</v>
      </c>
      <c r="C70" s="11"/>
      <c r="D70" s="6"/>
      <c r="E70" s="2"/>
      <c r="F70" s="7">
        <f t="shared" si="28"/>
        <v>0</v>
      </c>
      <c r="G70" s="2"/>
      <c r="H70" s="6"/>
      <c r="I70" s="2"/>
      <c r="J70" s="7">
        <f t="shared" si="29"/>
        <v>0</v>
      </c>
      <c r="K70" s="2"/>
      <c r="L70" s="6">
        <f t="shared" si="30"/>
        <v>0</v>
      </c>
      <c r="M70" s="2"/>
      <c r="N70" s="7">
        <f t="shared" si="31"/>
        <v>0</v>
      </c>
      <c r="O70" s="11"/>
      <c r="P70" s="6"/>
      <c r="Q70" s="2"/>
      <c r="R70" s="7">
        <f t="shared" si="32"/>
        <v>0</v>
      </c>
      <c r="S70" s="2"/>
      <c r="T70" s="6">
        <v>3083</v>
      </c>
      <c r="U70" s="2"/>
      <c r="V70" s="7">
        <f t="shared" si="33"/>
        <v>7.8322839478572621E-4</v>
      </c>
      <c r="W70" s="2"/>
      <c r="X70" s="6">
        <f t="shared" si="34"/>
        <v>-3083</v>
      </c>
      <c r="Y70" s="2"/>
      <c r="Z70" s="7">
        <f t="shared" si="35"/>
        <v>-1</v>
      </c>
    </row>
    <row r="71" spans="1:26" s="24" customFormat="1" hidden="1" outlineLevel="2" x14ac:dyDescent="0.25">
      <c r="A71" s="26"/>
      <c r="B71" s="11" t="str">
        <f>CONCATENATE("          ", "6373", " - ", "MAINTENANCE CONTRACTS")</f>
        <v xml:space="preserve">          6373 - MAINTENANCE CONTRACTS</v>
      </c>
      <c r="C71" s="11"/>
      <c r="D71" s="6">
        <v>253.75</v>
      </c>
      <c r="E71" s="2"/>
      <c r="F71" s="7">
        <f t="shared" si="28"/>
        <v>8.4270409213786143E-3</v>
      </c>
      <c r="G71" s="2"/>
      <c r="H71" s="6">
        <v>58</v>
      </c>
      <c r="I71" s="2"/>
      <c r="J71" s="7">
        <f t="shared" si="29"/>
        <v>0</v>
      </c>
      <c r="K71" s="2"/>
      <c r="L71" s="6">
        <f t="shared" si="30"/>
        <v>195.75</v>
      </c>
      <c r="M71" s="2"/>
      <c r="N71" s="7">
        <f t="shared" si="31"/>
        <v>3.375</v>
      </c>
      <c r="O71" s="11"/>
      <c r="P71" s="6">
        <v>3504.05</v>
      </c>
      <c r="Q71" s="2"/>
      <c r="R71" s="7">
        <f t="shared" si="32"/>
        <v>3.4286337715607501E-3</v>
      </c>
      <c r="S71" s="2"/>
      <c r="T71" s="6">
        <v>7896</v>
      </c>
      <c r="U71" s="2"/>
      <c r="V71" s="7">
        <f t="shared" si="33"/>
        <v>2.0059589377969815E-3</v>
      </c>
      <c r="W71" s="2"/>
      <c r="X71" s="6">
        <f t="shared" si="34"/>
        <v>-4391.95</v>
      </c>
      <c r="Y71" s="2"/>
      <c r="Z71" s="7">
        <f t="shared" si="35"/>
        <v>-0.55622467071935155</v>
      </c>
    </row>
    <row r="72" spans="1:26" s="24" customFormat="1" hidden="1" outlineLevel="2" x14ac:dyDescent="0.25">
      <c r="A72" s="26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170</v>
      </c>
      <c r="E72" s="2"/>
      <c r="F72" s="7">
        <f t="shared" si="28"/>
        <v>5.6457022921551307E-3</v>
      </c>
      <c r="G72" s="2"/>
      <c r="H72" s="6">
        <v>450</v>
      </c>
      <c r="I72" s="2"/>
      <c r="J72" s="7">
        <f t="shared" si="29"/>
        <v>0</v>
      </c>
      <c r="K72" s="2"/>
      <c r="L72" s="6">
        <f t="shared" si="30"/>
        <v>-280</v>
      </c>
      <c r="M72" s="2"/>
      <c r="N72" s="7">
        <f t="shared" si="31"/>
        <v>-0.62222222222222223</v>
      </c>
      <c r="O72" s="11"/>
      <c r="P72" s="6">
        <v>1996.97</v>
      </c>
      <c r="Q72" s="2"/>
      <c r="R72" s="7">
        <f t="shared" si="32"/>
        <v>1.9539900351860477E-3</v>
      </c>
      <c r="S72" s="2"/>
      <c r="T72" s="6">
        <v>5400</v>
      </c>
      <c r="U72" s="2"/>
      <c r="V72" s="7">
        <f t="shared" si="33"/>
        <v>1.3718564164265071E-3</v>
      </c>
      <c r="W72" s="2"/>
      <c r="X72" s="6">
        <f t="shared" si="34"/>
        <v>-3403.0299999999997</v>
      </c>
      <c r="Y72" s="2"/>
      <c r="Z72" s="7">
        <f t="shared" si="35"/>
        <v>-0.63019074074074066</v>
      </c>
    </row>
    <row r="73" spans="1:26" s="27" customFormat="1" outlineLevel="1" collapsed="1" x14ac:dyDescent="0.25">
      <c r="A73" s="25"/>
      <c r="B73" s="13" t="str">
        <f>CONCATENATE("     ","Services                                          ")</f>
        <v xml:space="preserve">     Services                                          </v>
      </c>
      <c r="C73" s="13"/>
      <c r="D73" s="1">
        <f>SUM(OSRRefD22_13x_0)</f>
        <v>11575.65</v>
      </c>
      <c r="E73" s="1"/>
      <c r="F73" s="5">
        <f t="shared" ref="F73:F77" si="36">IF(D$12=0,0,D73/D$12)</f>
        <v>0.38442749257756198</v>
      </c>
      <c r="G73" s="1"/>
      <c r="H73" s="1">
        <f>SUM(OSRRefH22_13x_0)</f>
        <v>19902</v>
      </c>
      <c r="I73" s="1"/>
      <c r="J73" s="5">
        <f t="shared" ref="J73:J77" si="37">IF(H$12=0,0,H73/H$12)</f>
        <v>0</v>
      </c>
      <c r="K73" s="1"/>
      <c r="L73" s="1">
        <f t="shared" ref="L73:L77" si="38">+D73-H73</f>
        <v>-8326.35</v>
      </c>
      <c r="M73" s="1"/>
      <c r="N73" s="5">
        <f t="shared" ref="N73:N77" si="39">IF(H73=0,0,L73/H73)</f>
        <v>-0.41836750075369311</v>
      </c>
      <c r="O73" s="13"/>
      <c r="P73" s="1">
        <f>SUM(OSRRefP22_13x_0)</f>
        <v>140581.45000000001</v>
      </c>
      <c r="Q73" s="1"/>
      <c r="R73" s="5">
        <f t="shared" ref="R73:R77" si="40">IF(P$12=0,0,P73/P$12)</f>
        <v>0.13755577321241963</v>
      </c>
      <c r="S73" s="1"/>
      <c r="T73" s="1">
        <f>SUM(OSRRefT22_13x_0)</f>
        <v>233862</v>
      </c>
      <c r="U73" s="1"/>
      <c r="V73" s="5">
        <f t="shared" ref="V73:V77" si="41">IF(T$12=0,0,T73/T$12)</f>
        <v>5.9412052825617741E-2</v>
      </c>
      <c r="W73" s="1"/>
      <c r="X73" s="1">
        <f t="shared" ref="X73:X77" si="42">+P73-T73</f>
        <v>-93280.549999999988</v>
      </c>
      <c r="Y73" s="1"/>
      <c r="Z73" s="5">
        <f t="shared" ref="Z73:Z77" si="43">IF(T73=0,0,X73/T73)</f>
        <v>-0.39887006012092596</v>
      </c>
    </row>
    <row r="74" spans="1:26" s="24" customFormat="1" hidden="1" outlineLevel="2" x14ac:dyDescent="0.25">
      <c r="A74" s="26"/>
      <c r="B74" s="11" t="str">
        <f>CONCATENATE("          ", "6282", " - ", "JANITORIAL/EXTERMINATOR EXPENS")</f>
        <v xml:space="preserve">          6282 - JANITORIAL/EXTERMINATOR EXPENS</v>
      </c>
      <c r="C74" s="11"/>
      <c r="D74" s="6">
        <v>1508.3</v>
      </c>
      <c r="E74" s="2"/>
      <c r="F74" s="7">
        <f t="shared" si="36"/>
        <v>5.009066333680931E-2</v>
      </c>
      <c r="G74" s="2"/>
      <c r="H74" s="6">
        <v>1750</v>
      </c>
      <c r="I74" s="2"/>
      <c r="J74" s="7">
        <f t="shared" si="37"/>
        <v>0</v>
      </c>
      <c r="K74" s="2"/>
      <c r="L74" s="6">
        <f t="shared" si="38"/>
        <v>-241.70000000000005</v>
      </c>
      <c r="M74" s="2"/>
      <c r="N74" s="7">
        <f t="shared" si="39"/>
        <v>-0.13811428571428574</v>
      </c>
      <c r="O74" s="11"/>
      <c r="P74" s="6">
        <v>17458.150000000001</v>
      </c>
      <c r="Q74" s="2"/>
      <c r="R74" s="7">
        <f t="shared" si="40"/>
        <v>1.7082405410588693E-2</v>
      </c>
      <c r="S74" s="2"/>
      <c r="T74" s="6">
        <v>21000</v>
      </c>
      <c r="U74" s="2"/>
      <c r="V74" s="7">
        <f t="shared" si="41"/>
        <v>5.3349971749919725E-3</v>
      </c>
      <c r="W74" s="2"/>
      <c r="X74" s="6">
        <f t="shared" si="42"/>
        <v>-3541.8499999999985</v>
      </c>
      <c r="Y74" s="2"/>
      <c r="Z74" s="7">
        <f t="shared" si="43"/>
        <v>-0.16865952380952373</v>
      </c>
    </row>
    <row r="75" spans="1:26" s="24" customFormat="1" hidden="1" outlineLevel="2" x14ac:dyDescent="0.25">
      <c r="A75" s="26"/>
      <c r="B75" s="11" t="str">
        <f>CONCATENATE("          ", "6284", " - ", "TRASH REMOVAL EXPENSE")</f>
        <v xml:space="preserve">          6284 - TRASH REMOVAL EXPENSE</v>
      </c>
      <c r="C75" s="11"/>
      <c r="D75" s="6"/>
      <c r="E75" s="2"/>
      <c r="F75" s="7">
        <f t="shared" si="36"/>
        <v>0</v>
      </c>
      <c r="G75" s="2"/>
      <c r="H75" s="6">
        <v>500</v>
      </c>
      <c r="I75" s="2"/>
      <c r="J75" s="7">
        <f t="shared" si="37"/>
        <v>0</v>
      </c>
      <c r="K75" s="2"/>
      <c r="L75" s="6">
        <f t="shared" si="38"/>
        <v>-500</v>
      </c>
      <c r="M75" s="2"/>
      <c r="N75" s="7">
        <f t="shared" si="39"/>
        <v>-1</v>
      </c>
      <c r="O75" s="11"/>
      <c r="P75" s="6">
        <v>282.75</v>
      </c>
      <c r="Q75" s="2"/>
      <c r="R75" s="7">
        <f t="shared" si="40"/>
        <v>2.7666448792363182E-4</v>
      </c>
      <c r="S75" s="2"/>
      <c r="T75" s="6">
        <v>6000</v>
      </c>
      <c r="U75" s="2"/>
      <c r="V75" s="7">
        <f t="shared" si="41"/>
        <v>1.5242849071405635E-3</v>
      </c>
      <c r="W75" s="2"/>
      <c r="X75" s="6">
        <f t="shared" si="42"/>
        <v>-5717.25</v>
      </c>
      <c r="Y75" s="2"/>
      <c r="Z75" s="7">
        <f t="shared" si="43"/>
        <v>-0.95287500000000003</v>
      </c>
    </row>
    <row r="76" spans="1:26" s="24" customFormat="1" hidden="1" outlineLevel="2" x14ac:dyDescent="0.25">
      <c r="A76" s="26"/>
      <c r="B76" s="11" t="str">
        <f>CONCATENATE("          ", "6285", " - ", "JANITORIAL SERVICES")</f>
        <v xml:space="preserve">          6285 - JANITORIAL SERVICES</v>
      </c>
      <c r="C76" s="11"/>
      <c r="D76" s="6">
        <v>8897.19</v>
      </c>
      <c r="E76" s="2"/>
      <c r="F76" s="7">
        <f t="shared" si="36"/>
        <v>0.29547579986317474</v>
      </c>
      <c r="G76" s="2"/>
      <c r="H76" s="6">
        <v>13152</v>
      </c>
      <c r="I76" s="2"/>
      <c r="J76" s="7">
        <f t="shared" si="37"/>
        <v>0</v>
      </c>
      <c r="K76" s="2"/>
      <c r="L76" s="6">
        <f t="shared" si="38"/>
        <v>-4254.8099999999995</v>
      </c>
      <c r="M76" s="2"/>
      <c r="N76" s="7">
        <f t="shared" si="39"/>
        <v>-0.3235104927007299</v>
      </c>
      <c r="O76" s="11"/>
      <c r="P76" s="6">
        <v>105867.73</v>
      </c>
      <c r="Q76" s="2"/>
      <c r="R76" s="7">
        <f t="shared" si="40"/>
        <v>0.10358918234513638</v>
      </c>
      <c r="S76" s="2"/>
      <c r="T76" s="6">
        <v>152862</v>
      </c>
      <c r="U76" s="2"/>
      <c r="V76" s="7">
        <f t="shared" si="41"/>
        <v>3.8834206579220133E-2</v>
      </c>
      <c r="W76" s="2"/>
      <c r="X76" s="6">
        <f t="shared" si="42"/>
        <v>-46994.270000000004</v>
      </c>
      <c r="Y76" s="2"/>
      <c r="Z76" s="7">
        <f t="shared" si="43"/>
        <v>-0.30742938074864912</v>
      </c>
    </row>
    <row r="77" spans="1:26" s="24" customFormat="1" hidden="1" outlineLevel="2" x14ac:dyDescent="0.25">
      <c r="A77" s="26"/>
      <c r="B77" s="11" t="str">
        <f>CONCATENATE("          ", "6286", " - ", "LAUNDRY EXPENSE")</f>
        <v xml:space="preserve">          6286 - LAUNDRY EXPENSE</v>
      </c>
      <c r="C77" s="11"/>
      <c r="D77" s="6">
        <v>1170.1600000000001</v>
      </c>
      <c r="E77" s="2"/>
      <c r="F77" s="7">
        <f t="shared" si="36"/>
        <v>3.8861029377577926E-2</v>
      </c>
      <c r="G77" s="2"/>
      <c r="H77" s="6">
        <v>4500</v>
      </c>
      <c r="I77" s="2"/>
      <c r="J77" s="7">
        <f t="shared" si="37"/>
        <v>0</v>
      </c>
      <c r="K77" s="2"/>
      <c r="L77" s="6">
        <f t="shared" si="38"/>
        <v>-3329.84</v>
      </c>
      <c r="M77" s="2"/>
      <c r="N77" s="7">
        <f t="shared" si="39"/>
        <v>-0.73996444444444442</v>
      </c>
      <c r="O77" s="11"/>
      <c r="P77" s="6">
        <v>16972.82</v>
      </c>
      <c r="Q77" s="2"/>
      <c r="R77" s="7">
        <f t="shared" si="40"/>
        <v>1.6607520968770915E-2</v>
      </c>
      <c r="S77" s="2"/>
      <c r="T77" s="6">
        <v>54000</v>
      </c>
      <c r="U77" s="2"/>
      <c r="V77" s="7">
        <f t="shared" si="41"/>
        <v>1.3718564164265071E-2</v>
      </c>
      <c r="W77" s="2"/>
      <c r="X77" s="6">
        <f t="shared" si="42"/>
        <v>-37027.18</v>
      </c>
      <c r="Y77" s="2"/>
      <c r="Z77" s="7">
        <f t="shared" si="43"/>
        <v>-0.68568851851851853</v>
      </c>
    </row>
    <row r="78" spans="1:26" s="27" customFormat="1" outlineLevel="1" collapsed="1" x14ac:dyDescent="0.25">
      <c r="A78" s="25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3"/>
      <c r="P78" s="1">
        <f>SUM(OSRRefP22_14x_0)</f>
        <v>795</v>
      </c>
      <c r="Q78" s="1"/>
      <c r="R78" s="5">
        <f t="shared" ref="R78:R90" si="48">IF(P$12=0,0,P78/P$12)</f>
        <v>7.7788954164204169E-4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6"/>
      <c r="B79" s="11" t="str">
        <f>CONCATENATE("          ", "6258", " - ", "MEMBERSHIP DUES")</f>
        <v xml:space="preserve">          6258 - MEMBERSHIP DUES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795</v>
      </c>
      <c r="Q79" s="2"/>
      <c r="R79" s="7">
        <f t="shared" si="48"/>
        <v>7.7788954164204169E-4</v>
      </c>
      <c r="S79" s="2"/>
      <c r="T79" s="6"/>
      <c r="U79" s="2"/>
      <c r="V79" s="7">
        <f t="shared" si="49"/>
        <v>0</v>
      </c>
      <c r="W79" s="2"/>
      <c r="X79" s="6">
        <f t="shared" si="50"/>
        <v>795</v>
      </c>
      <c r="Y79" s="2"/>
      <c r="Z79" s="7">
        <f t="shared" si="51"/>
        <v>0</v>
      </c>
    </row>
    <row r="80" spans="1:26" s="27" customFormat="1" outlineLevel="1" collapsed="1" x14ac:dyDescent="0.25">
      <c r="A80" s="25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SUM(OSRRefD22_15x_0)</f>
        <v>13576.91</v>
      </c>
      <c r="E80" s="1"/>
      <c r="F80" s="5">
        <f t="shared" si="44"/>
        <v>0.45088936416108183</v>
      </c>
      <c r="G80" s="1"/>
      <c r="H80" s="1">
        <f>SUM(OSRRefH22_15x_0)</f>
        <v>14150</v>
      </c>
      <c r="I80" s="1"/>
      <c r="J80" s="5">
        <f t="shared" si="45"/>
        <v>0</v>
      </c>
      <c r="K80" s="1"/>
      <c r="L80" s="1">
        <f t="shared" si="46"/>
        <v>-573.09000000000015</v>
      </c>
      <c r="M80" s="1"/>
      <c r="N80" s="5">
        <f t="shared" si="47"/>
        <v>-4.0501060070671391E-2</v>
      </c>
      <c r="O80" s="13"/>
      <c r="P80" s="1">
        <f>SUM(OSRRefP22_15x_0)</f>
        <v>156726.41999999998</v>
      </c>
      <c r="Q80" s="1"/>
      <c r="R80" s="5">
        <f t="shared" si="48"/>
        <v>0.15335326165660138</v>
      </c>
      <c r="S80" s="1"/>
      <c r="T80" s="1">
        <f>SUM(OSRRefT22_15x_0)</f>
        <v>293860</v>
      </c>
      <c r="U80" s="1"/>
      <c r="V80" s="5">
        <f t="shared" si="49"/>
        <v>7.4654393802054325E-2</v>
      </c>
      <c r="W80" s="1"/>
      <c r="X80" s="1">
        <f t="shared" si="50"/>
        <v>-137133.58000000002</v>
      </c>
      <c r="Y80" s="1"/>
      <c r="Z80" s="5">
        <f t="shared" si="51"/>
        <v>-0.46666296876063434</v>
      </c>
    </row>
    <row r="81" spans="1:26" s="24" customFormat="1" hidden="1" outlineLevel="2" x14ac:dyDescent="0.25">
      <c r="A81" s="26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44"/>
        <v>0</v>
      </c>
      <c r="G81" s="2"/>
      <c r="H81" s="6">
        <v>100</v>
      </c>
      <c r="I81" s="2"/>
      <c r="J81" s="7">
        <f t="shared" si="45"/>
        <v>0</v>
      </c>
      <c r="K81" s="2"/>
      <c r="L81" s="6">
        <f t="shared" si="46"/>
        <v>-100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1200</v>
      </c>
      <c r="U81" s="2"/>
      <c r="V81" s="7">
        <f t="shared" si="49"/>
        <v>3.0485698142811271E-4</v>
      </c>
      <c r="W81" s="2"/>
      <c r="X81" s="6">
        <f t="shared" si="50"/>
        <v>-1200</v>
      </c>
      <c r="Y81" s="2"/>
      <c r="Z81" s="7">
        <f t="shared" si="51"/>
        <v>-1</v>
      </c>
    </row>
    <row r="82" spans="1:26" s="24" customFormat="1" hidden="1" outlineLevel="2" x14ac:dyDescent="0.25">
      <c r="A82" s="26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44"/>
        <v>0</v>
      </c>
      <c r="G82" s="2"/>
      <c r="H82" s="6">
        <v>7200</v>
      </c>
      <c r="I82" s="2"/>
      <c r="J82" s="7">
        <f t="shared" si="45"/>
        <v>0</v>
      </c>
      <c r="K82" s="2"/>
      <c r="L82" s="6">
        <f t="shared" si="46"/>
        <v>-7200</v>
      </c>
      <c r="M82" s="2"/>
      <c r="N82" s="7">
        <f t="shared" si="47"/>
        <v>-1</v>
      </c>
      <c r="O82" s="11"/>
      <c r="P82" s="6">
        <v>59411.95</v>
      </c>
      <c r="Q82" s="2"/>
      <c r="R82" s="7">
        <f t="shared" si="48"/>
        <v>5.8133251010767162E-2</v>
      </c>
      <c r="S82" s="2"/>
      <c r="T82" s="6">
        <v>134400</v>
      </c>
      <c r="U82" s="2"/>
      <c r="V82" s="7">
        <f t="shared" si="49"/>
        <v>3.4143981919948621E-2</v>
      </c>
      <c r="W82" s="2"/>
      <c r="X82" s="6">
        <f t="shared" si="50"/>
        <v>-74988.05</v>
      </c>
      <c r="Y82" s="2"/>
      <c r="Z82" s="7">
        <f t="shared" si="51"/>
        <v>-0.55794680059523816</v>
      </c>
    </row>
    <row r="83" spans="1:26" s="24" customFormat="1" hidden="1" outlineLevel="2" x14ac:dyDescent="0.25">
      <c r="A83" s="26"/>
      <c r="B83" s="11" t="str">
        <f>CONCATENATE("          ", "6237", " - ", "JANITORIAL SUPPLIES")</f>
        <v xml:space="preserve">          6237 - JANITORIAL SUPPLIES</v>
      </c>
      <c r="C83" s="11"/>
      <c r="D83" s="6">
        <v>1905.31</v>
      </c>
      <c r="E83" s="2"/>
      <c r="F83" s="7">
        <f t="shared" si="44"/>
        <v>6.3275370789800542E-2</v>
      </c>
      <c r="G83" s="2"/>
      <c r="H83" s="6">
        <v>4000</v>
      </c>
      <c r="I83" s="2"/>
      <c r="J83" s="7">
        <f t="shared" si="45"/>
        <v>0</v>
      </c>
      <c r="K83" s="2"/>
      <c r="L83" s="6">
        <f t="shared" si="46"/>
        <v>-2094.69</v>
      </c>
      <c r="M83" s="2"/>
      <c r="N83" s="7">
        <f t="shared" si="47"/>
        <v>-0.52367249999999999</v>
      </c>
      <c r="O83" s="11"/>
      <c r="P83" s="6">
        <v>25072.04</v>
      </c>
      <c r="Q83" s="2"/>
      <c r="R83" s="7">
        <f t="shared" si="48"/>
        <v>2.4532424784441426E-2</v>
      </c>
      <c r="S83" s="2"/>
      <c r="T83" s="6">
        <v>99000</v>
      </c>
      <c r="U83" s="2"/>
      <c r="V83" s="7">
        <f t="shared" si="49"/>
        <v>2.5150700967819298E-2</v>
      </c>
      <c r="W83" s="2"/>
      <c r="X83" s="6">
        <f t="shared" si="50"/>
        <v>-73927.959999999992</v>
      </c>
      <c r="Y83" s="2"/>
      <c r="Z83" s="7">
        <f t="shared" si="51"/>
        <v>-0.74674707070707058</v>
      </c>
    </row>
    <row r="84" spans="1:26" s="24" customFormat="1" hidden="1" outlineLevel="2" x14ac:dyDescent="0.25">
      <c r="A84" s="26"/>
      <c r="B84" s="11" t="str">
        <f>CONCATENATE("          ", "6239", " - ", "KITCHEN SUPPLIES")</f>
        <v xml:space="preserve">          6239 - KITCHEN SUPPLIES</v>
      </c>
      <c r="C84" s="11"/>
      <c r="D84" s="6">
        <v>5953.86</v>
      </c>
      <c r="E84" s="2"/>
      <c r="F84" s="7">
        <f t="shared" si="44"/>
        <v>0.19772777087747495</v>
      </c>
      <c r="G84" s="2"/>
      <c r="H84" s="6">
        <v>1500</v>
      </c>
      <c r="I84" s="2"/>
      <c r="J84" s="7">
        <f t="shared" si="45"/>
        <v>0</v>
      </c>
      <c r="K84" s="2"/>
      <c r="L84" s="6">
        <f t="shared" si="46"/>
        <v>4453.8599999999997</v>
      </c>
      <c r="M84" s="2"/>
      <c r="N84" s="7">
        <f t="shared" si="47"/>
        <v>2.9692399999999997</v>
      </c>
      <c r="O84" s="11"/>
      <c r="P84" s="6">
        <v>13820.13</v>
      </c>
      <c r="Q84" s="2"/>
      <c r="R84" s="7">
        <f t="shared" si="48"/>
        <v>1.3522685020293621E-2</v>
      </c>
      <c r="S84" s="2"/>
      <c r="T84" s="6">
        <v>26000</v>
      </c>
      <c r="U84" s="2"/>
      <c r="V84" s="7">
        <f t="shared" si="49"/>
        <v>6.6052345976091087E-3</v>
      </c>
      <c r="W84" s="2"/>
      <c r="X84" s="6">
        <f t="shared" si="50"/>
        <v>-12179.87</v>
      </c>
      <c r="Y84" s="2"/>
      <c r="Z84" s="7">
        <f t="shared" si="51"/>
        <v>-0.46845653846153851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6">
        <v>1232.0899999999999</v>
      </c>
      <c r="E85" s="2"/>
      <c r="F85" s="7">
        <f t="shared" si="44"/>
        <v>4.0917725512596551E-2</v>
      </c>
      <c r="G85" s="2"/>
      <c r="H85" s="6">
        <v>600</v>
      </c>
      <c r="I85" s="2"/>
      <c r="J85" s="7">
        <f t="shared" si="45"/>
        <v>0</v>
      </c>
      <c r="K85" s="2"/>
      <c r="L85" s="6">
        <f t="shared" si="46"/>
        <v>632.08999999999992</v>
      </c>
      <c r="M85" s="2"/>
      <c r="N85" s="7">
        <f t="shared" si="47"/>
        <v>1.0534833333333331</v>
      </c>
      <c r="O85" s="11"/>
      <c r="P85" s="6">
        <v>10717.19</v>
      </c>
      <c r="Q85" s="2"/>
      <c r="R85" s="7">
        <f t="shared" si="48"/>
        <v>1.0486528323007135E-2</v>
      </c>
      <c r="S85" s="2"/>
      <c r="T85" s="6">
        <v>11350</v>
      </c>
      <c r="U85" s="2"/>
      <c r="V85" s="7">
        <f t="shared" si="49"/>
        <v>2.8834389493408992E-3</v>
      </c>
      <c r="W85" s="2"/>
      <c r="X85" s="6">
        <f t="shared" si="50"/>
        <v>-632.80999999999949</v>
      </c>
      <c r="Y85" s="2"/>
      <c r="Z85" s="7">
        <f t="shared" si="51"/>
        <v>-5.5754185022026385E-2</v>
      </c>
    </row>
    <row r="86" spans="1:26" s="24" customFormat="1" hidden="1" outlineLevel="2" x14ac:dyDescent="0.25">
      <c r="A86" s="26"/>
      <c r="B86" s="11" t="str">
        <f>CONCATENATE("          ", "6243", " - ", "PAPER SUPPLIES")</f>
        <v xml:space="preserve">          6243 - PAPER SUPPLIES</v>
      </c>
      <c r="C86" s="11"/>
      <c r="D86" s="6">
        <v>4485.6499999999996</v>
      </c>
      <c r="E86" s="2"/>
      <c r="F86" s="7">
        <f t="shared" si="44"/>
        <v>0.14896849698120976</v>
      </c>
      <c r="G86" s="2"/>
      <c r="H86" s="6">
        <v>500</v>
      </c>
      <c r="I86" s="2"/>
      <c r="J86" s="7">
        <f t="shared" si="45"/>
        <v>0</v>
      </c>
      <c r="K86" s="2"/>
      <c r="L86" s="6">
        <f t="shared" si="46"/>
        <v>3985.6499999999996</v>
      </c>
      <c r="M86" s="2"/>
      <c r="N86" s="7">
        <f t="shared" si="47"/>
        <v>7.9712999999999994</v>
      </c>
      <c r="O86" s="11"/>
      <c r="P86" s="6">
        <v>43204.52</v>
      </c>
      <c r="Q86" s="2"/>
      <c r="R86" s="7">
        <f t="shared" si="48"/>
        <v>4.2274646867502416E-2</v>
      </c>
      <c r="S86" s="2"/>
      <c r="T86" s="6">
        <v>6000</v>
      </c>
      <c r="U86" s="2"/>
      <c r="V86" s="7">
        <f t="shared" si="49"/>
        <v>1.5242849071405635E-3</v>
      </c>
      <c r="W86" s="2"/>
      <c r="X86" s="6">
        <f t="shared" si="50"/>
        <v>37204.519999999997</v>
      </c>
      <c r="Y86" s="2"/>
      <c r="Z86" s="7">
        <f t="shared" si="51"/>
        <v>6.2007533333333331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6"/>
      <c r="E87" s="2"/>
      <c r="F87" s="7">
        <f t="shared" si="44"/>
        <v>0</v>
      </c>
      <c r="G87" s="2"/>
      <c r="H87" s="6">
        <v>100</v>
      </c>
      <c r="I87" s="2"/>
      <c r="J87" s="7">
        <f t="shared" si="45"/>
        <v>0</v>
      </c>
      <c r="K87" s="2"/>
      <c r="L87" s="6">
        <f t="shared" si="46"/>
        <v>-100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1580</v>
      </c>
      <c r="U87" s="2"/>
      <c r="V87" s="7">
        <f t="shared" si="49"/>
        <v>4.0139502554701505E-4</v>
      </c>
      <c r="W87" s="2"/>
      <c r="X87" s="6">
        <f t="shared" si="50"/>
        <v>-1580</v>
      </c>
      <c r="Y87" s="2"/>
      <c r="Z87" s="7">
        <f t="shared" si="51"/>
        <v>-1</v>
      </c>
    </row>
    <row r="88" spans="1:26" s="24" customFormat="1" hidden="1" outlineLevel="2" x14ac:dyDescent="0.25">
      <c r="A88" s="26"/>
      <c r="B88" s="11" t="str">
        <f>CONCATENATE("          ", "6245", " - ", "PRINTING")</f>
        <v xml:space="preserve">          6245 - PRINTING</v>
      </c>
      <c r="C88" s="11"/>
      <c r="D88" s="6"/>
      <c r="E88" s="2"/>
      <c r="F88" s="7">
        <f t="shared" si="44"/>
        <v>0</v>
      </c>
      <c r="G88" s="2"/>
      <c r="H88" s="6">
        <v>150</v>
      </c>
      <c r="I88" s="2"/>
      <c r="J88" s="7">
        <f t="shared" si="45"/>
        <v>0</v>
      </c>
      <c r="K88" s="2"/>
      <c r="L88" s="6">
        <f t="shared" si="46"/>
        <v>-150</v>
      </c>
      <c r="M88" s="2"/>
      <c r="N88" s="7">
        <f t="shared" si="47"/>
        <v>-1</v>
      </c>
      <c r="O88" s="11"/>
      <c r="P88" s="6"/>
      <c r="Q88" s="2"/>
      <c r="R88" s="7">
        <f t="shared" si="48"/>
        <v>0</v>
      </c>
      <c r="S88" s="2"/>
      <c r="T88" s="6">
        <v>2800</v>
      </c>
      <c r="U88" s="2"/>
      <c r="V88" s="7">
        <f t="shared" si="49"/>
        <v>7.1133295666559631E-4</v>
      </c>
      <c r="W88" s="2"/>
      <c r="X88" s="6">
        <f t="shared" si="50"/>
        <v>-2800</v>
      </c>
      <c r="Y88" s="2"/>
      <c r="Z88" s="7">
        <f t="shared" si="51"/>
        <v>-1</v>
      </c>
    </row>
    <row r="89" spans="1:26" s="24" customFormat="1" hidden="1" outlineLevel="2" x14ac:dyDescent="0.25">
      <c r="A89" s="26"/>
      <c r="B89" s="11" t="str">
        <f>CONCATENATE("          ", "6247", " - ", "STORE SUPPLIES")</f>
        <v xml:space="preserve">          6247 - STORE SUPPLIES</v>
      </c>
      <c r="C89" s="11"/>
      <c r="D89" s="6"/>
      <c r="E89" s="2"/>
      <c r="F89" s="7">
        <f t="shared" si="44"/>
        <v>0</v>
      </c>
      <c r="G89" s="2"/>
      <c r="H89" s="6">
        <v>0</v>
      </c>
      <c r="I89" s="2"/>
      <c r="J89" s="7">
        <f t="shared" si="45"/>
        <v>0</v>
      </c>
      <c r="K89" s="2"/>
      <c r="L89" s="6">
        <f t="shared" si="46"/>
        <v>0</v>
      </c>
      <c r="M89" s="2"/>
      <c r="N89" s="7">
        <f t="shared" si="47"/>
        <v>0</v>
      </c>
      <c r="O89" s="11"/>
      <c r="P89" s="6"/>
      <c r="Q89" s="2"/>
      <c r="R89" s="7">
        <f t="shared" si="48"/>
        <v>0</v>
      </c>
      <c r="S89" s="2"/>
      <c r="T89" s="6">
        <v>180</v>
      </c>
      <c r="U89" s="2"/>
      <c r="V89" s="7">
        <f t="shared" si="49"/>
        <v>4.5728547214216905E-5</v>
      </c>
      <c r="W89" s="2"/>
      <c r="X89" s="6">
        <f t="shared" si="50"/>
        <v>-180</v>
      </c>
      <c r="Y89" s="2"/>
      <c r="Z89" s="7">
        <f t="shared" si="51"/>
        <v>-1</v>
      </c>
    </row>
    <row r="90" spans="1:26" s="24" customFormat="1" hidden="1" outlineLevel="2" x14ac:dyDescent="0.25">
      <c r="A90" s="26"/>
      <c r="B90" s="11" t="str">
        <f>CONCATENATE("          ", "6248", " - ", "UNIFORMS")</f>
        <v xml:space="preserve">          6248 - UNIFORMS</v>
      </c>
      <c r="C90" s="11"/>
      <c r="D90" s="6"/>
      <c r="E90" s="2"/>
      <c r="F90" s="7">
        <f t="shared" si="44"/>
        <v>0</v>
      </c>
      <c r="G90" s="2"/>
      <c r="H90" s="6">
        <v>0</v>
      </c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4500.59</v>
      </c>
      <c r="Q90" s="2"/>
      <c r="R90" s="7">
        <f t="shared" si="48"/>
        <v>4.4037256505896306E-3</v>
      </c>
      <c r="S90" s="2"/>
      <c r="T90" s="6">
        <v>11350</v>
      </c>
      <c r="U90" s="2"/>
      <c r="V90" s="7">
        <f t="shared" si="49"/>
        <v>2.8834389493408992E-3</v>
      </c>
      <c r="W90" s="2"/>
      <c r="X90" s="6">
        <f t="shared" si="50"/>
        <v>-6849.41</v>
      </c>
      <c r="Y90" s="2"/>
      <c r="Z90" s="7">
        <f t="shared" si="51"/>
        <v>-0.60347224669603527</v>
      </c>
    </row>
    <row r="91" spans="1:26" s="27" customFormat="1" outlineLevel="1" collapsed="1" x14ac:dyDescent="0.25">
      <c r="A91" s="25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SUM(OSRRefD22_16x_0)</f>
        <v>998</v>
      </c>
      <c r="E91" s="1"/>
      <c r="F91" s="5">
        <f t="shared" ref="F91:F93" si="52">IF(D$12=0,0,D91/D$12)</f>
        <v>3.3143593456298942E-2</v>
      </c>
      <c r="G91" s="1"/>
      <c r="H91" s="1">
        <f>SUM(OSRRefH22_16x_0)</f>
        <v>725</v>
      </c>
      <c r="I91" s="1"/>
      <c r="J91" s="5">
        <f t="shared" ref="J91:J93" si="53">IF(H$12=0,0,H91/H$12)</f>
        <v>0</v>
      </c>
      <c r="K91" s="1"/>
      <c r="L91" s="1">
        <f t="shared" ref="L91:L93" si="54">+D91-H91</f>
        <v>273</v>
      </c>
      <c r="M91" s="1"/>
      <c r="N91" s="5">
        <f t="shared" ref="N91:N93" si="55">IF(H91=0,0,L91/H91)</f>
        <v>0.37655172413793103</v>
      </c>
      <c r="O91" s="13"/>
      <c r="P91" s="1">
        <f>SUM(OSRRefP22_16x_0)</f>
        <v>6396.32</v>
      </c>
      <c r="Q91" s="1"/>
      <c r="R91" s="5">
        <f t="shared" ref="R91:R93" si="56">IF(P$12=0,0,P91/P$12)</f>
        <v>6.2586546326991489E-3</v>
      </c>
      <c r="S91" s="1"/>
      <c r="T91" s="1">
        <f>SUM(OSRRefT22_16x_0)</f>
        <v>8700</v>
      </c>
      <c r="U91" s="1"/>
      <c r="V91" s="5">
        <f t="shared" ref="V91:V93" si="57">IF(T$12=0,0,T91/T$12)</f>
        <v>2.2102131153538171E-3</v>
      </c>
      <c r="W91" s="1"/>
      <c r="X91" s="1">
        <f t="shared" ref="X91:X93" si="58">+P91-T91</f>
        <v>-2303.6800000000003</v>
      </c>
      <c r="Y91" s="1"/>
      <c r="Z91" s="5">
        <f t="shared" ref="Z91:Z93" si="59">IF(T91=0,0,X91/T91)</f>
        <v>-0.26479080459770116</v>
      </c>
    </row>
    <row r="92" spans="1:26" s="24" customFormat="1" hidden="1" outlineLevel="2" x14ac:dyDescent="0.25">
      <c r="A92" s="26"/>
      <c r="B92" s="11" t="str">
        <f>CONCATENATE("          ", "6303", " - ", "DATA PHONE LINES")</f>
        <v xml:space="preserve">          6303 - DATA PHONE LINES</v>
      </c>
      <c r="C92" s="11"/>
      <c r="D92" s="6"/>
      <c r="E92" s="2"/>
      <c r="F92" s="7">
        <f t="shared" si="52"/>
        <v>0</v>
      </c>
      <c r="G92" s="2"/>
      <c r="H92" s="6">
        <v>500</v>
      </c>
      <c r="I92" s="2"/>
      <c r="J92" s="7">
        <f t="shared" si="53"/>
        <v>0</v>
      </c>
      <c r="K92" s="2"/>
      <c r="L92" s="6">
        <f t="shared" si="54"/>
        <v>-500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6000</v>
      </c>
      <c r="U92" s="2"/>
      <c r="V92" s="7">
        <f t="shared" si="57"/>
        <v>1.5242849071405635E-3</v>
      </c>
      <c r="W92" s="2"/>
      <c r="X92" s="6">
        <f t="shared" si="58"/>
        <v>-6000</v>
      </c>
      <c r="Y92" s="2"/>
      <c r="Z92" s="7">
        <f t="shared" si="59"/>
        <v>-1</v>
      </c>
    </row>
    <row r="93" spans="1:26" s="24" customFormat="1" hidden="1" outlineLevel="2" x14ac:dyDescent="0.25">
      <c r="A93" s="26"/>
      <c r="B93" s="11" t="str">
        <f>CONCATENATE("          ", "6309", " - ", "TELEPHONE")</f>
        <v xml:space="preserve">          6309 - TELEPHONE</v>
      </c>
      <c r="C93" s="11"/>
      <c r="D93" s="6">
        <v>998</v>
      </c>
      <c r="E93" s="2"/>
      <c r="F93" s="7">
        <f t="shared" si="52"/>
        <v>3.3143593456298942E-2</v>
      </c>
      <c r="G93" s="2"/>
      <c r="H93" s="6">
        <v>225</v>
      </c>
      <c r="I93" s="2"/>
      <c r="J93" s="7">
        <f t="shared" si="53"/>
        <v>0</v>
      </c>
      <c r="K93" s="2"/>
      <c r="L93" s="6">
        <f t="shared" si="54"/>
        <v>773</v>
      </c>
      <c r="M93" s="2"/>
      <c r="N93" s="7">
        <f t="shared" si="55"/>
        <v>3.4355555555555557</v>
      </c>
      <c r="O93" s="11"/>
      <c r="P93" s="6">
        <v>6396.32</v>
      </c>
      <c r="Q93" s="2"/>
      <c r="R93" s="7">
        <f t="shared" si="56"/>
        <v>6.2586546326991489E-3</v>
      </c>
      <c r="S93" s="2"/>
      <c r="T93" s="6">
        <v>2700</v>
      </c>
      <c r="U93" s="2"/>
      <c r="V93" s="7">
        <f t="shared" si="57"/>
        <v>6.8592820821325353E-4</v>
      </c>
      <c r="W93" s="2"/>
      <c r="X93" s="6">
        <f t="shared" si="58"/>
        <v>3696.3199999999997</v>
      </c>
      <c r="Y93" s="2"/>
      <c r="Z93" s="7">
        <f t="shared" si="59"/>
        <v>1.3690074074074072</v>
      </c>
    </row>
    <row r="94" spans="1:26" s="27" customFormat="1" outlineLevel="1" collapsed="1" x14ac:dyDescent="0.25">
      <c r="A94" s="25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SUM(OSRRefD22_17x_0)</f>
        <v>494</v>
      </c>
      <c r="E94" s="1"/>
      <c r="F94" s="5">
        <f t="shared" ref="F94:F98" si="60">IF(D$12=0,0,D94/D$12)</f>
        <v>1.6405746660733144E-2</v>
      </c>
      <c r="G94" s="1"/>
      <c r="H94" s="1">
        <f>SUM(OSRRefH22_17x_0)</f>
        <v>2250</v>
      </c>
      <c r="I94" s="1"/>
      <c r="J94" s="5">
        <f t="shared" ref="J94:J98" si="61">IF(H$12=0,0,H94/H$12)</f>
        <v>0</v>
      </c>
      <c r="K94" s="1"/>
      <c r="L94" s="1">
        <f t="shared" ref="L94:L98" si="62">+D94-H94</f>
        <v>-1756</v>
      </c>
      <c r="M94" s="1"/>
      <c r="N94" s="5">
        <f t="shared" ref="N94:N98" si="63">IF(H94=0,0,L94/H94)</f>
        <v>-0.7804444444444445</v>
      </c>
      <c r="O94" s="13"/>
      <c r="P94" s="1">
        <f>SUM(OSRRefP22_17x_0)</f>
        <v>1280.23</v>
      </c>
      <c r="Q94" s="1"/>
      <c r="R94" s="5">
        <f t="shared" ref="R94:R98" si="64">IF(P$12=0,0,P94/P$12)</f>
        <v>1.2526761357187308E-3</v>
      </c>
      <c r="S94" s="1"/>
      <c r="T94" s="1">
        <f>SUM(OSRRefT22_17x_0)</f>
        <v>11650</v>
      </c>
      <c r="U94" s="1"/>
      <c r="V94" s="5">
        <f t="shared" ref="V94:V98" si="65">IF(T$12=0,0,T94/T$12)</f>
        <v>2.9596531946979275E-3</v>
      </c>
      <c r="W94" s="1"/>
      <c r="X94" s="1">
        <f t="shared" ref="X94:X98" si="66">+P94-T94</f>
        <v>-10369.77</v>
      </c>
      <c r="Y94" s="1"/>
      <c r="Z94" s="5">
        <f t="shared" ref="Z94:Z98" si="67">IF(T94=0,0,X94/T94)</f>
        <v>-0.89010901287553656</v>
      </c>
    </row>
    <row r="95" spans="1:26" s="24" customFormat="1" hidden="1" outlineLevel="2" x14ac:dyDescent="0.25">
      <c r="A95" s="26"/>
      <c r="B95" s="11" t="str">
        <f>CONCATENATE("          ", "6376", " - ", "TRAINING")</f>
        <v xml:space="preserve">          6376 - TRAINING</v>
      </c>
      <c r="C95" s="11"/>
      <c r="D95" s="6">
        <v>494</v>
      </c>
      <c r="E95" s="2"/>
      <c r="F95" s="7">
        <f t="shared" si="60"/>
        <v>1.6405746660733144E-2</v>
      </c>
      <c r="G95" s="2"/>
      <c r="H95" s="6">
        <v>2250</v>
      </c>
      <c r="I95" s="2"/>
      <c r="J95" s="7">
        <f t="shared" si="61"/>
        <v>0</v>
      </c>
      <c r="K95" s="2"/>
      <c r="L95" s="6">
        <f t="shared" si="62"/>
        <v>-1756</v>
      </c>
      <c r="M95" s="2"/>
      <c r="N95" s="7">
        <f t="shared" si="63"/>
        <v>-0.7804444444444445</v>
      </c>
      <c r="O95" s="11"/>
      <c r="P95" s="6">
        <v>1280.23</v>
      </c>
      <c r="Q95" s="2"/>
      <c r="R95" s="7">
        <f t="shared" si="64"/>
        <v>1.2526761357187308E-3</v>
      </c>
      <c r="S95" s="2"/>
      <c r="T95" s="6">
        <v>11650</v>
      </c>
      <c r="U95" s="2"/>
      <c r="V95" s="7">
        <f t="shared" si="65"/>
        <v>2.9596531946979275E-3</v>
      </c>
      <c r="W95" s="2"/>
      <c r="X95" s="6">
        <f t="shared" si="66"/>
        <v>-10369.77</v>
      </c>
      <c r="Y95" s="2"/>
      <c r="Z95" s="7">
        <f t="shared" si="67"/>
        <v>-0.89010901287553656</v>
      </c>
    </row>
    <row r="96" spans="1:26" s="27" customFormat="1" outlineLevel="1" collapsed="1" x14ac:dyDescent="0.25">
      <c r="A96" s="25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0</v>
      </c>
      <c r="K96" s="1"/>
      <c r="L96" s="1">
        <f t="shared" si="62"/>
        <v>-300</v>
      </c>
      <c r="M96" s="1"/>
      <c r="N96" s="5">
        <f t="shared" si="63"/>
        <v>-1</v>
      </c>
      <c r="O96" s="13"/>
      <c r="P96" s="1">
        <f>SUM(OSRRefP22_18x_0)</f>
        <v>160.30000000000001</v>
      </c>
      <c r="Q96" s="1"/>
      <c r="R96" s="5">
        <f t="shared" si="64"/>
        <v>1.5684992896253998E-4</v>
      </c>
      <c r="S96" s="1"/>
      <c r="T96" s="1">
        <f>SUM(OSRRefT22_18x_0)</f>
        <v>3600</v>
      </c>
      <c r="U96" s="1"/>
      <c r="V96" s="5">
        <f t="shared" si="65"/>
        <v>9.1457094428433808E-4</v>
      </c>
      <c r="W96" s="1"/>
      <c r="X96" s="1">
        <f t="shared" si="66"/>
        <v>-3439.7</v>
      </c>
      <c r="Y96" s="1"/>
      <c r="Z96" s="5">
        <f t="shared" si="67"/>
        <v>-0.95547222222222217</v>
      </c>
    </row>
    <row r="97" spans="1:26" s="24" customFormat="1" hidden="1" outlineLevel="2" x14ac:dyDescent="0.25">
      <c r="A97" s="26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60"/>
        <v>0</v>
      </c>
      <c r="G97" s="2"/>
      <c r="H97" s="6">
        <v>300</v>
      </c>
      <c r="I97" s="2"/>
      <c r="J97" s="7">
        <f t="shared" si="61"/>
        <v>0</v>
      </c>
      <c r="K97" s="2"/>
      <c r="L97" s="6">
        <f t="shared" si="62"/>
        <v>-300</v>
      </c>
      <c r="M97" s="2"/>
      <c r="N97" s="7">
        <f t="shared" si="63"/>
        <v>-1</v>
      </c>
      <c r="O97" s="11"/>
      <c r="P97" s="6"/>
      <c r="Q97" s="2"/>
      <c r="R97" s="7">
        <f t="shared" si="64"/>
        <v>0</v>
      </c>
      <c r="S97" s="2"/>
      <c r="T97" s="6">
        <v>3600</v>
      </c>
      <c r="U97" s="2"/>
      <c r="V97" s="7">
        <f t="shared" si="65"/>
        <v>9.1457094428433808E-4</v>
      </c>
      <c r="W97" s="2"/>
      <c r="X97" s="6">
        <f t="shared" si="66"/>
        <v>-3600</v>
      </c>
      <c r="Y97" s="2"/>
      <c r="Z97" s="7">
        <f t="shared" si="67"/>
        <v>-1</v>
      </c>
    </row>
    <row r="98" spans="1:26" s="24" customFormat="1" hidden="1" outlineLevel="2" x14ac:dyDescent="0.25">
      <c r="A98" s="26"/>
      <c r="B98" s="11" t="str">
        <f>CONCATENATE("          ", "6294", " - ", "TRAVEL OPERATIONAL")</f>
        <v xml:space="preserve">          6294 - TRAVEL OPERATIONAL</v>
      </c>
      <c r="C98" s="11"/>
      <c r="D98" s="6"/>
      <c r="E98" s="2"/>
      <c r="F98" s="7">
        <f t="shared" si="60"/>
        <v>0</v>
      </c>
      <c r="G98" s="2"/>
      <c r="H98" s="6"/>
      <c r="I98" s="2"/>
      <c r="J98" s="7">
        <f t="shared" si="61"/>
        <v>0</v>
      </c>
      <c r="K98" s="2"/>
      <c r="L98" s="6">
        <f t="shared" si="62"/>
        <v>0</v>
      </c>
      <c r="M98" s="2"/>
      <c r="N98" s="7">
        <f t="shared" si="63"/>
        <v>0</v>
      </c>
      <c r="O98" s="11"/>
      <c r="P98" s="6">
        <v>160.30000000000001</v>
      </c>
      <c r="Q98" s="2"/>
      <c r="R98" s="7">
        <f t="shared" si="64"/>
        <v>1.5684992896253998E-4</v>
      </c>
      <c r="S98" s="2"/>
      <c r="T98" s="6"/>
      <c r="U98" s="2"/>
      <c r="V98" s="7">
        <f t="shared" si="65"/>
        <v>0</v>
      </c>
      <c r="W98" s="2"/>
      <c r="X98" s="6">
        <f t="shared" si="66"/>
        <v>160.30000000000001</v>
      </c>
      <c r="Y98" s="2"/>
      <c r="Z98" s="7">
        <f t="shared" si="67"/>
        <v>0</v>
      </c>
    </row>
    <row r="99" spans="1:26" s="61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293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277</v>
      </c>
      <c r="C102" s="28"/>
      <c r="D102" s="20">
        <f>+D23-D25+D100</f>
        <v>-176159.76</v>
      </c>
      <c r="E102" s="14"/>
      <c r="F102" s="22">
        <f>IF(D$12=0,0,D102/D$12)</f>
        <v>-5.85026800480881</v>
      </c>
      <c r="G102" s="14"/>
      <c r="H102" s="20">
        <f>+H23-H25+H100</f>
        <v>-246610.45929112611</v>
      </c>
      <c r="I102" s="14"/>
      <c r="J102" s="22">
        <f>IF(H$12=0,0,H102/H$12)</f>
        <v>0</v>
      </c>
      <c r="K102" s="16"/>
      <c r="L102" s="20">
        <f>+D102-H102</f>
        <v>70450.699291126104</v>
      </c>
      <c r="M102" s="16"/>
      <c r="N102" s="22">
        <f>IF(H102=0,0,L102/H102)</f>
        <v>-0.28567603942523112</v>
      </c>
      <c r="O102" s="29"/>
      <c r="P102" s="20">
        <f>+P23-P25+P100</f>
        <v>-2093146.8999999994</v>
      </c>
      <c r="Q102" s="14"/>
      <c r="R102" s="22">
        <f>IF(P$12=0,0,P102/P$12)</f>
        <v>-2.0480969592835976</v>
      </c>
      <c r="S102" s="14"/>
      <c r="T102" s="20">
        <f>+T23-T25+T100</f>
        <v>-1403503.6328406399</v>
      </c>
      <c r="U102" s="14"/>
      <c r="V102" s="22">
        <f>IF(T$12=0,0,T102/T$12)</f>
        <v>-0.3565565674426564</v>
      </c>
      <c r="W102" s="16"/>
      <c r="X102" s="20">
        <f>+P102-T102</f>
        <v>-689643.26715935953</v>
      </c>
      <c r="Y102" s="16"/>
      <c r="Z102" s="22">
        <f>IF(T102=0,0,X102/T102)</f>
        <v>0.49137262706156792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128</v>
      </c>
      <c r="C104" s="10"/>
      <c r="D104" s="4">
        <v>70926.69</v>
      </c>
      <c r="E104" s="4"/>
      <c r="F104" s="12">
        <f>IF(D$12=0,0,D104/D$12)</f>
        <v>2.3554763312233904</v>
      </c>
      <c r="G104" s="4"/>
      <c r="H104" s="4">
        <v>-61553</v>
      </c>
      <c r="I104" s="4"/>
      <c r="J104" s="12">
        <f>IF(H$12=0,0,H104/H$12)</f>
        <v>0</v>
      </c>
      <c r="K104" s="4"/>
      <c r="L104" s="4">
        <f>+D104-H104</f>
        <v>132479.69</v>
      </c>
      <c r="M104" s="4"/>
      <c r="N104" s="12">
        <f>IF(H104=0,0,L104/H104)</f>
        <v>-2.1522864848179619</v>
      </c>
      <c r="O104" s="10"/>
      <c r="P104" s="4">
        <v>282883.03000000003</v>
      </c>
      <c r="Q104" s="4"/>
      <c r="R104" s="12">
        <f>IF(P$12=0,0,P104/P$12)</f>
        <v>0.27679465477359994</v>
      </c>
      <c r="S104" s="4"/>
      <c r="T104" s="4">
        <v>665142</v>
      </c>
      <c r="U104" s="4"/>
      <c r="V104" s="12">
        <f>IF(T$12=0,0,T104/T$12)</f>
        <v>0.16897765195088144</v>
      </c>
      <c r="W104" s="4"/>
      <c r="X104" s="4">
        <f>+P104-T104</f>
        <v>-382258.97</v>
      </c>
      <c r="Y104" s="4"/>
      <c r="Z104" s="12">
        <f>IF(T104=0,0,X104/T104)</f>
        <v>-0.57470280030429588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126</v>
      </c>
      <c r="C106" s="28"/>
      <c r="D106" s="34">
        <f>+D102-D104</f>
        <v>-247086.45</v>
      </c>
      <c r="E106" s="14"/>
      <c r="F106" s="35">
        <f>IF(D$12=0,0,D106/D$12)</f>
        <v>-8.2057443360322004</v>
      </c>
      <c r="G106" s="14"/>
      <c r="H106" s="34">
        <f>+H102-H104</f>
        <v>-185057.45929112611</v>
      </c>
      <c r="I106" s="14"/>
      <c r="J106" s="35">
        <f>IF(H$12=0,0,H106/H$12)</f>
        <v>0</v>
      </c>
      <c r="K106" s="16"/>
      <c r="L106" s="34">
        <f>D106-H106</f>
        <v>-62028.990708873898</v>
      </c>
      <c r="M106" s="16"/>
      <c r="N106" s="35">
        <f>IF(H106=0,0,L106/H106)</f>
        <v>0.33518773545513775</v>
      </c>
      <c r="O106" s="29"/>
      <c r="P106" s="34">
        <f>+P102-P104</f>
        <v>-2376029.9299999997</v>
      </c>
      <c r="Q106" s="14"/>
      <c r="R106" s="35">
        <f>IF(P$12=0,0,P106/P$12)</f>
        <v>-2.3248916140571976</v>
      </c>
      <c r="S106" s="14"/>
      <c r="T106" s="34">
        <f>+T102-T104</f>
        <v>-2068645.6328406399</v>
      </c>
      <c r="U106" s="14"/>
      <c r="V106" s="35">
        <f>IF(T$12=0,0,T106/T$12)</f>
        <v>-0.52553421939353784</v>
      </c>
      <c r="W106" s="16"/>
      <c r="X106" s="34">
        <f>P106-T106</f>
        <v>-307384.29715935979</v>
      </c>
      <c r="Y106" s="16"/>
      <c r="Z106" s="35">
        <f>IF(T106=0,0,X106/T106)</f>
        <v>0.14859205089528227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294</v>
      </c>
      <c r="C109" s="28"/>
      <c r="D109" s="33">
        <f>SUM(D106:D108)</f>
        <v>-247086.45</v>
      </c>
      <c r="E109" s="14"/>
      <c r="F109" s="31">
        <f>IF(D$12=0,0,D109/D$12)</f>
        <v>-8.2057443360322004</v>
      </c>
      <c r="G109" s="14"/>
      <c r="H109" s="33">
        <f>SUM(H106:H108)</f>
        <v>-185057.45929112611</v>
      </c>
      <c r="I109" s="14"/>
      <c r="J109" s="31">
        <f>IF(H$12=0,0,H109/H$12)</f>
        <v>0</v>
      </c>
      <c r="K109" s="16"/>
      <c r="L109" s="33">
        <f>+D109-H109</f>
        <v>-62028.990708873898</v>
      </c>
      <c r="M109" s="16"/>
      <c r="N109" s="31">
        <f>IF(H109=0,0,L109/H109)</f>
        <v>0.33518773545513775</v>
      </c>
      <c r="O109" s="29"/>
      <c r="P109" s="33">
        <f>SUM(P106:P108)</f>
        <v>-2376029.9299999997</v>
      </c>
      <c r="Q109" s="14"/>
      <c r="R109" s="31">
        <f>IF(P$12=0,0,P109/P$12)</f>
        <v>-2.3248916140571976</v>
      </c>
      <c r="S109" s="14"/>
      <c r="T109" s="33">
        <f>SUM(T106:T108)</f>
        <v>-2068645.6328406399</v>
      </c>
      <c r="U109" s="14"/>
      <c r="V109" s="31">
        <f>IF(T$12=0,0,T109/T$12)</f>
        <v>-0.52553421939353784</v>
      </c>
      <c r="W109" s="16"/>
      <c r="X109" s="33">
        <f>+P109-T109</f>
        <v>-307384.29715935979</v>
      </c>
      <c r="Y109" s="16"/>
      <c r="Z109" s="31">
        <f>IF(T109=0,0,X109/T109)</f>
        <v>0.14859205089528227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6">
        <v>44454.686056481478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5" t="s">
        <v>56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63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15995.380000000001</v>
      </c>
      <c r="E18" s="21"/>
      <c r="F18" s="30">
        <f t="shared" ref="F18:F28" si="0">IF(D$12=0,0,D18/D$12)</f>
        <v>0</v>
      </c>
      <c r="G18" s="21"/>
      <c r="H18" s="21">
        <f>SUM(OSRRefH22x_0)</f>
        <v>13801.532740000001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2193.8472600000005</v>
      </c>
      <c r="M18" s="4"/>
      <c r="N18" s="30">
        <f t="shared" ref="N18:N28" si="3">IF(H18=0,0,L18/H18)</f>
        <v>0.15895678409990863</v>
      </c>
      <c r="O18" s="10"/>
      <c r="P18" s="21">
        <f>SUM(OSRRefP22x_0)</f>
        <v>206483.78000000003</v>
      </c>
      <c r="Q18" s="21"/>
      <c r="R18" s="30">
        <f t="shared" ref="R18:R28" si="4">IF(P$12=0,0,P18/P$12)</f>
        <v>0</v>
      </c>
      <c r="S18" s="21"/>
      <c r="T18" s="21">
        <f>SUM(OSRRefT22x_0)</f>
        <v>216684.92561999999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-10201.145619999967</v>
      </c>
      <c r="Y18" s="4"/>
      <c r="Z18" s="30">
        <f t="shared" ref="Z18:Z28" si="7">IF(T18=0,0,X18/T18)</f>
        <v>-4.7078243171791746E-2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6073.71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1782.2772599999998</v>
      </c>
      <c r="M19" s="1"/>
      <c r="N19" s="5">
        <f t="shared" si="3"/>
        <v>0.41531054265107736</v>
      </c>
      <c r="O19" s="13"/>
      <c r="P19" s="1">
        <f>SUM(OSRRefP22_0x_0)</f>
        <v>69971.17</v>
      </c>
      <c r="Q19" s="1"/>
      <c r="R19" s="5">
        <f t="shared" si="4"/>
        <v>0</v>
      </c>
      <c r="S19" s="1"/>
      <c r="T19" s="1">
        <f>SUM(OSRRefT22_0x_0)</f>
        <v>53808.625620000006</v>
      </c>
      <c r="U19" s="1"/>
      <c r="V19" s="5">
        <f t="shared" si="5"/>
        <v>0</v>
      </c>
      <c r="W19" s="1"/>
      <c r="X19" s="1">
        <f t="shared" si="6"/>
        <v>16162.544379999992</v>
      </c>
      <c r="Y19" s="1"/>
      <c r="Z19" s="5">
        <f t="shared" si="7"/>
        <v>0.30037088280494145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691.15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5.5942599999999629</v>
      </c>
      <c r="M20" s="2"/>
      <c r="N20" s="7">
        <f t="shared" si="3"/>
        <v>8.16018256954564E-3</v>
      </c>
      <c r="O20" s="11"/>
      <c r="P20" s="6">
        <v>9167.84</v>
      </c>
      <c r="Q20" s="2"/>
      <c r="R20" s="7">
        <f t="shared" si="4"/>
        <v>0</v>
      </c>
      <c r="S20" s="2"/>
      <c r="T20" s="6">
        <v>8912.2246200000009</v>
      </c>
      <c r="U20" s="2"/>
      <c r="V20" s="7">
        <f t="shared" si="5"/>
        <v>0</v>
      </c>
      <c r="W20" s="2"/>
      <c r="X20" s="6">
        <f t="shared" si="6"/>
        <v>255.61537999999928</v>
      </c>
      <c r="Y20" s="2"/>
      <c r="Z20" s="7">
        <f t="shared" si="7"/>
        <v>2.8681433749590486E-2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387.58</v>
      </c>
      <c r="E21" s="2"/>
      <c r="F21" s="7">
        <f t="shared" si="0"/>
        <v>0</v>
      </c>
      <c r="G21" s="2"/>
      <c r="H21" s="6">
        <v>384.29820000000001</v>
      </c>
      <c r="I21" s="2"/>
      <c r="J21" s="7">
        <f t="shared" si="1"/>
        <v>0</v>
      </c>
      <c r="K21" s="2"/>
      <c r="L21" s="6">
        <f t="shared" si="2"/>
        <v>3.2817999999999756</v>
      </c>
      <c r="M21" s="2"/>
      <c r="N21" s="7">
        <f t="shared" si="3"/>
        <v>8.5397225383828899E-3</v>
      </c>
      <c r="O21" s="11"/>
      <c r="P21" s="6">
        <v>5131.6499999999996</v>
      </c>
      <c r="Q21" s="2"/>
      <c r="R21" s="7">
        <f t="shared" si="4"/>
        <v>0</v>
      </c>
      <c r="S21" s="2"/>
      <c r="T21" s="6">
        <v>4995.8765999999996</v>
      </c>
      <c r="U21" s="2"/>
      <c r="V21" s="7">
        <f t="shared" si="5"/>
        <v>0</v>
      </c>
      <c r="W21" s="2"/>
      <c r="X21" s="6">
        <f t="shared" si="6"/>
        <v>135.77340000000004</v>
      </c>
      <c r="Y21" s="2"/>
      <c r="Z21" s="7">
        <f t="shared" si="7"/>
        <v>2.7177092404564205E-2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2691.73</v>
      </c>
      <c r="E22" s="2"/>
      <c r="F22" s="7">
        <f t="shared" si="0"/>
        <v>0</v>
      </c>
      <c r="G22" s="2"/>
      <c r="H22" s="6">
        <v>1980</v>
      </c>
      <c r="I22" s="2"/>
      <c r="J22" s="7">
        <f t="shared" si="1"/>
        <v>0</v>
      </c>
      <c r="K22" s="2"/>
      <c r="L22" s="6">
        <f t="shared" si="2"/>
        <v>711.73</v>
      </c>
      <c r="M22" s="2"/>
      <c r="N22" s="7">
        <f t="shared" si="3"/>
        <v>0.35945959595959598</v>
      </c>
      <c r="O22" s="11"/>
      <c r="P22" s="6">
        <v>32577.78</v>
      </c>
      <c r="Q22" s="2"/>
      <c r="R22" s="7">
        <f t="shared" si="4"/>
        <v>0</v>
      </c>
      <c r="S22" s="2"/>
      <c r="T22" s="6">
        <v>23760</v>
      </c>
      <c r="U22" s="2"/>
      <c r="V22" s="7">
        <f t="shared" si="5"/>
        <v>0</v>
      </c>
      <c r="W22" s="2"/>
      <c r="X22" s="6">
        <f t="shared" si="6"/>
        <v>8817.7799999999988</v>
      </c>
      <c r="Y22" s="2"/>
      <c r="Z22" s="7">
        <f t="shared" si="7"/>
        <v>0.37111868686868682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23.49</v>
      </c>
      <c r="E23" s="2"/>
      <c r="F23" s="7">
        <f t="shared" si="0"/>
        <v>0</v>
      </c>
      <c r="G23" s="2"/>
      <c r="H23" s="6">
        <v>23.290800000000001</v>
      </c>
      <c r="I23" s="2"/>
      <c r="J23" s="7">
        <f t="shared" si="1"/>
        <v>0</v>
      </c>
      <c r="K23" s="2"/>
      <c r="L23" s="6">
        <f t="shared" si="2"/>
        <v>0.1991999999999976</v>
      </c>
      <c r="M23" s="2"/>
      <c r="N23" s="7">
        <f t="shared" si="3"/>
        <v>8.5527332680714104E-3</v>
      </c>
      <c r="O23" s="11"/>
      <c r="P23" s="6">
        <v>310.99</v>
      </c>
      <c r="Q23" s="2"/>
      <c r="R23" s="7">
        <f t="shared" si="4"/>
        <v>0</v>
      </c>
      <c r="S23" s="2"/>
      <c r="T23" s="6">
        <v>302.78039999999999</v>
      </c>
      <c r="U23" s="2"/>
      <c r="V23" s="7">
        <f t="shared" si="5"/>
        <v>0</v>
      </c>
      <c r="W23" s="2"/>
      <c r="X23" s="6">
        <f t="shared" si="6"/>
        <v>8.2096000000000231</v>
      </c>
      <c r="Y23" s="2"/>
      <c r="Z23" s="7">
        <f t="shared" si="7"/>
        <v>2.7114040406842791E-2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1038.8599999999999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268.47199999999987</v>
      </c>
      <c r="M24" s="2"/>
      <c r="N24" s="7">
        <f t="shared" si="3"/>
        <v>0.34848933264796422</v>
      </c>
      <c r="O24" s="11"/>
      <c r="P24" s="6">
        <v>9349.7099999999991</v>
      </c>
      <c r="Q24" s="2"/>
      <c r="R24" s="7">
        <f t="shared" si="4"/>
        <v>0</v>
      </c>
      <c r="S24" s="2"/>
      <c r="T24" s="6">
        <v>10015.044</v>
      </c>
      <c r="U24" s="2"/>
      <c r="V24" s="7">
        <f t="shared" si="5"/>
        <v>0</v>
      </c>
      <c r="W24" s="2"/>
      <c r="X24" s="6">
        <f t="shared" si="6"/>
        <v>-665.33400000000074</v>
      </c>
      <c r="Y24" s="2"/>
      <c r="Z24" s="7">
        <f t="shared" si="7"/>
        <v>-6.6433457506527252E-2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827.64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558.9</v>
      </c>
      <c r="M26" s="2"/>
      <c r="N26" s="7">
        <f t="shared" si="3"/>
        <v>2.0797052913596783</v>
      </c>
      <c r="O26" s="11"/>
      <c r="P26" s="6">
        <v>7892.82</v>
      </c>
      <c r="Q26" s="2"/>
      <c r="R26" s="7">
        <f t="shared" si="4"/>
        <v>0</v>
      </c>
      <c r="S26" s="2"/>
      <c r="T26" s="6">
        <v>3493.62</v>
      </c>
      <c r="U26" s="2"/>
      <c r="V26" s="7">
        <f t="shared" si="5"/>
        <v>0</v>
      </c>
      <c r="W26" s="2"/>
      <c r="X26" s="6">
        <f t="shared" si="6"/>
        <v>4399.2</v>
      </c>
      <c r="Y26" s="2"/>
      <c r="Z26" s="7">
        <f t="shared" si="7"/>
        <v>1.259209645010047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234.1</v>
      </c>
      <c r="M27" s="2"/>
      <c r="N27" s="7">
        <f t="shared" si="3"/>
        <v>1.3066532708193792</v>
      </c>
      <c r="O27" s="11"/>
      <c r="P27" s="6">
        <v>5372.38</v>
      </c>
      <c r="Q27" s="2"/>
      <c r="R27" s="7">
        <f t="shared" si="4"/>
        <v>0</v>
      </c>
      <c r="S27" s="2"/>
      <c r="T27" s="6">
        <v>2329.08</v>
      </c>
      <c r="U27" s="2"/>
      <c r="V27" s="7">
        <f t="shared" si="5"/>
        <v>0</v>
      </c>
      <c r="W27" s="2"/>
      <c r="X27" s="6">
        <f t="shared" si="6"/>
        <v>3043.3</v>
      </c>
      <c r="Y27" s="2"/>
      <c r="Z27" s="7">
        <f t="shared" si="7"/>
        <v>1.3066532708193794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168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168</v>
      </c>
      <c r="Y28" s="2"/>
      <c r="Z28" s="7">
        <f t="shared" si="7"/>
        <v>0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6271.67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-2238.4300000000003</v>
      </c>
      <c r="M29" s="1"/>
      <c r="N29" s="5">
        <f t="shared" ref="N29:N39" si="11">IF(H29=0,0,L29/H29)</f>
        <v>-0.26303216178423289</v>
      </c>
      <c r="O29" s="13"/>
      <c r="P29" s="1">
        <f>SUM(OSRRefP22_1x_0)</f>
        <v>106395.53</v>
      </c>
      <c r="Q29" s="1"/>
      <c r="R29" s="5">
        <f t="shared" ref="R29:R39" si="12">IF(P$12=0,0,P29/P$12)</f>
        <v>0</v>
      </c>
      <c r="S29" s="1"/>
      <c r="T29" s="1">
        <f>SUM(OSRRefT22_1x_0)</f>
        <v>110631.3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-4235.7700000000041</v>
      </c>
      <c r="Y29" s="1"/>
      <c r="Z29" s="5">
        <f t="shared" ref="Z29:Z39" si="15">IF(T29=0,0,X29/T29)</f>
        <v>-3.8287265900337465E-2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6271.67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6271.67</v>
      </c>
      <c r="M30" s="2"/>
      <c r="N30" s="7">
        <f t="shared" si="11"/>
        <v>0</v>
      </c>
      <c r="O30" s="11"/>
      <c r="P30" s="6">
        <v>106395.53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106395.53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110631.3</v>
      </c>
      <c r="U31" s="2"/>
      <c r="V31" s="7">
        <f t="shared" si="13"/>
        <v>0</v>
      </c>
      <c r="W31" s="2"/>
      <c r="X31" s="6">
        <f t="shared" si="14"/>
        <v>-110631.3</v>
      </c>
      <c r="Y31" s="2"/>
      <c r="Z31" s="7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1.65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1.65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3"/>
      <c r="P42" s="1">
        <f>SUM(OSRRefP22_3x_0)</f>
        <v>24500</v>
      </c>
      <c r="Q42" s="1"/>
      <c r="R42" s="5">
        <f t="shared" si="20"/>
        <v>0</v>
      </c>
      <c r="S42" s="1"/>
      <c r="T42" s="1">
        <f>SUM(OSRRefT22_3x_0)</f>
        <v>40245</v>
      </c>
      <c r="U42" s="1"/>
      <c r="V42" s="5">
        <f t="shared" si="21"/>
        <v>0</v>
      </c>
      <c r="W42" s="1"/>
      <c r="X42" s="1">
        <f t="shared" si="22"/>
        <v>-15745</v>
      </c>
      <c r="Y42" s="1"/>
      <c r="Z42" s="5">
        <f t="shared" si="23"/>
        <v>-0.39122872406510123</v>
      </c>
    </row>
    <row r="43" spans="1:26" s="24" customFormat="1" hidden="1" outlineLevel="2" x14ac:dyDescent="0.25">
      <c r="A43" s="26"/>
      <c r="B43" s="11" t="str">
        <f>CONCATENATE("          ", "6371", " - ", "COMPUTER SOFTWARE MAINTENANCE")</f>
        <v xml:space="preserve">          6371 - COMPUTER SOFTWARE MAINTENANCE</v>
      </c>
      <c r="C43" s="11"/>
      <c r="D43" s="6">
        <v>3500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3500</v>
      </c>
      <c r="M43" s="2"/>
      <c r="N43" s="7">
        <f t="shared" si="19"/>
        <v>0</v>
      </c>
      <c r="O43" s="11"/>
      <c r="P43" s="6">
        <v>24500</v>
      </c>
      <c r="Q43" s="2"/>
      <c r="R43" s="7">
        <f t="shared" si="20"/>
        <v>0</v>
      </c>
      <c r="S43" s="2"/>
      <c r="T43" s="6">
        <v>40245</v>
      </c>
      <c r="U43" s="2"/>
      <c r="V43" s="7">
        <f t="shared" si="21"/>
        <v>0</v>
      </c>
      <c r="W43" s="2"/>
      <c r="X43" s="6">
        <f t="shared" si="22"/>
        <v>-15745</v>
      </c>
      <c r="Y43" s="2"/>
      <c r="Z43" s="7">
        <f t="shared" si="23"/>
        <v>-0.39122872406510123</v>
      </c>
    </row>
    <row r="44" spans="1:26" s="27" customFormat="1" outlineLevel="1" collapsed="1" x14ac:dyDescent="0.25">
      <c r="A44" s="25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3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4800</v>
      </c>
      <c r="U44" s="1"/>
      <c r="V44" s="5">
        <f t="shared" si="21"/>
        <v>0</v>
      </c>
      <c r="W44" s="1"/>
      <c r="X44" s="1">
        <f t="shared" si="22"/>
        <v>139.19999999999982</v>
      </c>
      <c r="Y44" s="1"/>
      <c r="Z44" s="5">
        <f t="shared" si="23"/>
        <v>2.8999999999999963E-2</v>
      </c>
    </row>
    <row r="45" spans="1:26" s="24" customFormat="1" hidden="1" outlineLevel="2" x14ac:dyDescent="0.25">
      <c r="A45" s="26"/>
      <c r="B45" s="11" t="str">
        <f>CONCATENATE("          ", "6234", " - ", "EXPENDABLE SUPPLIES &amp; EQUIPMEN")</f>
        <v xml:space="preserve">          6234 - EXPENDABLE SUPPLIES &amp; EQUIPMEN</v>
      </c>
      <c r="C45" s="11"/>
      <c r="D45" s="6"/>
      <c r="E45" s="2"/>
      <c r="F45" s="7">
        <f t="shared" si="16"/>
        <v>0</v>
      </c>
      <c r="G45" s="2"/>
      <c r="H45" s="6">
        <v>100</v>
      </c>
      <c r="I45" s="2"/>
      <c r="J45" s="7">
        <f t="shared" si="17"/>
        <v>0</v>
      </c>
      <c r="K45" s="2"/>
      <c r="L45" s="6">
        <f t="shared" si="18"/>
        <v>-100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1200</v>
      </c>
      <c r="U45" s="2"/>
      <c r="V45" s="7">
        <f t="shared" si="21"/>
        <v>0</v>
      </c>
      <c r="W45" s="2"/>
      <c r="X45" s="6">
        <f t="shared" si="22"/>
        <v>-1200</v>
      </c>
      <c r="Y45" s="2"/>
      <c r="Z45" s="7">
        <f t="shared" si="23"/>
        <v>-1</v>
      </c>
    </row>
    <row r="46" spans="1:26" s="24" customFormat="1" hidden="1" outlineLevel="2" x14ac:dyDescent="0.25">
      <c r="A46" s="26"/>
      <c r="B46" s="11" t="str">
        <f>CONCATENATE("          ", "6235", " - ", "COVID-19 EXPENSES")</f>
        <v xml:space="preserve">          6235 - COVID-19 EXPENSES</v>
      </c>
      <c r="C46" s="11"/>
      <c r="D46" s="6"/>
      <c r="E46" s="2"/>
      <c r="F46" s="7">
        <f t="shared" si="16"/>
        <v>0</v>
      </c>
      <c r="G46" s="2"/>
      <c r="H46" s="6">
        <v>200</v>
      </c>
      <c r="I46" s="2"/>
      <c r="J46" s="7">
        <f t="shared" si="17"/>
        <v>0</v>
      </c>
      <c r="K46" s="2"/>
      <c r="L46" s="6">
        <f t="shared" si="18"/>
        <v>-200</v>
      </c>
      <c r="M46" s="2"/>
      <c r="N46" s="7">
        <f t="shared" si="19"/>
        <v>-1</v>
      </c>
      <c r="O46" s="11"/>
      <c r="P46" s="6">
        <v>4939.2</v>
      </c>
      <c r="Q46" s="2"/>
      <c r="R46" s="7">
        <f t="shared" si="20"/>
        <v>0</v>
      </c>
      <c r="S46" s="2"/>
      <c r="T46" s="6">
        <v>2400</v>
      </c>
      <c r="U46" s="2"/>
      <c r="V46" s="7">
        <f t="shared" si="21"/>
        <v>0</v>
      </c>
      <c r="W46" s="2"/>
      <c r="X46" s="6">
        <f t="shared" si="22"/>
        <v>2539.1999999999998</v>
      </c>
      <c r="Y46" s="2"/>
      <c r="Z46" s="7">
        <f t="shared" si="23"/>
        <v>1.0579999999999998</v>
      </c>
    </row>
    <row r="47" spans="1:26" s="24" customFormat="1" hidden="1" outlineLevel="2" x14ac:dyDescent="0.25">
      <c r="A47" s="26"/>
      <c r="B47" s="11" t="str">
        <f>CONCATENATE("          ", "6241", " - ", "OFFICE EXPENSE")</f>
        <v xml:space="preserve">          6241 - OFFICE EXPENSE</v>
      </c>
      <c r="C47" s="11"/>
      <c r="D47" s="6"/>
      <c r="E47" s="2"/>
      <c r="F47" s="7">
        <f t="shared" si="16"/>
        <v>0</v>
      </c>
      <c r="G47" s="2"/>
      <c r="H47" s="6">
        <v>100</v>
      </c>
      <c r="I47" s="2"/>
      <c r="J47" s="7">
        <f t="shared" si="17"/>
        <v>0</v>
      </c>
      <c r="K47" s="2"/>
      <c r="L47" s="6">
        <f t="shared" si="18"/>
        <v>-100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1200</v>
      </c>
      <c r="U47" s="2"/>
      <c r="V47" s="7">
        <f t="shared" si="21"/>
        <v>0</v>
      </c>
      <c r="W47" s="2"/>
      <c r="X47" s="6">
        <f t="shared" si="22"/>
        <v>-1200</v>
      </c>
      <c r="Y47" s="2"/>
      <c r="Z47" s="7">
        <f t="shared" si="23"/>
        <v>-1</v>
      </c>
    </row>
    <row r="48" spans="1:26" s="27" customFormat="1" outlineLevel="1" collapsed="1" x14ac:dyDescent="0.25">
      <c r="A48" s="25"/>
      <c r="B48" s="13" t="str">
        <f>CONCATENATE("     ","Telephone/Data Lines                              ")</f>
        <v xml:space="preserve">     Telephone/Data Lines                              </v>
      </c>
      <c r="C48" s="13"/>
      <c r="D48" s="1">
        <f>SUM(OSRRefD22_5x_0)</f>
        <v>150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50</v>
      </c>
      <c r="M48" s="1"/>
      <c r="N48" s="5">
        <f t="shared" ref="N48:N50" si="27">IF(H48=0,0,L48/H48)</f>
        <v>0.5</v>
      </c>
      <c r="O48" s="13"/>
      <c r="P48" s="1">
        <f>SUM(OSRRefP22_5x_0)</f>
        <v>625</v>
      </c>
      <c r="Q48" s="1"/>
      <c r="R48" s="5">
        <f t="shared" ref="R48:R50" si="28">IF(P$12=0,0,P48/P$12)</f>
        <v>0</v>
      </c>
      <c r="S48" s="1"/>
      <c r="T48" s="1">
        <f>SUM(OSRRefT22_5x_0)</f>
        <v>1200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-575</v>
      </c>
      <c r="Y48" s="1"/>
      <c r="Z48" s="5">
        <f t="shared" ref="Z48:Z50" si="31">IF(T48=0,0,X48/T48)</f>
        <v>-0.47916666666666669</v>
      </c>
    </row>
    <row r="49" spans="1:26" s="24" customFormat="1" hidden="1" outlineLevel="2" x14ac:dyDescent="0.25">
      <c r="A49" s="26"/>
      <c r="B49" s="11" t="str">
        <f>CONCATENATE("          ", "6303", " - ", "DATA PHONE LINES")</f>
        <v xml:space="preserve">          6303 - DATA PHONE LINES</v>
      </c>
      <c r="C49" s="11"/>
      <c r="D49" s="6"/>
      <c r="E49" s="2"/>
      <c r="F49" s="7">
        <f t="shared" si="24"/>
        <v>0</v>
      </c>
      <c r="G49" s="2"/>
      <c r="H49" s="6">
        <v>50</v>
      </c>
      <c r="I49" s="2"/>
      <c r="J49" s="7">
        <f t="shared" si="25"/>
        <v>0</v>
      </c>
      <c r="K49" s="2"/>
      <c r="L49" s="6">
        <f t="shared" si="26"/>
        <v>-50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600</v>
      </c>
      <c r="U49" s="2"/>
      <c r="V49" s="7">
        <f t="shared" si="29"/>
        <v>0</v>
      </c>
      <c r="W49" s="2"/>
      <c r="X49" s="6">
        <f t="shared" si="30"/>
        <v>-600</v>
      </c>
      <c r="Y49" s="2"/>
      <c r="Z49" s="7">
        <f t="shared" si="31"/>
        <v>-1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6">
        <v>150</v>
      </c>
      <c r="E50" s="2"/>
      <c r="F50" s="7">
        <f t="shared" si="24"/>
        <v>0</v>
      </c>
      <c r="G50" s="2"/>
      <c r="H50" s="6">
        <v>50</v>
      </c>
      <c r="I50" s="2"/>
      <c r="J50" s="7">
        <f t="shared" si="25"/>
        <v>0</v>
      </c>
      <c r="K50" s="2"/>
      <c r="L50" s="6">
        <f t="shared" si="26"/>
        <v>100</v>
      </c>
      <c r="M50" s="2"/>
      <c r="N50" s="7">
        <f t="shared" si="27"/>
        <v>2</v>
      </c>
      <c r="O50" s="11"/>
      <c r="P50" s="6">
        <v>625</v>
      </c>
      <c r="Q50" s="2"/>
      <c r="R50" s="7">
        <f t="shared" si="28"/>
        <v>0</v>
      </c>
      <c r="S50" s="2"/>
      <c r="T50" s="6">
        <v>600</v>
      </c>
      <c r="U50" s="2"/>
      <c r="V50" s="7">
        <f t="shared" si="29"/>
        <v>0</v>
      </c>
      <c r="W50" s="2"/>
      <c r="X50" s="6">
        <f t="shared" si="30"/>
        <v>25</v>
      </c>
      <c r="Y50" s="2"/>
      <c r="Z50" s="7">
        <f t="shared" si="31"/>
        <v>4.1666666666666664E-2</v>
      </c>
    </row>
    <row r="51" spans="1:26" s="27" customFormat="1" outlineLevel="1" collapsed="1" x14ac:dyDescent="0.25">
      <c r="A51" s="25"/>
      <c r="B51" s="13" t="str">
        <f>CONCATENATE("     ","Training                                          ")</f>
        <v xml:space="preserve">     Training                                          </v>
      </c>
      <c r="C51" s="13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3"/>
      <c r="P51" s="1">
        <f>SUM(OSRRefP22_6x_0)</f>
        <v>51.23</v>
      </c>
      <c r="Q51" s="1"/>
      <c r="R51" s="5">
        <f t="shared" ref="R51:R54" si="36">IF(P$12=0,0,P51/P$12)</f>
        <v>0</v>
      </c>
      <c r="S51" s="1"/>
      <c r="T51" s="1">
        <f>SUM(OSRRefT22_6x_0)</f>
        <v>2400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-2348.77</v>
      </c>
      <c r="Y51" s="1"/>
      <c r="Z51" s="5">
        <f t="shared" ref="Z51:Z54" si="39">IF(T51=0,0,X51/T51)</f>
        <v>-0.97865416666666671</v>
      </c>
    </row>
    <row r="52" spans="1:26" s="24" customFormat="1" hidden="1" outlineLevel="2" x14ac:dyDescent="0.25">
      <c r="A52" s="26"/>
      <c r="B52" s="11" t="str">
        <f>CONCATENATE("          ", "6376", " - ", "TRAINING")</f>
        <v xml:space="preserve">          6376 - TRAINING</v>
      </c>
      <c r="C52" s="11"/>
      <c r="D52" s="6"/>
      <c r="E52" s="2"/>
      <c r="F52" s="7">
        <f t="shared" si="32"/>
        <v>0</v>
      </c>
      <c r="G52" s="2"/>
      <c r="H52" s="6">
        <v>200</v>
      </c>
      <c r="I52" s="2"/>
      <c r="J52" s="7">
        <f t="shared" si="33"/>
        <v>0</v>
      </c>
      <c r="K52" s="2"/>
      <c r="L52" s="6">
        <f t="shared" si="34"/>
        <v>-200</v>
      </c>
      <c r="M52" s="2"/>
      <c r="N52" s="7">
        <f t="shared" si="35"/>
        <v>-1</v>
      </c>
      <c r="O52" s="11"/>
      <c r="P52" s="6">
        <v>51.23</v>
      </c>
      <c r="Q52" s="2"/>
      <c r="R52" s="7">
        <f t="shared" si="36"/>
        <v>0</v>
      </c>
      <c r="S52" s="2"/>
      <c r="T52" s="6">
        <v>2400</v>
      </c>
      <c r="U52" s="2"/>
      <c r="V52" s="7">
        <f t="shared" si="37"/>
        <v>0</v>
      </c>
      <c r="W52" s="2"/>
      <c r="X52" s="6">
        <f t="shared" si="38"/>
        <v>-2348.77</v>
      </c>
      <c r="Y52" s="2"/>
      <c r="Z52" s="7">
        <f t="shared" si="39"/>
        <v>-0.97865416666666671</v>
      </c>
    </row>
    <row r="53" spans="1:26" s="27" customFormat="1" outlineLevel="1" collapsed="1" x14ac:dyDescent="0.25">
      <c r="A53" s="25"/>
      <c r="B53" s="13" t="str">
        <f>CONCATENATE("     ","Travel                                            ")</f>
        <v xml:space="preserve">     Travel                                            </v>
      </c>
      <c r="C53" s="13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3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3600</v>
      </c>
      <c r="U53" s="1"/>
      <c r="V53" s="5">
        <f t="shared" si="37"/>
        <v>0</v>
      </c>
      <c r="W53" s="1"/>
      <c r="X53" s="1">
        <f t="shared" si="38"/>
        <v>-3600</v>
      </c>
      <c r="Y53" s="1"/>
      <c r="Z53" s="5">
        <f t="shared" si="39"/>
        <v>-1</v>
      </c>
    </row>
    <row r="54" spans="1:26" s="24" customFormat="1" hidden="1" outlineLevel="2" x14ac:dyDescent="0.25">
      <c r="A54" s="26"/>
      <c r="B54" s="11" t="str">
        <f>CONCATENATE("          ", "6292", " - ", "TRAVEL/CONFERENCE")</f>
        <v xml:space="preserve">          6292 - TRAVEL/CONFERENCE</v>
      </c>
      <c r="C54" s="11"/>
      <c r="D54" s="6"/>
      <c r="E54" s="2"/>
      <c r="F54" s="7">
        <f t="shared" si="32"/>
        <v>0</v>
      </c>
      <c r="G54" s="2"/>
      <c r="H54" s="6">
        <v>300</v>
      </c>
      <c r="I54" s="2"/>
      <c r="J54" s="7">
        <f t="shared" si="33"/>
        <v>0</v>
      </c>
      <c r="K54" s="2"/>
      <c r="L54" s="6">
        <f t="shared" si="34"/>
        <v>-300</v>
      </c>
      <c r="M54" s="2"/>
      <c r="N54" s="7">
        <f t="shared" si="35"/>
        <v>-1</v>
      </c>
      <c r="O54" s="11"/>
      <c r="P54" s="6"/>
      <c r="Q54" s="2"/>
      <c r="R54" s="7">
        <f t="shared" si="36"/>
        <v>0</v>
      </c>
      <c r="S54" s="2"/>
      <c r="T54" s="6">
        <v>3600</v>
      </c>
      <c r="U54" s="2"/>
      <c r="V54" s="7">
        <f t="shared" si="37"/>
        <v>0</v>
      </c>
      <c r="W54" s="2"/>
      <c r="X54" s="6">
        <f t="shared" si="38"/>
        <v>-3600</v>
      </c>
      <c r="Y54" s="2"/>
      <c r="Z54" s="7">
        <f t="shared" si="39"/>
        <v>-1</v>
      </c>
    </row>
    <row r="55" spans="1:26" s="61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277</v>
      </c>
      <c r="C58" s="28"/>
      <c r="D58" s="20">
        <f>+D16-D18+D56</f>
        <v>-15995.380000000001</v>
      </c>
      <c r="E58" s="14"/>
      <c r="F58" s="22">
        <f>IF(D$12=0,0,D58/D$12)</f>
        <v>0</v>
      </c>
      <c r="G58" s="14"/>
      <c r="H58" s="20">
        <f>+H16-H18+H56</f>
        <v>-13801.532740000001</v>
      </c>
      <c r="I58" s="14"/>
      <c r="J58" s="22">
        <f>IF(H$12=0,0,H58/H$12)</f>
        <v>0</v>
      </c>
      <c r="K58" s="16"/>
      <c r="L58" s="20">
        <f>+D58-H58</f>
        <v>-2193.8472600000005</v>
      </c>
      <c r="M58" s="16"/>
      <c r="N58" s="22">
        <f>IF(H58=0,0,L58/H58)</f>
        <v>0.15895678409990863</v>
      </c>
      <c r="O58" s="29"/>
      <c r="P58" s="20">
        <f>+P16-P18+P56</f>
        <v>-206483.78000000003</v>
      </c>
      <c r="Q58" s="14"/>
      <c r="R58" s="22">
        <f>IF(P$12=0,0,P58/P$12)</f>
        <v>0</v>
      </c>
      <c r="S58" s="14"/>
      <c r="T58" s="20">
        <f>+T16-T18+T56</f>
        <v>-216684.92561999999</v>
      </c>
      <c r="U58" s="14"/>
      <c r="V58" s="22">
        <f>IF(T$12=0,0,T58/T$12)</f>
        <v>0</v>
      </c>
      <c r="W58" s="16"/>
      <c r="X58" s="20">
        <f>+P58-T58</f>
        <v>10201.145619999967</v>
      </c>
      <c r="Y58" s="16"/>
      <c r="Z58" s="22">
        <f>IF(T58=0,0,X58/T58)</f>
        <v>-4.7078243171791746E-2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126</v>
      </c>
      <c r="C62" s="28"/>
      <c r="D62" s="34">
        <f>+D58-D60</f>
        <v>-15995.380000000001</v>
      </c>
      <c r="E62" s="14"/>
      <c r="F62" s="35">
        <f>IF(D$12=0,0,D62/D$12)</f>
        <v>0</v>
      </c>
      <c r="G62" s="14"/>
      <c r="H62" s="34">
        <f>+H58-H60</f>
        <v>-13801.532740000001</v>
      </c>
      <c r="I62" s="14"/>
      <c r="J62" s="35">
        <f>IF(H$12=0,0,H62/H$12)</f>
        <v>0</v>
      </c>
      <c r="K62" s="16"/>
      <c r="L62" s="34">
        <f>D62-H62</f>
        <v>-2193.8472600000005</v>
      </c>
      <c r="M62" s="16"/>
      <c r="N62" s="35">
        <f>IF(H62=0,0,L62/H62)</f>
        <v>0.15895678409990863</v>
      </c>
      <c r="O62" s="29"/>
      <c r="P62" s="34">
        <f>+P58-P60</f>
        <v>-206483.78000000003</v>
      </c>
      <c r="Q62" s="14"/>
      <c r="R62" s="35">
        <f>IF(P$12=0,0,P62/P$12)</f>
        <v>0</v>
      </c>
      <c r="S62" s="14"/>
      <c r="T62" s="34">
        <f>+T58-T60</f>
        <v>-216684.92561999999</v>
      </c>
      <c r="U62" s="14"/>
      <c r="V62" s="35">
        <f>IF(T$12=0,0,T62/T$12)</f>
        <v>0</v>
      </c>
      <c r="W62" s="16"/>
      <c r="X62" s="34">
        <f>P62-T62</f>
        <v>10201.145619999967</v>
      </c>
      <c r="Y62" s="16"/>
      <c r="Z62" s="35">
        <f>IF(T62=0,0,X62/T62)</f>
        <v>-4.7078243171791746E-2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294</v>
      </c>
      <c r="C65" s="28"/>
      <c r="D65" s="33">
        <f>SUM(D62:D64)</f>
        <v>-15995.380000000001</v>
      </c>
      <c r="E65" s="14"/>
      <c r="F65" s="31">
        <f>IF(D$12=0,0,D65/D$12)</f>
        <v>0</v>
      </c>
      <c r="G65" s="14"/>
      <c r="H65" s="33">
        <f>SUM(H62:H64)</f>
        <v>-13801.532740000001</v>
      </c>
      <c r="I65" s="14"/>
      <c r="J65" s="31">
        <f>IF(H$12=0,0,H65/H$12)</f>
        <v>0</v>
      </c>
      <c r="K65" s="16"/>
      <c r="L65" s="33">
        <f>+D65-H65</f>
        <v>-2193.8472600000005</v>
      </c>
      <c r="M65" s="16"/>
      <c r="N65" s="31">
        <f>IF(H65=0,0,L65/H65)</f>
        <v>0.15895678409990863</v>
      </c>
      <c r="O65" s="29"/>
      <c r="P65" s="33">
        <f>SUM(P62:P64)</f>
        <v>-206483.78000000003</v>
      </c>
      <c r="Q65" s="14"/>
      <c r="R65" s="31">
        <f>IF(P$12=0,0,P65/P$12)</f>
        <v>0</v>
      </c>
      <c r="S65" s="14"/>
      <c r="T65" s="33">
        <f>SUM(T62:T64)</f>
        <v>-216684.92561999999</v>
      </c>
      <c r="U65" s="14"/>
      <c r="V65" s="31">
        <f>IF(T$12=0,0,T65/T$12)</f>
        <v>0</v>
      </c>
      <c r="W65" s="16"/>
      <c r="X65" s="33">
        <f>+P65-T65</f>
        <v>10201.145619999967</v>
      </c>
      <c r="Y65" s="16"/>
      <c r="Z65" s="31">
        <f>IF(T65=0,0,X65/T65)</f>
        <v>-4.7078243171791746E-2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6">
        <v>44454.686112384261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5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3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23558.720000000001</v>
      </c>
      <c r="Q12" s="4"/>
      <c r="R12" s="12"/>
      <c r="S12" s="4"/>
      <c r="T12" s="4">
        <f>SUM(OSRRefT13x_0)</f>
        <v>1702792</v>
      </c>
      <c r="U12" s="4"/>
      <c r="V12" s="12"/>
      <c r="W12" s="4"/>
      <c r="X12" s="4">
        <f t="shared" ref="X12:X16" si="2">+P12-T12</f>
        <v>-1679233.28</v>
      </c>
      <c r="Y12" s="4"/>
      <c r="Z12" s="12">
        <f t="shared" ref="Z12:Z16" si="3">IF(T12=0,0,X12/T12)</f>
        <v>-0.98616465193634928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--217.65</f>
        <v>217.65</v>
      </c>
      <c r="Q13" s="2"/>
      <c r="R13" s="19"/>
      <c r="S13" s="2"/>
      <c r="T13" s="2"/>
      <c r="U13" s="2"/>
      <c r="V13" s="19"/>
      <c r="W13" s="2"/>
      <c r="X13" s="2">
        <f t="shared" si="2"/>
        <v>217.65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1702792</v>
      </c>
      <c r="U14" s="2"/>
      <c r="V14" s="19"/>
      <c r="W14" s="2"/>
      <c r="X14" s="2">
        <f t="shared" si="2"/>
        <v>-1702792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--16096</f>
        <v>16096</v>
      </c>
      <c r="Q15" s="2"/>
      <c r="R15" s="19"/>
      <c r="S15" s="2"/>
      <c r="T15" s="2"/>
      <c r="U15" s="2"/>
      <c r="V15" s="19"/>
      <c r="W15" s="2"/>
      <c r="X15" s="2">
        <f t="shared" si="2"/>
        <v>16096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--7245.07</f>
        <v>7245.07</v>
      </c>
      <c r="Q16" s="2"/>
      <c r="R16" s="19"/>
      <c r="S16" s="2"/>
      <c r="T16" s="2"/>
      <c r="U16" s="2"/>
      <c r="V16" s="19"/>
      <c r="W16" s="2"/>
      <c r="X16" s="2">
        <f t="shared" si="2"/>
        <v>7245.07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0</v>
      </c>
      <c r="I18" s="4"/>
      <c r="J18" s="12">
        <f t="shared" ref="J18:J21" si="6">IF(H$12=0,0,H18/H$12)</f>
        <v>0</v>
      </c>
      <c r="K18" s="4"/>
      <c r="L18" s="4">
        <f t="shared" ref="L18:L21" si="7">+D18-H18</f>
        <v>0</v>
      </c>
      <c r="M18" s="4"/>
      <c r="N18" s="12">
        <f t="shared" ref="N18:N21" si="8">IF(H18=0,0,L18/H18)</f>
        <v>0</v>
      </c>
      <c r="O18" s="10"/>
      <c r="P18" s="4">
        <f>SUM(OSRRefP16x_0)</f>
        <v>25322.92</v>
      </c>
      <c r="Q18" s="4"/>
      <c r="R18" s="12">
        <f t="shared" ref="R18:R21" si="9">IF(P$12=0,0,P18/P$12)</f>
        <v>1.0748852229662731</v>
      </c>
      <c r="S18" s="4"/>
      <c r="T18" s="4">
        <f>SUM(OSRRefT16x_0)</f>
        <v>458348</v>
      </c>
      <c r="U18" s="4"/>
      <c r="V18" s="12">
        <f t="shared" ref="V18:V21" si="10">IF(T$12=0,0,T18/T$12)</f>
        <v>0.26917439123510095</v>
      </c>
      <c r="W18" s="4"/>
      <c r="X18" s="4">
        <f t="shared" ref="X18:X21" si="11">+P18-T18</f>
        <v>-433025.08</v>
      </c>
      <c r="Y18" s="4"/>
      <c r="Z18" s="12">
        <f t="shared" ref="Z18:Z21" si="12">IF(T18=0,0,X18/T18)</f>
        <v>-0.94475176067093125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0</v>
      </c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458348</v>
      </c>
      <c r="U19" s="2"/>
      <c r="V19" s="19">
        <f t="shared" si="10"/>
        <v>0.26917439123510095</v>
      </c>
      <c r="W19" s="2"/>
      <c r="X19" s="2">
        <f t="shared" si="11"/>
        <v>-458348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14410.92</v>
      </c>
      <c r="Q20" s="2"/>
      <c r="R20" s="19">
        <f t="shared" si="9"/>
        <v>0.61170216378478959</v>
      </c>
      <c r="S20" s="2"/>
      <c r="T20" s="2"/>
      <c r="U20" s="2"/>
      <c r="V20" s="19">
        <f t="shared" si="10"/>
        <v>0</v>
      </c>
      <c r="W20" s="2"/>
      <c r="X20" s="2">
        <f t="shared" si="11"/>
        <v>14410.92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10912</v>
      </c>
      <c r="Q21" s="2"/>
      <c r="R21" s="19">
        <f t="shared" si="9"/>
        <v>0.4631830591814835</v>
      </c>
      <c r="S21" s="2"/>
      <c r="T21" s="2"/>
      <c r="U21" s="2"/>
      <c r="V21" s="19">
        <f t="shared" si="10"/>
        <v>0</v>
      </c>
      <c r="W21" s="2"/>
      <c r="X21" s="2">
        <f t="shared" si="11"/>
        <v>10912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0</v>
      </c>
      <c r="I23" s="14"/>
      <c r="J23" s="22">
        <f>IF(H$12=0,0,H23/H$12)</f>
        <v>0</v>
      </c>
      <c r="K23" s="16"/>
      <c r="L23" s="20">
        <f>+D23-H23</f>
        <v>0</v>
      </c>
      <c r="M23" s="16"/>
      <c r="N23" s="22">
        <f>IF(H23=0,0,L23/H23)</f>
        <v>0</v>
      </c>
      <c r="O23" s="29"/>
      <c r="P23" s="20">
        <f>P12-P18</f>
        <v>-1764.1999999999971</v>
      </c>
      <c r="Q23" s="14"/>
      <c r="R23" s="22">
        <f>IF(P$12=0,0,P23/P$12)</f>
        <v>-7.4885222966273077E-2</v>
      </c>
      <c r="S23" s="14"/>
      <c r="T23" s="20">
        <f>T12-T18</f>
        <v>1244444</v>
      </c>
      <c r="U23" s="14"/>
      <c r="V23" s="22">
        <f>IF(T$12=0,0,T23/T$12)</f>
        <v>0.7308256087648991</v>
      </c>
      <c r="W23" s="16"/>
      <c r="X23" s="20">
        <f>+P23-T23</f>
        <v>-1246208.2</v>
      </c>
      <c r="Y23" s="16"/>
      <c r="Z23" s="22">
        <f>IF(T23=0,0,X23/T23)</f>
        <v>-1.0014176612205932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46376.02</v>
      </c>
      <c r="E25" s="21"/>
      <c r="F25" s="30">
        <f t="shared" ref="F25:F36" si="13">IF(D$12=0,0,D25/D$12)</f>
        <v>0</v>
      </c>
      <c r="G25" s="21"/>
      <c r="H25" s="21">
        <f>SUM(OSRRefH22x_0)</f>
        <v>86751.652650769247</v>
      </c>
      <c r="I25" s="21"/>
      <c r="J25" s="30">
        <f t="shared" ref="J25:J36" si="14">IF(H$12=0,0,H25/H$12)</f>
        <v>0</v>
      </c>
      <c r="K25" s="4"/>
      <c r="L25" s="21">
        <f t="shared" ref="L25:L36" si="15">+D25-H25</f>
        <v>-40375.63265076925</v>
      </c>
      <c r="M25" s="4"/>
      <c r="N25" s="30">
        <f t="shared" ref="N25:N36" si="16">IF(H25=0,0,L25/H25)</f>
        <v>-0.46541629371957827</v>
      </c>
      <c r="O25" s="10"/>
      <c r="P25" s="21">
        <f>SUM(OSRRefP22x_0)</f>
        <v>609159.6799999997</v>
      </c>
      <c r="Q25" s="21"/>
      <c r="R25" s="30">
        <f t="shared" ref="R25:R36" si="17">IF(P$12=0,0,P25/P$12)</f>
        <v>25.857078822618533</v>
      </c>
      <c r="S25" s="21"/>
      <c r="T25" s="21">
        <f>SUM(OSRRefT22x_0)</f>
        <v>1501303.5583199998</v>
      </c>
      <c r="U25" s="21"/>
      <c r="V25" s="30">
        <f t="shared" ref="V25:V36" si="18">IF(T$12=0,0,T25/T$12)</f>
        <v>0.88167172403910743</v>
      </c>
      <c r="W25" s="4"/>
      <c r="X25" s="21">
        <f t="shared" ref="X25:X36" si="19">+P25-T25</f>
        <v>-892143.87832000013</v>
      </c>
      <c r="Y25" s="4"/>
      <c r="Z25" s="30">
        <f t="shared" ref="Z25:Z36" si="20">IF(T25=0,0,X25/T25)</f>
        <v>-0.59424616252713991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19821.64</v>
      </c>
      <c r="E26" s="1"/>
      <c r="F26" s="5">
        <f t="shared" si="13"/>
        <v>0</v>
      </c>
      <c r="G26" s="1"/>
      <c r="H26" s="1">
        <f>SUM(OSRRefH22_0x_0)</f>
        <v>28611.031112307737</v>
      </c>
      <c r="I26" s="1"/>
      <c r="J26" s="5">
        <f t="shared" si="14"/>
        <v>0</v>
      </c>
      <c r="K26" s="1"/>
      <c r="L26" s="1">
        <f t="shared" si="15"/>
        <v>-8789.3911123077378</v>
      </c>
      <c r="M26" s="1"/>
      <c r="N26" s="5">
        <f t="shared" si="16"/>
        <v>-0.30720287842148986</v>
      </c>
      <c r="O26" s="13"/>
      <c r="P26" s="1">
        <f>SUM(OSRRefP22_0x_0)</f>
        <v>249805.81</v>
      </c>
      <c r="Q26" s="1"/>
      <c r="R26" s="5">
        <f t="shared" si="17"/>
        <v>10.603539156626505</v>
      </c>
      <c r="S26" s="1"/>
      <c r="T26" s="1">
        <f>SUM(OSRRefT22_0x_0)</f>
        <v>382307.07831999991</v>
      </c>
      <c r="U26" s="1"/>
      <c r="V26" s="5">
        <f t="shared" si="18"/>
        <v>0.22451777922376892</v>
      </c>
      <c r="W26" s="1"/>
      <c r="X26" s="1">
        <f t="shared" si="19"/>
        <v>-132501.26831999992</v>
      </c>
      <c r="Y26" s="1"/>
      <c r="Z26" s="5">
        <f t="shared" si="20"/>
        <v>-0.34658335101264665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1636.47</v>
      </c>
      <c r="E27" s="2"/>
      <c r="F27" s="7">
        <f t="shared" si="13"/>
        <v>0</v>
      </c>
      <c r="G27" s="2"/>
      <c r="H27" s="6">
        <v>2933.34780461538</v>
      </c>
      <c r="I27" s="2"/>
      <c r="J27" s="7">
        <f t="shared" si="14"/>
        <v>0</v>
      </c>
      <c r="K27" s="2"/>
      <c r="L27" s="6">
        <f t="shared" si="15"/>
        <v>-1296.87780461538</v>
      </c>
      <c r="M27" s="2"/>
      <c r="N27" s="7">
        <f t="shared" si="16"/>
        <v>-0.44211525226393206</v>
      </c>
      <c r="O27" s="11"/>
      <c r="P27" s="6">
        <v>24157.62</v>
      </c>
      <c r="Q27" s="2"/>
      <c r="R27" s="7">
        <f t="shared" si="17"/>
        <v>1.025421584873881</v>
      </c>
      <c r="S27" s="2"/>
      <c r="T27" s="6">
        <v>43205.317620000002</v>
      </c>
      <c r="U27" s="2"/>
      <c r="V27" s="7">
        <f t="shared" si="18"/>
        <v>2.5373220933619611E-2</v>
      </c>
      <c r="W27" s="2"/>
      <c r="X27" s="6">
        <f t="shared" si="19"/>
        <v>-19047.697620000003</v>
      </c>
      <c r="Y27" s="2"/>
      <c r="Z27" s="7">
        <f t="shared" si="20"/>
        <v>-0.44086465901092481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916.84</v>
      </c>
      <c r="E28" s="2"/>
      <c r="F28" s="7">
        <f t="shared" si="13"/>
        <v>0</v>
      </c>
      <c r="G28" s="2"/>
      <c r="H28" s="6">
        <v>1644.3306</v>
      </c>
      <c r="I28" s="2"/>
      <c r="J28" s="7">
        <f t="shared" si="14"/>
        <v>0</v>
      </c>
      <c r="K28" s="2"/>
      <c r="L28" s="6">
        <f t="shared" si="15"/>
        <v>-727.49059999999997</v>
      </c>
      <c r="M28" s="2"/>
      <c r="N28" s="7">
        <f t="shared" si="16"/>
        <v>-0.44242356129600702</v>
      </c>
      <c r="O28" s="11"/>
      <c r="P28" s="6">
        <v>13659.52</v>
      </c>
      <c r="Q28" s="2"/>
      <c r="R28" s="7">
        <f t="shared" si="17"/>
        <v>0.57980739191263364</v>
      </c>
      <c r="S28" s="2"/>
      <c r="T28" s="6">
        <v>28752.75546</v>
      </c>
      <c r="U28" s="2"/>
      <c r="V28" s="7">
        <f t="shared" si="18"/>
        <v>1.6885653362242715E-2</v>
      </c>
      <c r="W28" s="2"/>
      <c r="X28" s="6">
        <f t="shared" si="19"/>
        <v>-15093.23546</v>
      </c>
      <c r="Y28" s="2"/>
      <c r="Z28" s="7">
        <f t="shared" si="20"/>
        <v>-0.52493179239802845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11992.75</v>
      </c>
      <c r="E29" s="2"/>
      <c r="F29" s="7">
        <f t="shared" si="13"/>
        <v>0</v>
      </c>
      <c r="G29" s="2"/>
      <c r="H29" s="6">
        <v>18733.8461538462</v>
      </c>
      <c r="I29" s="2"/>
      <c r="J29" s="7">
        <f t="shared" si="14"/>
        <v>0</v>
      </c>
      <c r="K29" s="2"/>
      <c r="L29" s="6">
        <f t="shared" si="15"/>
        <v>-6741.0961538461997</v>
      </c>
      <c r="M29" s="2"/>
      <c r="N29" s="7">
        <f t="shared" si="16"/>
        <v>-0.35983514001806843</v>
      </c>
      <c r="O29" s="11"/>
      <c r="P29" s="6">
        <v>146094.73000000001</v>
      </c>
      <c r="Q29" s="2"/>
      <c r="R29" s="7">
        <f t="shared" si="17"/>
        <v>6.2013016836228791</v>
      </c>
      <c r="S29" s="2"/>
      <c r="T29" s="6">
        <v>237600</v>
      </c>
      <c r="U29" s="2"/>
      <c r="V29" s="7">
        <f t="shared" si="18"/>
        <v>0.1395355392790194</v>
      </c>
      <c r="W29" s="2"/>
      <c r="X29" s="6">
        <f t="shared" si="19"/>
        <v>-91505.26999999999</v>
      </c>
      <c r="Y29" s="2"/>
      <c r="Z29" s="7">
        <f t="shared" si="20"/>
        <v>-0.38512319023569019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55.57</v>
      </c>
      <c r="E30" s="2"/>
      <c r="F30" s="7">
        <f t="shared" si="13"/>
        <v>0</v>
      </c>
      <c r="G30" s="2"/>
      <c r="H30" s="6">
        <v>99.656400000000005</v>
      </c>
      <c r="I30" s="2"/>
      <c r="J30" s="7">
        <f t="shared" si="14"/>
        <v>0</v>
      </c>
      <c r="K30" s="2"/>
      <c r="L30" s="6">
        <f t="shared" si="15"/>
        <v>-44.086400000000005</v>
      </c>
      <c r="M30" s="2"/>
      <c r="N30" s="7">
        <f t="shared" si="16"/>
        <v>-0.44238403153234518</v>
      </c>
      <c r="O30" s="11"/>
      <c r="P30" s="6">
        <v>827.84</v>
      </c>
      <c r="Q30" s="2"/>
      <c r="R30" s="7">
        <f t="shared" si="17"/>
        <v>3.5139430325586446E-2</v>
      </c>
      <c r="S30" s="2"/>
      <c r="T30" s="6">
        <v>1742.59124</v>
      </c>
      <c r="U30" s="2"/>
      <c r="V30" s="7">
        <f t="shared" si="18"/>
        <v>1.023372931045013E-3</v>
      </c>
      <c r="W30" s="2"/>
      <c r="X30" s="6">
        <f t="shared" si="19"/>
        <v>-914.75123999999994</v>
      </c>
      <c r="Y30" s="2"/>
      <c r="Z30" s="7">
        <f t="shared" si="20"/>
        <v>-0.52493735708208877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1425.05</v>
      </c>
      <c r="E31" s="2"/>
      <c r="F31" s="7">
        <f t="shared" si="13"/>
        <v>0</v>
      </c>
      <c r="G31" s="2"/>
      <c r="H31" s="6">
        <v>1246.0870769230801</v>
      </c>
      <c r="I31" s="2"/>
      <c r="J31" s="7">
        <f t="shared" si="14"/>
        <v>0</v>
      </c>
      <c r="K31" s="2"/>
      <c r="L31" s="6">
        <f t="shared" si="15"/>
        <v>178.96292307691988</v>
      </c>
      <c r="M31" s="2"/>
      <c r="N31" s="7">
        <f t="shared" si="16"/>
        <v>0.14361991741285599</v>
      </c>
      <c r="O31" s="11"/>
      <c r="P31" s="6">
        <v>12905.96</v>
      </c>
      <c r="Q31" s="2"/>
      <c r="R31" s="7">
        <f t="shared" si="17"/>
        <v>0.54782093424430522</v>
      </c>
      <c r="S31" s="2"/>
      <c r="T31" s="6">
        <v>16199.132</v>
      </c>
      <c r="U31" s="2"/>
      <c r="V31" s="7">
        <f t="shared" si="18"/>
        <v>9.513277017979882E-3</v>
      </c>
      <c r="W31" s="2"/>
      <c r="X31" s="6">
        <f t="shared" si="19"/>
        <v>-3293.1720000000005</v>
      </c>
      <c r="Y31" s="2"/>
      <c r="Z31" s="7">
        <f t="shared" si="20"/>
        <v>-0.20329311471750466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358.48</v>
      </c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358.48</v>
      </c>
      <c r="M33" s="2"/>
      <c r="N33" s="7">
        <f t="shared" si="16"/>
        <v>0</v>
      </c>
      <c r="O33" s="11"/>
      <c r="P33" s="6">
        <v>4738.67</v>
      </c>
      <c r="Q33" s="2"/>
      <c r="R33" s="7">
        <f t="shared" si="17"/>
        <v>0.20114293136469213</v>
      </c>
      <c r="S33" s="2"/>
      <c r="T33" s="6"/>
      <c r="U33" s="2"/>
      <c r="V33" s="7">
        <f t="shared" si="18"/>
        <v>0</v>
      </c>
      <c r="W33" s="2"/>
      <c r="X33" s="6">
        <f t="shared" si="19"/>
        <v>4738.67</v>
      </c>
      <c r="Y33" s="2"/>
      <c r="Z33" s="7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1521.96</v>
      </c>
      <c r="E34" s="2"/>
      <c r="F34" s="7">
        <f t="shared" si="13"/>
        <v>0</v>
      </c>
      <c r="G34" s="2"/>
      <c r="H34" s="6">
        <v>1260.2815384615401</v>
      </c>
      <c r="I34" s="2"/>
      <c r="J34" s="7">
        <f t="shared" si="14"/>
        <v>0</v>
      </c>
      <c r="K34" s="2"/>
      <c r="L34" s="6">
        <f t="shared" si="15"/>
        <v>261.67846153845994</v>
      </c>
      <c r="M34" s="2"/>
      <c r="N34" s="7">
        <f t="shared" si="16"/>
        <v>0.20763492406458475</v>
      </c>
      <c r="O34" s="11"/>
      <c r="P34" s="6">
        <v>22512</v>
      </c>
      <c r="Q34" s="2"/>
      <c r="R34" s="7">
        <f t="shared" si="17"/>
        <v>0.95556974232895497</v>
      </c>
      <c r="S34" s="2"/>
      <c r="T34" s="6">
        <v>16383.66</v>
      </c>
      <c r="U34" s="2"/>
      <c r="V34" s="7">
        <f t="shared" si="18"/>
        <v>9.621644921986949E-3</v>
      </c>
      <c r="W34" s="2"/>
      <c r="X34" s="6">
        <f t="shared" si="19"/>
        <v>6128.34</v>
      </c>
      <c r="Y34" s="2"/>
      <c r="Z34" s="7">
        <f t="shared" si="20"/>
        <v>0.37405195176169431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951.39</v>
      </c>
      <c r="E35" s="2"/>
      <c r="F35" s="7">
        <f t="shared" si="13"/>
        <v>0</v>
      </c>
      <c r="G35" s="2"/>
      <c r="H35" s="6">
        <v>943.48153846153798</v>
      </c>
      <c r="I35" s="2"/>
      <c r="J35" s="7">
        <f t="shared" si="14"/>
        <v>0</v>
      </c>
      <c r="K35" s="2"/>
      <c r="L35" s="6">
        <f t="shared" si="15"/>
        <v>7.9084615384620065</v>
      </c>
      <c r="M35" s="2"/>
      <c r="N35" s="7">
        <f t="shared" si="16"/>
        <v>8.3822112209611648E-3</v>
      </c>
      <c r="O35" s="11"/>
      <c r="P35" s="6">
        <v>14989.46</v>
      </c>
      <c r="Q35" s="2"/>
      <c r="R35" s="7">
        <f t="shared" si="17"/>
        <v>0.63625952513549111</v>
      </c>
      <c r="S35" s="2"/>
      <c r="T35" s="6">
        <v>17423.621999999999</v>
      </c>
      <c r="U35" s="2"/>
      <c r="V35" s="7">
        <f t="shared" si="18"/>
        <v>1.0232384225436812E-2</v>
      </c>
      <c r="W35" s="2"/>
      <c r="X35" s="6">
        <f t="shared" si="19"/>
        <v>-2434.1620000000003</v>
      </c>
      <c r="Y35" s="2"/>
      <c r="Z35" s="7">
        <f t="shared" si="20"/>
        <v>-0.13970470663332804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963.13</v>
      </c>
      <c r="E36" s="2"/>
      <c r="F36" s="7">
        <f t="shared" si="13"/>
        <v>0</v>
      </c>
      <c r="G36" s="2"/>
      <c r="H36" s="6">
        <v>1750</v>
      </c>
      <c r="I36" s="2"/>
      <c r="J36" s="7">
        <f t="shared" si="14"/>
        <v>0</v>
      </c>
      <c r="K36" s="2"/>
      <c r="L36" s="6">
        <f t="shared" si="15"/>
        <v>-786.87</v>
      </c>
      <c r="M36" s="2"/>
      <c r="N36" s="7">
        <f t="shared" si="16"/>
        <v>-0.44963999999999998</v>
      </c>
      <c r="O36" s="11"/>
      <c r="P36" s="6">
        <v>9920.01</v>
      </c>
      <c r="Q36" s="2"/>
      <c r="R36" s="7">
        <f t="shared" si="17"/>
        <v>0.42107593281808181</v>
      </c>
      <c r="S36" s="2"/>
      <c r="T36" s="6">
        <v>21000</v>
      </c>
      <c r="U36" s="2"/>
      <c r="V36" s="7">
        <f t="shared" si="18"/>
        <v>1.2332686552438583E-2</v>
      </c>
      <c r="W36" s="2"/>
      <c r="X36" s="6">
        <f t="shared" si="19"/>
        <v>-11079.99</v>
      </c>
      <c r="Y36" s="2"/>
      <c r="Z36" s="7">
        <f t="shared" si="20"/>
        <v>-0.52761857142857138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18605.199999999997</v>
      </c>
      <c r="E37" s="1"/>
      <c r="F37" s="5">
        <f t="shared" ref="F37:F47" si="21">IF(D$12=0,0,D37/D$12)</f>
        <v>0</v>
      </c>
      <c r="G37" s="1"/>
      <c r="H37" s="1">
        <f>SUM(OSRRefH22_1x_0)</f>
        <v>36221.621538461499</v>
      </c>
      <c r="I37" s="1"/>
      <c r="J37" s="5">
        <f t="shared" ref="J37:J47" si="22">IF(H$12=0,0,H37/H$12)</f>
        <v>0</v>
      </c>
      <c r="K37" s="1"/>
      <c r="L37" s="1">
        <f t="shared" ref="L37:L47" si="23">+D37-H37</f>
        <v>-17616.421538461502</v>
      </c>
      <c r="M37" s="1"/>
      <c r="N37" s="5">
        <f t="shared" ref="N37:N47" si="24">IF(H37=0,0,L37/H37)</f>
        <v>-0.48635099120992453</v>
      </c>
      <c r="O37" s="13"/>
      <c r="P37" s="1">
        <f>SUM(OSRRefP22_1x_0)</f>
        <v>264835.24</v>
      </c>
      <c r="Q37" s="1"/>
      <c r="R37" s="5">
        <f t="shared" ref="R37:R47" si="25">IF(P$12=0,0,P37/P$12)</f>
        <v>11.241495293462462</v>
      </c>
      <c r="S37" s="1"/>
      <c r="T37" s="1">
        <f>SUM(OSRRefT22_1x_0)</f>
        <v>642826.48</v>
      </c>
      <c r="U37" s="1"/>
      <c r="V37" s="5">
        <f t="shared" ref="V37:V47" si="26">IF(T$12=0,0,T37/T$12)</f>
        <v>0.37751321359273476</v>
      </c>
      <c r="W37" s="1"/>
      <c r="X37" s="1">
        <f t="shared" ref="X37:X47" si="27">+P37-T37</f>
        <v>-377991.24</v>
      </c>
      <c r="Y37" s="1"/>
      <c r="Z37" s="5">
        <f t="shared" ref="Z37:Z47" si="28">IF(T37=0,0,X37/T37)</f>
        <v>-0.58801442031448359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7834.07</v>
      </c>
      <c r="E39" s="2"/>
      <c r="F39" s="7">
        <f t="shared" si="21"/>
        <v>0</v>
      </c>
      <c r="G39" s="2"/>
      <c r="H39" s="6">
        <v>13620.0215384615</v>
      </c>
      <c r="I39" s="2"/>
      <c r="J39" s="7">
        <f t="shared" si="22"/>
        <v>0</v>
      </c>
      <c r="K39" s="2"/>
      <c r="L39" s="6">
        <f t="shared" si="23"/>
        <v>-5785.9515384615006</v>
      </c>
      <c r="M39" s="2"/>
      <c r="N39" s="7">
        <f t="shared" si="24"/>
        <v>-0.4248122164948554</v>
      </c>
      <c r="O39" s="11"/>
      <c r="P39" s="6">
        <v>108795.38</v>
      </c>
      <c r="Q39" s="2"/>
      <c r="R39" s="7">
        <f t="shared" si="25"/>
        <v>4.6180514051697203</v>
      </c>
      <c r="S39" s="2"/>
      <c r="T39" s="6">
        <v>177060.28</v>
      </c>
      <c r="U39" s="2"/>
      <c r="V39" s="7">
        <f t="shared" si="26"/>
        <v>0.10398233019652429</v>
      </c>
      <c r="W39" s="2"/>
      <c r="X39" s="6">
        <f t="shared" si="27"/>
        <v>-68264.899999999994</v>
      </c>
      <c r="Y39" s="2"/>
      <c r="Z39" s="7">
        <f t="shared" si="28"/>
        <v>-0.38554609763409387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10771.13</v>
      </c>
      <c r="E41" s="2"/>
      <c r="F41" s="7">
        <f t="shared" si="21"/>
        <v>0</v>
      </c>
      <c r="G41" s="2"/>
      <c r="H41" s="6">
        <v>22601.599999999999</v>
      </c>
      <c r="I41" s="2"/>
      <c r="J41" s="7">
        <f t="shared" si="22"/>
        <v>0</v>
      </c>
      <c r="K41" s="2"/>
      <c r="L41" s="6">
        <f t="shared" si="23"/>
        <v>-11830.47</v>
      </c>
      <c r="M41" s="2"/>
      <c r="N41" s="7">
        <f t="shared" si="24"/>
        <v>-0.52343506654396155</v>
      </c>
      <c r="O41" s="11"/>
      <c r="P41" s="6">
        <v>156039.85999999999</v>
      </c>
      <c r="Q41" s="2"/>
      <c r="R41" s="7">
        <f t="shared" si="25"/>
        <v>6.6234438882927416</v>
      </c>
      <c r="S41" s="2"/>
      <c r="T41" s="6">
        <v>360092.8</v>
      </c>
      <c r="U41" s="2"/>
      <c r="V41" s="7">
        <f t="shared" si="26"/>
        <v>0.21147198248523599</v>
      </c>
      <c r="W41" s="2"/>
      <c r="X41" s="6">
        <f t="shared" si="27"/>
        <v>-204052.94</v>
      </c>
      <c r="Y41" s="2"/>
      <c r="Z41" s="7">
        <f t="shared" si="28"/>
        <v>-0.56666764789520929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0</v>
      </c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105673.4</v>
      </c>
      <c r="U45" s="2"/>
      <c r="V45" s="7">
        <f t="shared" si="26"/>
        <v>6.2058900910974442E-2</v>
      </c>
      <c r="W45" s="2"/>
      <c r="X45" s="6">
        <f t="shared" si="27"/>
        <v>-105673.4</v>
      </c>
      <c r="Y45" s="2"/>
      <c r="Z45" s="7">
        <f t="shared" si="28"/>
        <v>-1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7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12.29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0</v>
      </c>
      <c r="K48" s="1"/>
      <c r="L48" s="1">
        <f t="shared" ref="L48:L69" si="31">+D48-H48</f>
        <v>-487.71</v>
      </c>
      <c r="M48" s="1"/>
      <c r="N48" s="5">
        <f t="shared" ref="N48:N69" si="32">IF(H48=0,0,L48/H48)</f>
        <v>-0.97541999999999995</v>
      </c>
      <c r="O48" s="13"/>
      <c r="P48" s="1">
        <f>SUM(OSRRefP22_2x_0)</f>
        <v>217.04</v>
      </c>
      <c r="Q48" s="1"/>
      <c r="R48" s="5">
        <f t="shared" ref="R48:R69" si="33">IF(P$12=0,0,P48/P$12)</f>
        <v>9.2127246302006211E-3</v>
      </c>
      <c r="S48" s="1"/>
      <c r="T48" s="1">
        <f>SUM(OSRRefT22_2x_0)</f>
        <v>6000</v>
      </c>
      <c r="U48" s="1"/>
      <c r="V48" s="5">
        <f t="shared" ref="V48:V69" si="34">IF(T$12=0,0,T48/T$12)</f>
        <v>3.5236247292681666E-3</v>
      </c>
      <c r="W48" s="1"/>
      <c r="X48" s="1">
        <f t="shared" ref="X48:X69" si="35">+P48-T48</f>
        <v>-5782.96</v>
      </c>
      <c r="Y48" s="1"/>
      <c r="Z48" s="5">
        <f t="shared" ref="Z48:Z69" si="36">IF(T48=0,0,X48/T48)</f>
        <v>-0.96382666666666672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>
        <v>12.29</v>
      </c>
      <c r="E49" s="2"/>
      <c r="F49" s="7">
        <f t="shared" si="29"/>
        <v>0</v>
      </c>
      <c r="G49" s="2"/>
      <c r="H49" s="6">
        <v>500</v>
      </c>
      <c r="I49" s="2"/>
      <c r="J49" s="7">
        <f t="shared" si="30"/>
        <v>0</v>
      </c>
      <c r="K49" s="2"/>
      <c r="L49" s="6">
        <f t="shared" si="31"/>
        <v>-487.71</v>
      </c>
      <c r="M49" s="2"/>
      <c r="N49" s="7">
        <f t="shared" si="32"/>
        <v>-0.97541999999999995</v>
      </c>
      <c r="O49" s="11"/>
      <c r="P49" s="6">
        <v>217.04</v>
      </c>
      <c r="Q49" s="2"/>
      <c r="R49" s="7">
        <f t="shared" si="33"/>
        <v>9.2127246302006211E-3</v>
      </c>
      <c r="S49" s="2"/>
      <c r="T49" s="6">
        <v>6000</v>
      </c>
      <c r="U49" s="2"/>
      <c r="V49" s="7">
        <f t="shared" si="34"/>
        <v>3.5236247292681666E-3</v>
      </c>
      <c r="W49" s="2"/>
      <c r="X49" s="6">
        <f t="shared" si="35"/>
        <v>-5782.96</v>
      </c>
      <c r="Y49" s="2"/>
      <c r="Z49" s="7">
        <f t="shared" si="36"/>
        <v>-0.96382666666666672</v>
      </c>
    </row>
    <row r="50" spans="1:26" s="27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0</v>
      </c>
      <c r="K50" s="1"/>
      <c r="L50" s="1">
        <f t="shared" si="31"/>
        <v>-15</v>
      </c>
      <c r="M50" s="1"/>
      <c r="N50" s="5">
        <f t="shared" si="32"/>
        <v>-1</v>
      </c>
      <c r="O50" s="13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180</v>
      </c>
      <c r="U50" s="1"/>
      <c r="V50" s="5">
        <f t="shared" si="34"/>
        <v>1.05708741878045E-4</v>
      </c>
      <c r="W50" s="1"/>
      <c r="X50" s="1">
        <f t="shared" si="35"/>
        <v>-180</v>
      </c>
      <c r="Y50" s="1"/>
      <c r="Z50" s="5">
        <f t="shared" si="36"/>
        <v>-1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15</v>
      </c>
      <c r="I51" s="2"/>
      <c r="J51" s="7">
        <f t="shared" si="30"/>
        <v>0</v>
      </c>
      <c r="K51" s="2"/>
      <c r="L51" s="6">
        <f t="shared" si="31"/>
        <v>-15</v>
      </c>
      <c r="M51" s="2"/>
      <c r="N51" s="7">
        <f t="shared" si="32"/>
        <v>-1</v>
      </c>
      <c r="O51" s="11"/>
      <c r="P51" s="6">
        <v>0</v>
      </c>
      <c r="Q51" s="2"/>
      <c r="R51" s="7">
        <f t="shared" si="33"/>
        <v>0</v>
      </c>
      <c r="S51" s="2"/>
      <c r="T51" s="6">
        <v>180</v>
      </c>
      <c r="U51" s="2"/>
      <c r="V51" s="7">
        <f t="shared" si="34"/>
        <v>1.05708741878045E-4</v>
      </c>
      <c r="W51" s="2"/>
      <c r="X51" s="6">
        <f t="shared" si="35"/>
        <v>-180</v>
      </c>
      <c r="Y51" s="2"/>
      <c r="Z51" s="7">
        <f t="shared" si="36"/>
        <v>-1</v>
      </c>
    </row>
    <row r="52" spans="1:26" s="27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0</v>
      </c>
      <c r="K52" s="1"/>
      <c r="L52" s="1">
        <f t="shared" si="31"/>
        <v>-250</v>
      </c>
      <c r="M52" s="1"/>
      <c r="N52" s="5">
        <f t="shared" si="32"/>
        <v>-1</v>
      </c>
      <c r="O52" s="13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3000</v>
      </c>
      <c r="U52" s="1"/>
      <c r="V52" s="5">
        <f t="shared" si="34"/>
        <v>1.7618123646340833E-3</v>
      </c>
      <c r="W52" s="1"/>
      <c r="X52" s="1">
        <f t="shared" si="35"/>
        <v>-3000</v>
      </c>
      <c r="Y52" s="1"/>
      <c r="Z52" s="5">
        <f t="shared" si="36"/>
        <v>-1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9"/>
        <v>0</v>
      </c>
      <c r="G53" s="2"/>
      <c r="H53" s="6">
        <v>250</v>
      </c>
      <c r="I53" s="2"/>
      <c r="J53" s="7">
        <f t="shared" si="30"/>
        <v>0</v>
      </c>
      <c r="K53" s="2"/>
      <c r="L53" s="6">
        <f t="shared" si="31"/>
        <v>-250</v>
      </c>
      <c r="M53" s="2"/>
      <c r="N53" s="7">
        <f t="shared" si="32"/>
        <v>-1</v>
      </c>
      <c r="O53" s="11"/>
      <c r="P53" s="6"/>
      <c r="Q53" s="2"/>
      <c r="R53" s="7">
        <f t="shared" si="33"/>
        <v>0</v>
      </c>
      <c r="S53" s="2"/>
      <c r="T53" s="6">
        <v>3000</v>
      </c>
      <c r="U53" s="2"/>
      <c r="V53" s="7">
        <f t="shared" si="34"/>
        <v>1.7618123646340833E-3</v>
      </c>
      <c r="W53" s="2"/>
      <c r="X53" s="6">
        <f t="shared" si="35"/>
        <v>-3000</v>
      </c>
      <c r="Y53" s="2"/>
      <c r="Z53" s="7">
        <f t="shared" si="36"/>
        <v>-1</v>
      </c>
    </row>
    <row r="54" spans="1:26" s="27" customFormat="1" outlineLevel="1" collapsed="1" x14ac:dyDescent="0.25">
      <c r="A54" s="25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272.70999999999998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272.70999999999998</v>
      </c>
      <c r="M54" s="1"/>
      <c r="N54" s="5">
        <f t="shared" si="32"/>
        <v>0</v>
      </c>
      <c r="O54" s="13"/>
      <c r="P54" s="1">
        <f>SUM(OSRRefP22_5x_0)</f>
        <v>3008.63</v>
      </c>
      <c r="Q54" s="1"/>
      <c r="R54" s="5">
        <f t="shared" si="33"/>
        <v>0.12770770228603251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3008.63</v>
      </c>
      <c r="Y54" s="1"/>
      <c r="Z54" s="5">
        <f t="shared" si="36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272.70999999999998</v>
      </c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272.70999999999998</v>
      </c>
      <c r="M55" s="2"/>
      <c r="N55" s="7">
        <f t="shared" si="32"/>
        <v>0</v>
      </c>
      <c r="O55" s="11"/>
      <c r="P55" s="6">
        <v>3008.63</v>
      </c>
      <c r="Q55" s="2"/>
      <c r="R55" s="7">
        <f t="shared" si="33"/>
        <v>0.12770770228603251</v>
      </c>
      <c r="S55" s="2"/>
      <c r="T55" s="6"/>
      <c r="U55" s="2"/>
      <c r="V55" s="7">
        <f t="shared" si="34"/>
        <v>0</v>
      </c>
      <c r="W55" s="2"/>
      <c r="X55" s="6">
        <f t="shared" si="35"/>
        <v>3008.63</v>
      </c>
      <c r="Y55" s="2"/>
      <c r="Z55" s="7">
        <f t="shared" si="36"/>
        <v>0</v>
      </c>
    </row>
    <row r="56" spans="1:26" s="27" customFormat="1" outlineLevel="1" collapsed="1" x14ac:dyDescent="0.25">
      <c r="A56" s="25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3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71000</v>
      </c>
      <c r="U56" s="1"/>
      <c r="V56" s="5">
        <f t="shared" si="34"/>
        <v>4.1696225963006636E-2</v>
      </c>
      <c r="W56" s="1"/>
      <c r="X56" s="1">
        <f t="shared" si="35"/>
        <v>-71000</v>
      </c>
      <c r="Y56" s="1"/>
      <c r="Z56" s="5">
        <f t="shared" si="36"/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/>
      <c r="Q57" s="2"/>
      <c r="R57" s="7">
        <f t="shared" si="33"/>
        <v>0</v>
      </c>
      <c r="S57" s="2"/>
      <c r="T57" s="6">
        <v>71000</v>
      </c>
      <c r="U57" s="2"/>
      <c r="V57" s="7">
        <f t="shared" si="34"/>
        <v>4.1696225963006636E-2</v>
      </c>
      <c r="W57" s="2"/>
      <c r="X57" s="6">
        <f t="shared" si="35"/>
        <v>-71000</v>
      </c>
      <c r="Y57" s="2"/>
      <c r="Z57" s="7">
        <f t="shared" si="36"/>
        <v>-1</v>
      </c>
    </row>
    <row r="58" spans="1:26" s="27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0</v>
      </c>
      <c r="K58" s="1"/>
      <c r="L58" s="1">
        <f t="shared" si="31"/>
        <v>-100</v>
      </c>
      <c r="M58" s="1"/>
      <c r="N58" s="5">
        <f t="shared" si="32"/>
        <v>-1</v>
      </c>
      <c r="O58" s="13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1200</v>
      </c>
      <c r="U58" s="1"/>
      <c r="V58" s="5">
        <f t="shared" si="34"/>
        <v>7.0472494585363337E-4</v>
      </c>
      <c r="W58" s="1"/>
      <c r="X58" s="1">
        <f t="shared" si="35"/>
        <v>-1200</v>
      </c>
      <c r="Y58" s="1"/>
      <c r="Z58" s="5">
        <f t="shared" si="36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9"/>
        <v>0</v>
      </c>
      <c r="G59" s="2"/>
      <c r="H59" s="6">
        <v>100</v>
      </c>
      <c r="I59" s="2"/>
      <c r="J59" s="7">
        <f t="shared" si="30"/>
        <v>0</v>
      </c>
      <c r="K59" s="2"/>
      <c r="L59" s="6">
        <f t="shared" si="31"/>
        <v>-100</v>
      </c>
      <c r="M59" s="2"/>
      <c r="N59" s="7">
        <f t="shared" si="32"/>
        <v>-1</v>
      </c>
      <c r="O59" s="11"/>
      <c r="P59" s="6"/>
      <c r="Q59" s="2"/>
      <c r="R59" s="7">
        <f t="shared" si="33"/>
        <v>0</v>
      </c>
      <c r="S59" s="2"/>
      <c r="T59" s="6">
        <v>1200</v>
      </c>
      <c r="U59" s="2"/>
      <c r="V59" s="7">
        <f t="shared" si="34"/>
        <v>7.0472494585363337E-4</v>
      </c>
      <c r="W59" s="2"/>
      <c r="X59" s="6">
        <f t="shared" si="35"/>
        <v>-1200</v>
      </c>
      <c r="Y59" s="2"/>
      <c r="Z59" s="7">
        <f t="shared" si="36"/>
        <v>-1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308.58999999999997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0</v>
      </c>
      <c r="K60" s="1"/>
      <c r="L60" s="1">
        <f t="shared" si="31"/>
        <v>-91.410000000000025</v>
      </c>
      <c r="M60" s="1"/>
      <c r="N60" s="5">
        <f t="shared" si="32"/>
        <v>-0.22852500000000006</v>
      </c>
      <c r="O60" s="13"/>
      <c r="P60" s="1">
        <f>SUM(OSRRefP22_8x_0)</f>
        <v>2999.24</v>
      </c>
      <c r="Q60" s="1"/>
      <c r="R60" s="5">
        <f t="shared" si="33"/>
        <v>0.1273091237554502</v>
      </c>
      <c r="S60" s="1"/>
      <c r="T60" s="1">
        <f>SUM(OSRRefT22_8x_0)</f>
        <v>4800</v>
      </c>
      <c r="U60" s="1"/>
      <c r="V60" s="5">
        <f t="shared" si="34"/>
        <v>2.8188997834145335E-3</v>
      </c>
      <c r="W60" s="1"/>
      <c r="X60" s="1">
        <f t="shared" si="35"/>
        <v>-1800.7600000000002</v>
      </c>
      <c r="Y60" s="1"/>
      <c r="Z60" s="5">
        <f t="shared" si="36"/>
        <v>-0.37515833333333337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308.58999999999997</v>
      </c>
      <c r="E61" s="2"/>
      <c r="F61" s="7">
        <f t="shared" si="29"/>
        <v>0</v>
      </c>
      <c r="G61" s="2"/>
      <c r="H61" s="6">
        <v>400</v>
      </c>
      <c r="I61" s="2"/>
      <c r="J61" s="7">
        <f t="shared" si="30"/>
        <v>0</v>
      </c>
      <c r="K61" s="2"/>
      <c r="L61" s="6">
        <f t="shared" si="31"/>
        <v>-91.410000000000025</v>
      </c>
      <c r="M61" s="2"/>
      <c r="N61" s="7">
        <f t="shared" si="32"/>
        <v>-0.22852500000000006</v>
      </c>
      <c r="O61" s="11"/>
      <c r="P61" s="6">
        <v>2999.24</v>
      </c>
      <c r="Q61" s="2"/>
      <c r="R61" s="7">
        <f t="shared" si="33"/>
        <v>0.1273091237554502</v>
      </c>
      <c r="S61" s="2"/>
      <c r="T61" s="6">
        <v>4800</v>
      </c>
      <c r="U61" s="2"/>
      <c r="V61" s="7">
        <f t="shared" si="34"/>
        <v>2.8188997834145335E-3</v>
      </c>
      <c r="W61" s="2"/>
      <c r="X61" s="6">
        <f t="shared" si="35"/>
        <v>-1800.7600000000002</v>
      </c>
      <c r="Y61" s="2"/>
      <c r="Z61" s="7">
        <f t="shared" si="36"/>
        <v>-0.37515833333333337</v>
      </c>
    </row>
    <row r="62" spans="1:26" s="27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0</v>
      </c>
      <c r="K62" s="1"/>
      <c r="L62" s="1">
        <f t="shared" si="31"/>
        <v>-150</v>
      </c>
      <c r="M62" s="1"/>
      <c r="N62" s="5">
        <f t="shared" si="32"/>
        <v>-1</v>
      </c>
      <c r="O62" s="13"/>
      <c r="P62" s="1">
        <f>SUM(OSRRefP22_9x_0)</f>
        <v>3847.45</v>
      </c>
      <c r="Q62" s="1"/>
      <c r="R62" s="5">
        <f t="shared" si="33"/>
        <v>0.16331320207549474</v>
      </c>
      <c r="S62" s="1"/>
      <c r="T62" s="1">
        <f>SUM(OSRRefT22_9x_0)</f>
        <v>3150</v>
      </c>
      <c r="U62" s="1"/>
      <c r="V62" s="5">
        <f t="shared" si="34"/>
        <v>1.8499029828657875E-3</v>
      </c>
      <c r="W62" s="1"/>
      <c r="X62" s="1">
        <f t="shared" si="35"/>
        <v>697.44999999999982</v>
      </c>
      <c r="Y62" s="1"/>
      <c r="Z62" s="5">
        <f t="shared" si="36"/>
        <v>0.22141269841269837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9"/>
        <v>0</v>
      </c>
      <c r="G63" s="2"/>
      <c r="H63" s="6">
        <v>150</v>
      </c>
      <c r="I63" s="2"/>
      <c r="J63" s="7">
        <f t="shared" si="30"/>
        <v>0</v>
      </c>
      <c r="K63" s="2"/>
      <c r="L63" s="6">
        <f t="shared" si="31"/>
        <v>-150</v>
      </c>
      <c r="M63" s="2"/>
      <c r="N63" s="7">
        <f t="shared" si="32"/>
        <v>-1</v>
      </c>
      <c r="O63" s="11"/>
      <c r="P63" s="6">
        <v>3847.45</v>
      </c>
      <c r="Q63" s="2"/>
      <c r="R63" s="7">
        <f t="shared" si="33"/>
        <v>0.16331320207549474</v>
      </c>
      <c r="S63" s="2"/>
      <c r="T63" s="6">
        <v>3150</v>
      </c>
      <c r="U63" s="2"/>
      <c r="V63" s="7">
        <f t="shared" si="34"/>
        <v>1.8499029828657875E-3</v>
      </c>
      <c r="W63" s="2"/>
      <c r="X63" s="6">
        <f t="shared" si="35"/>
        <v>697.44999999999982</v>
      </c>
      <c r="Y63" s="2"/>
      <c r="Z63" s="7">
        <f t="shared" si="36"/>
        <v>0.22141269841269837</v>
      </c>
    </row>
    <row r="64" spans="1:26" s="27" customFormat="1" outlineLevel="1" collapsed="1" x14ac:dyDescent="0.25">
      <c r="A64" s="25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0</v>
      </c>
      <c r="I64" s="1"/>
      <c r="J64" s="5">
        <f t="shared" si="30"/>
        <v>0</v>
      </c>
      <c r="K64" s="1"/>
      <c r="L64" s="1">
        <f t="shared" si="31"/>
        <v>0</v>
      </c>
      <c r="M64" s="1"/>
      <c r="N64" s="5">
        <f t="shared" si="32"/>
        <v>0</v>
      </c>
      <c r="O64" s="13"/>
      <c r="P64" s="1">
        <f>SUM(OSRRefP22_10x_0)</f>
        <v>1899.35</v>
      </c>
      <c r="Q64" s="1"/>
      <c r="R64" s="5">
        <f t="shared" si="33"/>
        <v>8.0621952296219823E-2</v>
      </c>
      <c r="S64" s="1"/>
      <c r="T64" s="1">
        <f>SUM(OSRRefT22_10x_0)</f>
        <v>136224</v>
      </c>
      <c r="U64" s="1"/>
      <c r="V64" s="5">
        <f t="shared" si="34"/>
        <v>8.0000375853304453E-2</v>
      </c>
      <c r="W64" s="1"/>
      <c r="X64" s="1">
        <f t="shared" si="35"/>
        <v>-134324.65</v>
      </c>
      <c r="Y64" s="1"/>
      <c r="Z64" s="5">
        <f t="shared" si="36"/>
        <v>-0.9860571558609349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6"/>
      <c r="E65" s="2"/>
      <c r="F65" s="7">
        <f t="shared" si="29"/>
        <v>0</v>
      </c>
      <c r="G65" s="2"/>
      <c r="H65" s="6">
        <v>0</v>
      </c>
      <c r="I65" s="2"/>
      <c r="J65" s="7">
        <f t="shared" si="30"/>
        <v>0</v>
      </c>
      <c r="K65" s="2"/>
      <c r="L65" s="6">
        <f t="shared" si="31"/>
        <v>0</v>
      </c>
      <c r="M65" s="2"/>
      <c r="N65" s="7">
        <f t="shared" si="32"/>
        <v>0</v>
      </c>
      <c r="O65" s="11"/>
      <c r="P65" s="6">
        <v>1899.35</v>
      </c>
      <c r="Q65" s="2"/>
      <c r="R65" s="7">
        <f t="shared" si="33"/>
        <v>8.0621952296219823E-2</v>
      </c>
      <c r="S65" s="2"/>
      <c r="T65" s="6">
        <v>136224</v>
      </c>
      <c r="U65" s="2"/>
      <c r="V65" s="7">
        <f t="shared" si="34"/>
        <v>8.0000375853304453E-2</v>
      </c>
      <c r="W65" s="2"/>
      <c r="X65" s="6">
        <f t="shared" si="35"/>
        <v>-134324.65</v>
      </c>
      <c r="Y65" s="2"/>
      <c r="Z65" s="7">
        <f t="shared" si="36"/>
        <v>-0.9860571558609349</v>
      </c>
    </row>
    <row r="66" spans="1:26" s="27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83.83</v>
      </c>
      <c r="E66" s="1"/>
      <c r="F66" s="5">
        <f t="shared" si="29"/>
        <v>0</v>
      </c>
      <c r="G66" s="1"/>
      <c r="H66" s="1">
        <f>SUM(OSRRefH22_11x_0)</f>
        <v>200</v>
      </c>
      <c r="I66" s="1"/>
      <c r="J66" s="5">
        <f t="shared" si="30"/>
        <v>0</v>
      </c>
      <c r="K66" s="1"/>
      <c r="L66" s="1">
        <f t="shared" si="31"/>
        <v>-116.17</v>
      </c>
      <c r="M66" s="1"/>
      <c r="N66" s="5">
        <f t="shared" si="32"/>
        <v>-0.58084999999999998</v>
      </c>
      <c r="O66" s="13"/>
      <c r="P66" s="1">
        <f>SUM(OSRRefP22_11x_0)</f>
        <v>1429.08</v>
      </c>
      <c r="Q66" s="1"/>
      <c r="R66" s="5">
        <f t="shared" si="33"/>
        <v>6.0660341478654185E-2</v>
      </c>
      <c r="S66" s="1"/>
      <c r="T66" s="1">
        <f>SUM(OSRRefT22_11x_0)</f>
        <v>17600</v>
      </c>
      <c r="U66" s="1"/>
      <c r="V66" s="5">
        <f t="shared" si="34"/>
        <v>1.0335965872519955E-2</v>
      </c>
      <c r="W66" s="1"/>
      <c r="X66" s="1">
        <f t="shared" si="35"/>
        <v>-16170.92</v>
      </c>
      <c r="Y66" s="1"/>
      <c r="Z66" s="5">
        <f t="shared" si="36"/>
        <v>-0.91880227272727277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9"/>
        <v>0</v>
      </c>
      <c r="G67" s="2"/>
      <c r="H67" s="6"/>
      <c r="I67" s="2"/>
      <c r="J67" s="7">
        <f t="shared" si="30"/>
        <v>0</v>
      </c>
      <c r="K67" s="2"/>
      <c r="L67" s="6">
        <f t="shared" si="31"/>
        <v>0</v>
      </c>
      <c r="M67" s="2"/>
      <c r="N67" s="7">
        <f t="shared" si="32"/>
        <v>0</v>
      </c>
      <c r="O67" s="11"/>
      <c r="P67" s="6"/>
      <c r="Q67" s="2"/>
      <c r="R67" s="7">
        <f t="shared" si="33"/>
        <v>0</v>
      </c>
      <c r="S67" s="2"/>
      <c r="T67" s="6">
        <v>8000</v>
      </c>
      <c r="U67" s="2"/>
      <c r="V67" s="7">
        <f t="shared" si="34"/>
        <v>4.6981663056908885E-3</v>
      </c>
      <c r="W67" s="2"/>
      <c r="X67" s="6">
        <f t="shared" si="35"/>
        <v>-8000</v>
      </c>
      <c r="Y67" s="2"/>
      <c r="Z67" s="7">
        <f t="shared" si="36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83.83</v>
      </c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83.83</v>
      </c>
      <c r="M68" s="2"/>
      <c r="N68" s="7">
        <f t="shared" si="32"/>
        <v>0</v>
      </c>
      <c r="O68" s="11"/>
      <c r="P68" s="6">
        <v>1410.08</v>
      </c>
      <c r="Q68" s="2"/>
      <c r="R68" s="7">
        <f t="shared" si="33"/>
        <v>5.9853846049360913E-2</v>
      </c>
      <c r="S68" s="2"/>
      <c r="T68" s="6">
        <v>7200</v>
      </c>
      <c r="U68" s="2"/>
      <c r="V68" s="7">
        <f t="shared" si="34"/>
        <v>4.2283496751217998E-3</v>
      </c>
      <c r="W68" s="2"/>
      <c r="X68" s="6">
        <f t="shared" si="35"/>
        <v>-5789.92</v>
      </c>
      <c r="Y68" s="2"/>
      <c r="Z68" s="7">
        <f t="shared" si="36"/>
        <v>-0.80415555555555551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9"/>
        <v>0</v>
      </c>
      <c r="G69" s="2"/>
      <c r="H69" s="6">
        <v>200</v>
      </c>
      <c r="I69" s="2"/>
      <c r="J69" s="7">
        <f t="shared" si="30"/>
        <v>0</v>
      </c>
      <c r="K69" s="2"/>
      <c r="L69" s="6">
        <f t="shared" si="31"/>
        <v>-200</v>
      </c>
      <c r="M69" s="2"/>
      <c r="N69" s="7">
        <f t="shared" si="32"/>
        <v>-1</v>
      </c>
      <c r="O69" s="11"/>
      <c r="P69" s="6">
        <v>19</v>
      </c>
      <c r="Q69" s="2"/>
      <c r="R69" s="7">
        <f t="shared" si="33"/>
        <v>8.0649542929327222E-4</v>
      </c>
      <c r="S69" s="2"/>
      <c r="T69" s="6">
        <v>2400</v>
      </c>
      <c r="U69" s="2"/>
      <c r="V69" s="7">
        <f t="shared" si="34"/>
        <v>1.4094498917072667E-3</v>
      </c>
      <c r="W69" s="2"/>
      <c r="X69" s="6">
        <f t="shared" si="35"/>
        <v>-2381</v>
      </c>
      <c r="Y69" s="2"/>
      <c r="Z69" s="7">
        <f t="shared" si="36"/>
        <v>-0.99208333333333332</v>
      </c>
    </row>
    <row r="70" spans="1:26" s="27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4846.1799999999994</v>
      </c>
      <c r="E70" s="1"/>
      <c r="F70" s="5">
        <f t="shared" ref="F70:F74" si="37">IF(D$12=0,0,D70/D$12)</f>
        <v>0</v>
      </c>
      <c r="G70" s="1"/>
      <c r="H70" s="1">
        <f>SUM(OSRRefH22_12x_0)</f>
        <v>6879</v>
      </c>
      <c r="I70" s="1"/>
      <c r="J70" s="5">
        <f t="shared" ref="J70:J74" si="38">IF(H$12=0,0,H70/H$12)</f>
        <v>0</v>
      </c>
      <c r="K70" s="1"/>
      <c r="L70" s="1">
        <f t="shared" ref="L70:L74" si="39">+D70-H70</f>
        <v>-2032.8200000000006</v>
      </c>
      <c r="M70" s="1"/>
      <c r="N70" s="5">
        <f t="shared" ref="N70:N74" si="40">IF(H70=0,0,L70/H70)</f>
        <v>-0.29551097543247573</v>
      </c>
      <c r="O70" s="13"/>
      <c r="P70" s="1">
        <f>SUM(OSRRefP22_12x_0)</f>
        <v>67126.929999999993</v>
      </c>
      <c r="Q70" s="1"/>
      <c r="R70" s="5">
        <f t="shared" ref="R70:R74" si="41">IF(P$12=0,0,P70/P$12)</f>
        <v>2.8493453803941806</v>
      </c>
      <c r="S70" s="1"/>
      <c r="T70" s="1">
        <f>SUM(OSRRefT22_12x_0)</f>
        <v>80916</v>
      </c>
      <c r="U70" s="1"/>
      <c r="V70" s="5">
        <f t="shared" ref="V70:V74" si="42">IF(T$12=0,0,T70/T$12)</f>
        <v>4.7519603098910498E-2</v>
      </c>
      <c r="W70" s="1"/>
      <c r="X70" s="1">
        <f t="shared" ref="X70:X74" si="43">+P70-T70</f>
        <v>-13789.070000000007</v>
      </c>
      <c r="Y70" s="1"/>
      <c r="Z70" s="5">
        <f t="shared" ref="Z70:Z74" si="44">IF(T70=0,0,X70/T70)</f>
        <v>-0.17041215581590793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417.32</v>
      </c>
      <c r="E71" s="2"/>
      <c r="F71" s="7">
        <f t="shared" si="37"/>
        <v>0</v>
      </c>
      <c r="G71" s="2"/>
      <c r="H71" s="6">
        <v>450</v>
      </c>
      <c r="I71" s="2"/>
      <c r="J71" s="7">
        <f t="shared" si="38"/>
        <v>0</v>
      </c>
      <c r="K71" s="2"/>
      <c r="L71" s="6">
        <f t="shared" si="39"/>
        <v>-32.680000000000007</v>
      </c>
      <c r="M71" s="2"/>
      <c r="N71" s="7">
        <f t="shared" si="40"/>
        <v>-7.2622222222222241E-2</v>
      </c>
      <c r="O71" s="11"/>
      <c r="P71" s="6">
        <v>5096.22</v>
      </c>
      <c r="Q71" s="2"/>
      <c r="R71" s="7">
        <f t="shared" si="41"/>
        <v>0.21631990193015579</v>
      </c>
      <c r="S71" s="2"/>
      <c r="T71" s="6">
        <v>5400</v>
      </c>
      <c r="U71" s="2"/>
      <c r="V71" s="7">
        <f t="shared" si="42"/>
        <v>3.1712622563413498E-3</v>
      </c>
      <c r="W71" s="2"/>
      <c r="X71" s="6">
        <f t="shared" si="43"/>
        <v>-303.77999999999975</v>
      </c>
      <c r="Y71" s="2"/>
      <c r="Z71" s="7">
        <f t="shared" si="44"/>
        <v>-5.625555555555551E-2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7"/>
        <v>0</v>
      </c>
      <c r="G72" s="2"/>
      <c r="H72" s="6">
        <v>500</v>
      </c>
      <c r="I72" s="2"/>
      <c r="J72" s="7">
        <f t="shared" si="38"/>
        <v>0</v>
      </c>
      <c r="K72" s="2"/>
      <c r="L72" s="6">
        <f t="shared" si="39"/>
        <v>-500</v>
      </c>
      <c r="M72" s="2"/>
      <c r="N72" s="7">
        <f t="shared" si="40"/>
        <v>-1</v>
      </c>
      <c r="O72" s="11"/>
      <c r="P72" s="6"/>
      <c r="Q72" s="2"/>
      <c r="R72" s="7">
        <f t="shared" si="41"/>
        <v>0</v>
      </c>
      <c r="S72" s="2"/>
      <c r="T72" s="6">
        <v>6000</v>
      </c>
      <c r="U72" s="2"/>
      <c r="V72" s="7">
        <f t="shared" si="42"/>
        <v>3.5236247292681666E-3</v>
      </c>
      <c r="W72" s="2"/>
      <c r="X72" s="6">
        <f t="shared" si="43"/>
        <v>-6000</v>
      </c>
      <c r="Y72" s="2"/>
      <c r="Z72" s="7">
        <f t="shared" si="44"/>
        <v>-1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6">
        <v>4428.8599999999997</v>
      </c>
      <c r="E73" s="2"/>
      <c r="F73" s="7">
        <f t="shared" si="37"/>
        <v>0</v>
      </c>
      <c r="G73" s="2"/>
      <c r="H73" s="6">
        <v>4429</v>
      </c>
      <c r="I73" s="2"/>
      <c r="J73" s="7">
        <f t="shared" si="38"/>
        <v>0</v>
      </c>
      <c r="K73" s="2"/>
      <c r="L73" s="6">
        <f t="shared" si="39"/>
        <v>-0.14000000000032742</v>
      </c>
      <c r="M73" s="2"/>
      <c r="N73" s="7">
        <f t="shared" si="40"/>
        <v>-3.16098442086989E-5</v>
      </c>
      <c r="O73" s="11"/>
      <c r="P73" s="6">
        <v>55776.13</v>
      </c>
      <c r="Q73" s="2"/>
      <c r="R73" s="7">
        <f t="shared" si="41"/>
        <v>2.3675365215088084</v>
      </c>
      <c r="S73" s="2"/>
      <c r="T73" s="6">
        <v>51516</v>
      </c>
      <c r="U73" s="2"/>
      <c r="V73" s="7">
        <f t="shared" si="42"/>
        <v>3.0253841925496478E-2</v>
      </c>
      <c r="W73" s="2"/>
      <c r="X73" s="6">
        <f t="shared" si="43"/>
        <v>4260.1299999999974</v>
      </c>
      <c r="Y73" s="2"/>
      <c r="Z73" s="7">
        <f t="shared" si="44"/>
        <v>8.269527913657887E-2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7"/>
        <v>0</v>
      </c>
      <c r="G74" s="2"/>
      <c r="H74" s="6">
        <v>1500</v>
      </c>
      <c r="I74" s="2"/>
      <c r="J74" s="7">
        <f t="shared" si="38"/>
        <v>0</v>
      </c>
      <c r="K74" s="2"/>
      <c r="L74" s="6">
        <f t="shared" si="39"/>
        <v>-1500</v>
      </c>
      <c r="M74" s="2"/>
      <c r="N74" s="7">
        <f t="shared" si="40"/>
        <v>-1</v>
      </c>
      <c r="O74" s="11"/>
      <c r="P74" s="6">
        <v>6254.58</v>
      </c>
      <c r="Q74" s="2"/>
      <c r="R74" s="7">
        <f t="shared" si="41"/>
        <v>0.26548895695521657</v>
      </c>
      <c r="S74" s="2"/>
      <c r="T74" s="6">
        <v>18000</v>
      </c>
      <c r="U74" s="2"/>
      <c r="V74" s="7">
        <f t="shared" si="42"/>
        <v>1.05708741878045E-2</v>
      </c>
      <c r="W74" s="2"/>
      <c r="X74" s="6">
        <f t="shared" si="43"/>
        <v>-11745.42</v>
      </c>
      <c r="Y74" s="2"/>
      <c r="Z74" s="7">
        <f t="shared" si="44"/>
        <v>-0.65252333333333334</v>
      </c>
    </row>
    <row r="75" spans="1:26" s="27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2186.58</v>
      </c>
      <c r="E75" s="1"/>
      <c r="F75" s="5">
        <f t="shared" ref="F75:F83" si="45">IF(D$12=0,0,D75/D$12)</f>
        <v>0</v>
      </c>
      <c r="G75" s="1"/>
      <c r="H75" s="1">
        <f>SUM(OSRRefH22_13x_0)</f>
        <v>11750</v>
      </c>
      <c r="I75" s="1"/>
      <c r="J75" s="5">
        <f t="shared" ref="J75:J83" si="46">IF(H$12=0,0,H75/H$12)</f>
        <v>0</v>
      </c>
      <c r="K75" s="1"/>
      <c r="L75" s="1">
        <f t="shared" ref="L75:L83" si="47">+D75-H75</f>
        <v>-9563.42</v>
      </c>
      <c r="M75" s="1"/>
      <c r="N75" s="5">
        <f t="shared" ref="N75:N83" si="48">IF(H75=0,0,L75/H75)</f>
        <v>-0.81390808510638302</v>
      </c>
      <c r="O75" s="13"/>
      <c r="P75" s="1">
        <f>SUM(OSRRefP22_13x_0)</f>
        <v>12311.91</v>
      </c>
      <c r="Q75" s="1"/>
      <c r="R75" s="5">
        <f t="shared" ref="R75:R83" si="49">IF(P$12=0,0,P75/P$12)</f>
        <v>0.52260521794053327</v>
      </c>
      <c r="S75" s="1"/>
      <c r="T75" s="1">
        <f>SUM(OSRRefT22_13x_0)</f>
        <v>147000</v>
      </c>
      <c r="U75" s="1"/>
      <c r="V75" s="5">
        <f t="shared" ref="V75:V83" si="50">IF(T$12=0,0,T75/T$12)</f>
        <v>8.6328805867070077E-2</v>
      </c>
      <c r="W75" s="1"/>
      <c r="X75" s="1">
        <f t="shared" ref="X75:X83" si="51">+P75-T75</f>
        <v>-134688.09</v>
      </c>
      <c r="Y75" s="1"/>
      <c r="Z75" s="5">
        <f t="shared" ref="Z75:Z83" si="52">IF(T75=0,0,X75/T75)</f>
        <v>-0.91624551020408163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5"/>
        <v>0</v>
      </c>
      <c r="G76" s="2"/>
      <c r="H76" s="6">
        <v>5000</v>
      </c>
      <c r="I76" s="2"/>
      <c r="J76" s="7">
        <f t="shared" si="46"/>
        <v>0</v>
      </c>
      <c r="K76" s="2"/>
      <c r="L76" s="6">
        <f t="shared" si="47"/>
        <v>-5000</v>
      </c>
      <c r="M76" s="2"/>
      <c r="N76" s="7">
        <f t="shared" si="48"/>
        <v>-1</v>
      </c>
      <c r="O76" s="11"/>
      <c r="P76" s="6">
        <v>1375.08</v>
      </c>
      <c r="Q76" s="2"/>
      <c r="R76" s="7">
        <f t="shared" si="49"/>
        <v>5.8368196574346991E-2</v>
      </c>
      <c r="S76" s="2"/>
      <c r="T76" s="6">
        <v>60000</v>
      </c>
      <c r="U76" s="2"/>
      <c r="V76" s="7">
        <f t="shared" si="50"/>
        <v>3.5236247292681669E-2</v>
      </c>
      <c r="W76" s="2"/>
      <c r="X76" s="6">
        <f t="shared" si="51"/>
        <v>-58624.92</v>
      </c>
      <c r="Y76" s="2"/>
      <c r="Z76" s="7">
        <f t="shared" si="52"/>
        <v>-0.97708200000000001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6">
        <v>986.76</v>
      </c>
      <c r="E77" s="2"/>
      <c r="F77" s="7">
        <f t="shared" si="45"/>
        <v>0</v>
      </c>
      <c r="G77" s="2"/>
      <c r="H77" s="6">
        <v>4000</v>
      </c>
      <c r="I77" s="2"/>
      <c r="J77" s="7">
        <f t="shared" si="46"/>
        <v>0</v>
      </c>
      <c r="K77" s="2"/>
      <c r="L77" s="6">
        <f t="shared" si="47"/>
        <v>-3013.24</v>
      </c>
      <c r="M77" s="2"/>
      <c r="N77" s="7">
        <f t="shared" si="48"/>
        <v>-0.75330999999999992</v>
      </c>
      <c r="O77" s="11"/>
      <c r="P77" s="6">
        <v>5676.69</v>
      </c>
      <c r="Q77" s="2"/>
      <c r="R77" s="7">
        <f t="shared" si="49"/>
        <v>0.24095918623762239</v>
      </c>
      <c r="S77" s="2"/>
      <c r="T77" s="6">
        <v>48000</v>
      </c>
      <c r="U77" s="2"/>
      <c r="V77" s="7">
        <f t="shared" si="50"/>
        <v>2.8188997834145333E-2</v>
      </c>
      <c r="W77" s="2"/>
      <c r="X77" s="6">
        <f t="shared" si="51"/>
        <v>-42323.31</v>
      </c>
      <c r="Y77" s="2"/>
      <c r="Z77" s="7">
        <f t="shared" si="52"/>
        <v>-0.88173562499999991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6">
        <v>1199.82</v>
      </c>
      <c r="E78" s="2"/>
      <c r="F78" s="7">
        <f t="shared" si="45"/>
        <v>0</v>
      </c>
      <c r="G78" s="2"/>
      <c r="H78" s="6">
        <v>1500</v>
      </c>
      <c r="I78" s="2"/>
      <c r="J78" s="7">
        <f t="shared" si="46"/>
        <v>0</v>
      </c>
      <c r="K78" s="2"/>
      <c r="L78" s="6">
        <f t="shared" si="47"/>
        <v>-300.18000000000006</v>
      </c>
      <c r="M78" s="2"/>
      <c r="N78" s="7">
        <f t="shared" si="48"/>
        <v>-0.20012000000000005</v>
      </c>
      <c r="O78" s="11"/>
      <c r="P78" s="6">
        <v>2230.89</v>
      </c>
      <c r="Q78" s="2"/>
      <c r="R78" s="7">
        <f t="shared" si="49"/>
        <v>9.4694873066108839E-2</v>
      </c>
      <c r="S78" s="2"/>
      <c r="T78" s="6">
        <v>18000</v>
      </c>
      <c r="U78" s="2"/>
      <c r="V78" s="7">
        <f t="shared" si="50"/>
        <v>1.05708741878045E-2</v>
      </c>
      <c r="W78" s="2"/>
      <c r="X78" s="6">
        <f t="shared" si="51"/>
        <v>-15769.11</v>
      </c>
      <c r="Y78" s="2"/>
      <c r="Z78" s="7">
        <f t="shared" si="52"/>
        <v>-0.87606166666666674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6"/>
      <c r="E79" s="2"/>
      <c r="F79" s="7">
        <f t="shared" si="45"/>
        <v>0</v>
      </c>
      <c r="G79" s="2"/>
      <c r="H79" s="6">
        <v>500</v>
      </c>
      <c r="I79" s="2"/>
      <c r="J79" s="7">
        <f t="shared" si="46"/>
        <v>0</v>
      </c>
      <c r="K79" s="2"/>
      <c r="L79" s="6">
        <f t="shared" si="47"/>
        <v>-500</v>
      </c>
      <c r="M79" s="2"/>
      <c r="N79" s="7">
        <f t="shared" si="48"/>
        <v>-1</v>
      </c>
      <c r="O79" s="11"/>
      <c r="P79" s="6">
        <v>19.7</v>
      </c>
      <c r="Q79" s="2"/>
      <c r="R79" s="7">
        <f t="shared" si="49"/>
        <v>8.3620841879355069E-4</v>
      </c>
      <c r="S79" s="2"/>
      <c r="T79" s="6">
        <v>6000</v>
      </c>
      <c r="U79" s="2"/>
      <c r="V79" s="7">
        <f t="shared" si="50"/>
        <v>3.5236247292681666E-3</v>
      </c>
      <c r="W79" s="2"/>
      <c r="X79" s="6">
        <f t="shared" si="51"/>
        <v>-5980.3</v>
      </c>
      <c r="Y79" s="2"/>
      <c r="Z79" s="7">
        <f t="shared" si="52"/>
        <v>-0.9967166666666667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45"/>
        <v>0</v>
      </c>
      <c r="G80" s="2"/>
      <c r="H80" s="6">
        <v>500</v>
      </c>
      <c r="I80" s="2"/>
      <c r="J80" s="7">
        <f t="shared" si="46"/>
        <v>0</v>
      </c>
      <c r="K80" s="2"/>
      <c r="L80" s="6">
        <f t="shared" si="47"/>
        <v>-500</v>
      </c>
      <c r="M80" s="2"/>
      <c r="N80" s="7">
        <f t="shared" si="48"/>
        <v>-1</v>
      </c>
      <c r="O80" s="11"/>
      <c r="P80" s="6">
        <v>3009.55</v>
      </c>
      <c r="Q80" s="2"/>
      <c r="R80" s="7">
        <f t="shared" si="49"/>
        <v>0.12774675364366145</v>
      </c>
      <c r="S80" s="2"/>
      <c r="T80" s="6">
        <v>6000</v>
      </c>
      <c r="U80" s="2"/>
      <c r="V80" s="7">
        <f t="shared" si="50"/>
        <v>3.5236247292681666E-3</v>
      </c>
      <c r="W80" s="2"/>
      <c r="X80" s="6">
        <f t="shared" si="51"/>
        <v>-2990.45</v>
      </c>
      <c r="Y80" s="2"/>
      <c r="Z80" s="7">
        <f t="shared" si="52"/>
        <v>-0.49840833333333329</v>
      </c>
    </row>
    <row r="81" spans="1:26" s="24" customFormat="1" hidden="1" outlineLevel="2" x14ac:dyDescent="0.25">
      <c r="A81" s="26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45"/>
        <v>0</v>
      </c>
      <c r="G81" s="2"/>
      <c r="H81" s="6">
        <v>100</v>
      </c>
      <c r="I81" s="2"/>
      <c r="J81" s="7">
        <f t="shared" si="46"/>
        <v>0</v>
      </c>
      <c r="K81" s="2"/>
      <c r="L81" s="6">
        <f t="shared" si="47"/>
        <v>-100</v>
      </c>
      <c r="M81" s="2"/>
      <c r="N81" s="7">
        <f t="shared" si="48"/>
        <v>-1</v>
      </c>
      <c r="O81" s="11"/>
      <c r="P81" s="6"/>
      <c r="Q81" s="2"/>
      <c r="R81" s="7">
        <f t="shared" si="49"/>
        <v>0</v>
      </c>
      <c r="S81" s="2"/>
      <c r="T81" s="6">
        <v>1200</v>
      </c>
      <c r="U81" s="2"/>
      <c r="V81" s="7">
        <f t="shared" si="50"/>
        <v>7.0472494585363337E-4</v>
      </c>
      <c r="W81" s="2"/>
      <c r="X81" s="6">
        <f t="shared" si="51"/>
        <v>-1200</v>
      </c>
      <c r="Y81" s="2"/>
      <c r="Z81" s="7">
        <f t="shared" si="52"/>
        <v>-1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5"/>
        <v>0</v>
      </c>
      <c r="G82" s="2"/>
      <c r="H82" s="6">
        <v>150</v>
      </c>
      <c r="I82" s="2"/>
      <c r="J82" s="7">
        <f t="shared" si="46"/>
        <v>0</v>
      </c>
      <c r="K82" s="2"/>
      <c r="L82" s="6">
        <f t="shared" si="47"/>
        <v>-150</v>
      </c>
      <c r="M82" s="2"/>
      <c r="N82" s="7">
        <f t="shared" si="48"/>
        <v>-1</v>
      </c>
      <c r="O82" s="11"/>
      <c r="P82" s="6"/>
      <c r="Q82" s="2"/>
      <c r="R82" s="7">
        <f t="shared" si="49"/>
        <v>0</v>
      </c>
      <c r="S82" s="2"/>
      <c r="T82" s="6">
        <v>1800</v>
      </c>
      <c r="U82" s="2"/>
      <c r="V82" s="7">
        <f t="shared" si="50"/>
        <v>1.0570874187804499E-3</v>
      </c>
      <c r="W82" s="2"/>
      <c r="X82" s="6">
        <f t="shared" si="51"/>
        <v>-1800</v>
      </c>
      <c r="Y82" s="2"/>
      <c r="Z82" s="7">
        <f t="shared" si="52"/>
        <v>-1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6000</v>
      </c>
      <c r="U83" s="2"/>
      <c r="V83" s="7">
        <f t="shared" si="50"/>
        <v>3.5236247292681666E-3</v>
      </c>
      <c r="W83" s="2"/>
      <c r="X83" s="6">
        <f t="shared" si="51"/>
        <v>-6000</v>
      </c>
      <c r="Y83" s="2"/>
      <c r="Z83" s="7">
        <f t="shared" si="52"/>
        <v>-1</v>
      </c>
    </row>
    <row r="84" spans="1:26" s="27" customFormat="1" outlineLevel="1" collapsed="1" x14ac:dyDescent="0.25">
      <c r="A84" s="25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239</v>
      </c>
      <c r="E84" s="1"/>
      <c r="F84" s="5">
        <f t="shared" ref="F84:F87" si="53">IF(D$12=0,0,D84/D$12)</f>
        <v>0</v>
      </c>
      <c r="G84" s="1"/>
      <c r="H84" s="1">
        <f>SUM(OSRRefH22_14x_0)</f>
        <v>175</v>
      </c>
      <c r="I84" s="1"/>
      <c r="J84" s="5">
        <f t="shared" ref="J84:J87" si="54">IF(H$12=0,0,H84/H$12)</f>
        <v>0</v>
      </c>
      <c r="K84" s="1"/>
      <c r="L84" s="1">
        <f t="shared" ref="L84:L87" si="55">+D84-H84</f>
        <v>64</v>
      </c>
      <c r="M84" s="1"/>
      <c r="N84" s="5">
        <f t="shared" ref="N84:N87" si="56">IF(H84=0,0,L84/H84)</f>
        <v>0.36571428571428571</v>
      </c>
      <c r="O84" s="13"/>
      <c r="P84" s="1">
        <f>SUM(OSRRefP22_14x_0)</f>
        <v>1679</v>
      </c>
      <c r="Q84" s="1"/>
      <c r="R84" s="5">
        <f t="shared" ref="R84:R87" si="57">IF(P$12=0,0,P84/P$12)</f>
        <v>7.1268727672810742E-2</v>
      </c>
      <c r="S84" s="1"/>
      <c r="T84" s="1">
        <f>SUM(OSRRefT22_14x_0)</f>
        <v>2100</v>
      </c>
      <c r="U84" s="1"/>
      <c r="V84" s="5">
        <f t="shared" ref="V84:V87" si="58">IF(T$12=0,0,T84/T$12)</f>
        <v>1.2332686552438583E-3</v>
      </c>
      <c r="W84" s="1"/>
      <c r="X84" s="1">
        <f t="shared" ref="X84:X87" si="59">+P84-T84</f>
        <v>-421</v>
      </c>
      <c r="Y84" s="1"/>
      <c r="Z84" s="5">
        <f t="shared" ref="Z84:Z87" si="60">IF(T84=0,0,X84/T84)</f>
        <v>-0.20047619047619047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6">
        <v>239</v>
      </c>
      <c r="E85" s="2"/>
      <c r="F85" s="7">
        <f t="shared" si="53"/>
        <v>0</v>
      </c>
      <c r="G85" s="2"/>
      <c r="H85" s="6">
        <v>175</v>
      </c>
      <c r="I85" s="2"/>
      <c r="J85" s="7">
        <f t="shared" si="54"/>
        <v>0</v>
      </c>
      <c r="K85" s="2"/>
      <c r="L85" s="6">
        <f t="shared" si="55"/>
        <v>64</v>
      </c>
      <c r="M85" s="2"/>
      <c r="N85" s="7">
        <f t="shared" si="56"/>
        <v>0.36571428571428571</v>
      </c>
      <c r="O85" s="11"/>
      <c r="P85" s="6">
        <v>1679</v>
      </c>
      <c r="Q85" s="2"/>
      <c r="R85" s="7">
        <f t="shared" si="57"/>
        <v>7.1268727672810742E-2</v>
      </c>
      <c r="S85" s="2"/>
      <c r="T85" s="6">
        <v>2100</v>
      </c>
      <c r="U85" s="2"/>
      <c r="V85" s="7">
        <f t="shared" si="58"/>
        <v>1.2332686552438583E-3</v>
      </c>
      <c r="W85" s="2"/>
      <c r="X85" s="6">
        <f t="shared" si="59"/>
        <v>-421</v>
      </c>
      <c r="Y85" s="2"/>
      <c r="Z85" s="7">
        <f t="shared" si="60"/>
        <v>-0.20047619047619047</v>
      </c>
    </row>
    <row r="86" spans="1:26" s="27" customFormat="1" outlineLevel="1" collapsed="1" x14ac:dyDescent="0.25">
      <c r="A86" s="25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1500</v>
      </c>
      <c r="I86" s="1"/>
      <c r="J86" s="5">
        <f t="shared" si="54"/>
        <v>0</v>
      </c>
      <c r="K86" s="1"/>
      <c r="L86" s="1">
        <f t="shared" si="55"/>
        <v>-1500</v>
      </c>
      <c r="M86" s="1"/>
      <c r="N86" s="5">
        <f t="shared" si="56"/>
        <v>-1</v>
      </c>
      <c r="O86" s="13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3000</v>
      </c>
      <c r="U86" s="1"/>
      <c r="V86" s="5">
        <f t="shared" si="58"/>
        <v>1.7618123646340833E-3</v>
      </c>
      <c r="W86" s="1"/>
      <c r="X86" s="1">
        <f t="shared" si="59"/>
        <v>-3000</v>
      </c>
      <c r="Y86" s="1"/>
      <c r="Z86" s="5">
        <f t="shared" si="60"/>
        <v>-1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3"/>
        <v>0</v>
      </c>
      <c r="G87" s="2"/>
      <c r="H87" s="6">
        <v>1500</v>
      </c>
      <c r="I87" s="2"/>
      <c r="J87" s="7">
        <f t="shared" si="54"/>
        <v>0</v>
      </c>
      <c r="K87" s="2"/>
      <c r="L87" s="6">
        <f t="shared" si="55"/>
        <v>-1500</v>
      </c>
      <c r="M87" s="2"/>
      <c r="N87" s="7">
        <f t="shared" si="56"/>
        <v>-1</v>
      </c>
      <c r="O87" s="11"/>
      <c r="P87" s="6"/>
      <c r="Q87" s="2"/>
      <c r="R87" s="7">
        <f t="shared" si="57"/>
        <v>0</v>
      </c>
      <c r="S87" s="2"/>
      <c r="T87" s="6">
        <v>3000</v>
      </c>
      <c r="U87" s="2"/>
      <c r="V87" s="7">
        <f t="shared" si="58"/>
        <v>1.7618123646340833E-3</v>
      </c>
      <c r="W87" s="2"/>
      <c r="X87" s="6">
        <f t="shared" si="59"/>
        <v>-3000</v>
      </c>
      <c r="Y87" s="2"/>
      <c r="Z87" s="7">
        <f t="shared" si="60"/>
        <v>-1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0">
        <f>+D23-D25+D89</f>
        <v>-46376.02</v>
      </c>
      <c r="E91" s="14"/>
      <c r="F91" s="22">
        <f>IF(D$12=0,0,D91/D$12)</f>
        <v>0</v>
      </c>
      <c r="G91" s="14"/>
      <c r="H91" s="20">
        <f>+H23-H25+H89</f>
        <v>-86751.652650769247</v>
      </c>
      <c r="I91" s="14"/>
      <c r="J91" s="22">
        <f>IF(H$12=0,0,H91/H$12)</f>
        <v>0</v>
      </c>
      <c r="K91" s="16"/>
      <c r="L91" s="20">
        <f>+D91-H91</f>
        <v>40375.63265076925</v>
      </c>
      <c r="M91" s="16"/>
      <c r="N91" s="22">
        <f>IF(H91=0,0,L91/H91)</f>
        <v>-0.46541629371957827</v>
      </c>
      <c r="O91" s="29"/>
      <c r="P91" s="20">
        <f>+P23-P25+P89</f>
        <v>-610923.87999999966</v>
      </c>
      <c r="Q91" s="14"/>
      <c r="R91" s="22">
        <f>IF(P$12=0,0,P91/P$12)</f>
        <v>-25.931964045584802</v>
      </c>
      <c r="S91" s="14"/>
      <c r="T91" s="20">
        <f>+T23-T25+T89</f>
        <v>-256859.55831999984</v>
      </c>
      <c r="U91" s="14"/>
      <c r="V91" s="22">
        <f>IF(T$12=0,0,T91/T$12)</f>
        <v>-0.15084611527420838</v>
      </c>
      <c r="W91" s="16"/>
      <c r="X91" s="20">
        <f>+P91-T91</f>
        <v>-354064.32167999982</v>
      </c>
      <c r="Y91" s="16"/>
      <c r="Z91" s="22">
        <f>IF(T91=0,0,X91/T91)</f>
        <v>1.378435453193845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>
        <v>1486.65</v>
      </c>
      <c r="E93" s="4"/>
      <c r="F93" s="12">
        <f>IF(D$12=0,0,D93/D$12)</f>
        <v>0</v>
      </c>
      <c r="G93" s="4"/>
      <c r="H93" s="4">
        <v>-26627</v>
      </c>
      <c r="I93" s="4"/>
      <c r="J93" s="12">
        <f>IF(H$12=0,0,H93/H$12)</f>
        <v>0</v>
      </c>
      <c r="K93" s="4"/>
      <c r="L93" s="4">
        <f>+D93-H93</f>
        <v>28113.65</v>
      </c>
      <c r="M93" s="4"/>
      <c r="N93" s="12">
        <f>IF(H93=0,0,L93/H93)</f>
        <v>-1.0558324257332783</v>
      </c>
      <c r="O93" s="10"/>
      <c r="P93" s="4">
        <v>6520.93</v>
      </c>
      <c r="Q93" s="4"/>
      <c r="R93" s="12">
        <f>IF(P$12=0,0,P93/P$12)</f>
        <v>0.27679474946007254</v>
      </c>
      <c r="S93" s="4"/>
      <c r="T93" s="4">
        <v>287734</v>
      </c>
      <c r="U93" s="4"/>
      <c r="V93" s="12">
        <f>IF(T$12=0,0,T93/T$12)</f>
        <v>0.16897777297520777</v>
      </c>
      <c r="W93" s="4"/>
      <c r="X93" s="4">
        <f>+P93-T93</f>
        <v>-281213.07</v>
      </c>
      <c r="Y93" s="4"/>
      <c r="Z93" s="12">
        <f>IF(T93=0,0,X93/T93)</f>
        <v>-0.97733695009974497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4">
        <f>+D91-D93</f>
        <v>-47862.67</v>
      </c>
      <c r="E95" s="14"/>
      <c r="F95" s="35">
        <f>IF(D$12=0,0,D95/D$12)</f>
        <v>0</v>
      </c>
      <c r="G95" s="14"/>
      <c r="H95" s="34">
        <f>+H91-H93</f>
        <v>-60124.652650769247</v>
      </c>
      <c r="I95" s="14"/>
      <c r="J95" s="35">
        <f>IF(H$12=0,0,H95/H$12)</f>
        <v>0</v>
      </c>
      <c r="K95" s="16"/>
      <c r="L95" s="34">
        <f>D95-H95</f>
        <v>12261.982650769249</v>
      </c>
      <c r="M95" s="16"/>
      <c r="N95" s="35">
        <f>IF(H95=0,0,L95/H95)</f>
        <v>-0.20394267759004453</v>
      </c>
      <c r="O95" s="29"/>
      <c r="P95" s="34">
        <f>+P91-P93</f>
        <v>-617444.80999999971</v>
      </c>
      <c r="Q95" s="14"/>
      <c r="R95" s="35">
        <f>IF(P$12=0,0,P95/P$12)</f>
        <v>-26.208758795044879</v>
      </c>
      <c r="S95" s="14"/>
      <c r="T95" s="34">
        <f>+T91-T93</f>
        <v>-544593.55831999984</v>
      </c>
      <c r="U95" s="14"/>
      <c r="V95" s="35">
        <f>IF(T$12=0,0,T95/T$12)</f>
        <v>-0.31982388824941616</v>
      </c>
      <c r="W95" s="16"/>
      <c r="X95" s="34">
        <f>P95-T95</f>
        <v>-72851.25167999987</v>
      </c>
      <c r="Y95" s="16"/>
      <c r="Z95" s="35">
        <f>IF(T95=0,0,X95/T95)</f>
        <v>0.13377178368531661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3">
        <f>SUM(D95:D97)</f>
        <v>-47862.67</v>
      </c>
      <c r="E98" s="14"/>
      <c r="F98" s="31">
        <f>IF(D$12=0,0,D98/D$12)</f>
        <v>0</v>
      </c>
      <c r="G98" s="14"/>
      <c r="H98" s="33">
        <f>SUM(H95:H97)</f>
        <v>-60124.652650769247</v>
      </c>
      <c r="I98" s="14"/>
      <c r="J98" s="31">
        <f>IF(H$12=0,0,H98/H$12)</f>
        <v>0</v>
      </c>
      <c r="K98" s="16"/>
      <c r="L98" s="33">
        <f>+D98-H98</f>
        <v>12261.982650769249</v>
      </c>
      <c r="M98" s="16"/>
      <c r="N98" s="31">
        <f>IF(H98=0,0,L98/H98)</f>
        <v>-0.20394267759004453</v>
      </c>
      <c r="O98" s="29"/>
      <c r="P98" s="33">
        <f>SUM(P95:P97)</f>
        <v>-617444.80999999971</v>
      </c>
      <c r="Q98" s="14"/>
      <c r="R98" s="31">
        <f>IF(P$12=0,0,P98/P$12)</f>
        <v>-26.208758795044879</v>
      </c>
      <c r="S98" s="14"/>
      <c r="T98" s="33">
        <f>SUM(T95:T97)</f>
        <v>-544593.55831999984</v>
      </c>
      <c r="U98" s="14"/>
      <c r="V98" s="31">
        <f>IF(T$12=0,0,T98/T$12)</f>
        <v>-0.31982388824941616</v>
      </c>
      <c r="W98" s="16"/>
      <c r="X98" s="33">
        <f>+P98-T98</f>
        <v>-72851.25167999987</v>
      </c>
      <c r="Y98" s="16"/>
      <c r="Z98" s="31">
        <f>IF(T98=0,0,X98/T98)</f>
        <v>0.13377178368531661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6">
        <v>44454.686112384261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5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3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1">
        <f>SUM(OSRRefD22x_0)</f>
        <v>0</v>
      </c>
      <c r="E18" s="21"/>
      <c r="F18" s="30">
        <f t="shared" ref="F18:F20" si="0">IF(D$12=0,0,D18/D$12)</f>
        <v>0</v>
      </c>
      <c r="G18" s="21"/>
      <c r="H18" s="21">
        <f>SUM(OSRRefH22x_0)</f>
        <v>0</v>
      </c>
      <c r="I18" s="21"/>
      <c r="J18" s="30">
        <f t="shared" ref="J18:J20" si="1">IF(H$12=0,0,H18/H$12)</f>
        <v>0</v>
      </c>
      <c r="K18" s="4"/>
      <c r="L18" s="21">
        <f t="shared" ref="L18:L20" si="2">+D18-H18</f>
        <v>0</v>
      </c>
      <c r="M18" s="4"/>
      <c r="N18" s="30">
        <f t="shared" ref="N18:N20" si="3">IF(H18=0,0,L18/H18)</f>
        <v>0</v>
      </c>
      <c r="O18" s="10"/>
      <c r="P18" s="21">
        <f>SUM(OSRRefP22x_0)</f>
        <v>178.69</v>
      </c>
      <c r="Q18" s="21"/>
      <c r="R18" s="30">
        <f t="shared" ref="R18:R20" si="4">IF(P$12=0,0,P18/P$12)</f>
        <v>0</v>
      </c>
      <c r="S18" s="21"/>
      <c r="T18" s="21">
        <f>SUM(OSRRefT22x_0)</f>
        <v>0</v>
      </c>
      <c r="U18" s="21"/>
      <c r="V18" s="30">
        <f t="shared" ref="V18:V20" si="5">IF(T$12=0,0,T18/T$12)</f>
        <v>0</v>
      </c>
      <c r="W18" s="4"/>
      <c r="X18" s="21">
        <f t="shared" ref="X18:X20" si="6">+P18-T18</f>
        <v>178.69</v>
      </c>
      <c r="Y18" s="4"/>
      <c r="Z18" s="30">
        <f t="shared" ref="Z18:Z20" si="7">IF(T18=0,0,X18/T18)</f>
        <v>0</v>
      </c>
    </row>
    <row r="19" spans="1:26" s="27" customFormat="1" outlineLevel="1" collapsed="1" x14ac:dyDescent="0.25">
      <c r="A19" s="25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178.69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178.69</v>
      </c>
      <c r="Y20" s="2"/>
      <c r="Z20" s="7">
        <f t="shared" si="7"/>
        <v>0</v>
      </c>
    </row>
    <row r="21" spans="1:26" s="61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0">
        <f>+D16-D18+D22</f>
        <v>0</v>
      </c>
      <c r="E24" s="14"/>
      <c r="F24" s="22">
        <f>IF(D$12=0,0,D24/D$12)</f>
        <v>0</v>
      </c>
      <c r="G24" s="14"/>
      <c r="H24" s="20">
        <f>+H16-H18+H22</f>
        <v>0</v>
      </c>
      <c r="I24" s="14"/>
      <c r="J24" s="22">
        <f>IF(H$12=0,0,H24/H$12)</f>
        <v>0</v>
      </c>
      <c r="K24" s="16"/>
      <c r="L24" s="20">
        <f>+D24-H24</f>
        <v>0</v>
      </c>
      <c r="M24" s="16"/>
      <c r="N24" s="22">
        <f>IF(H24=0,0,L24/H24)</f>
        <v>0</v>
      </c>
      <c r="O24" s="29"/>
      <c r="P24" s="20">
        <f>+P16-P18+P22</f>
        <v>-178.69</v>
      </c>
      <c r="Q24" s="14"/>
      <c r="R24" s="22">
        <f>IF(P$12=0,0,P24/P$12)</f>
        <v>0</v>
      </c>
      <c r="S24" s="14"/>
      <c r="T24" s="20">
        <f>+T16-T18+T22</f>
        <v>0</v>
      </c>
      <c r="U24" s="14"/>
      <c r="V24" s="22">
        <f>IF(T$12=0,0,T24/T$12)</f>
        <v>0</v>
      </c>
      <c r="W24" s="16"/>
      <c r="X24" s="20">
        <f>+P24-T24</f>
        <v>-178.69</v>
      </c>
      <c r="Y24" s="16"/>
      <c r="Z24" s="22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4">
        <f>+D24-D26</f>
        <v>0</v>
      </c>
      <c r="E28" s="14"/>
      <c r="F28" s="35">
        <f>IF(D$12=0,0,D28/D$12)</f>
        <v>0</v>
      </c>
      <c r="G28" s="14"/>
      <c r="H28" s="34">
        <f>+H24-H26</f>
        <v>0</v>
      </c>
      <c r="I28" s="14"/>
      <c r="J28" s="35">
        <f>IF(H$12=0,0,H28/H$12)</f>
        <v>0</v>
      </c>
      <c r="K28" s="16"/>
      <c r="L28" s="34">
        <f>D28-H28</f>
        <v>0</v>
      </c>
      <c r="M28" s="16"/>
      <c r="N28" s="35">
        <f>IF(H28=0,0,L28/H28)</f>
        <v>0</v>
      </c>
      <c r="O28" s="29"/>
      <c r="P28" s="34">
        <f>+P24-P26</f>
        <v>-178.69</v>
      </c>
      <c r="Q28" s="14"/>
      <c r="R28" s="35">
        <f>IF(P$12=0,0,P28/P$12)</f>
        <v>0</v>
      </c>
      <c r="S28" s="14"/>
      <c r="T28" s="34">
        <f>+T24-T26</f>
        <v>0</v>
      </c>
      <c r="U28" s="14"/>
      <c r="V28" s="35">
        <f>IF(T$12=0,0,T28/T$12)</f>
        <v>0</v>
      </c>
      <c r="W28" s="16"/>
      <c r="X28" s="34">
        <f>P28-T28</f>
        <v>-178.69</v>
      </c>
      <c r="Y28" s="16"/>
      <c r="Z28" s="35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SUM(D28:D30)</f>
        <v>0</v>
      </c>
      <c r="E31" s="14"/>
      <c r="F31" s="31">
        <f>IF(D$12=0,0,D31/D$12)</f>
        <v>0</v>
      </c>
      <c r="G31" s="14"/>
      <c r="H31" s="33">
        <f>SUM(H28:H30)</f>
        <v>0</v>
      </c>
      <c r="I31" s="14"/>
      <c r="J31" s="31">
        <f>IF(H$12=0,0,H31/H$12)</f>
        <v>0</v>
      </c>
      <c r="K31" s="16"/>
      <c r="L31" s="33">
        <f>+D31-H31</f>
        <v>0</v>
      </c>
      <c r="M31" s="16"/>
      <c r="N31" s="31">
        <f>IF(H31=0,0,L31/H31)</f>
        <v>0</v>
      </c>
      <c r="O31" s="29"/>
      <c r="P31" s="33">
        <f>SUM(P28:P30)</f>
        <v>-178.69</v>
      </c>
      <c r="Q31" s="14"/>
      <c r="R31" s="31">
        <f>IF(P$12=0,0,P31/P$12)</f>
        <v>0</v>
      </c>
      <c r="S31" s="14"/>
      <c r="T31" s="33">
        <f>SUM(T28:T30)</f>
        <v>0</v>
      </c>
      <c r="U31" s="14"/>
      <c r="V31" s="31">
        <f>IF(T$12=0,0,T31/T$12)</f>
        <v>0</v>
      </c>
      <c r="W31" s="16"/>
      <c r="X31" s="33">
        <f>+P31-T31</f>
        <v>-178.69</v>
      </c>
      <c r="Y31" s="16"/>
      <c r="Z31" s="31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6">
        <v>44454.686112384261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30111.4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30111.4</v>
      </c>
      <c r="M12" s="4"/>
      <c r="N12" s="12">
        <f t="shared" ref="N12:N16" si="1">IF(H12=0,0,L12/H12)</f>
        <v>0</v>
      </c>
      <c r="O12" s="10"/>
      <c r="P12" s="4">
        <f>SUM(OSRRefP13x_0)</f>
        <v>998437.27999999991</v>
      </c>
      <c r="Q12" s="4"/>
      <c r="R12" s="12"/>
      <c r="S12" s="4"/>
      <c r="T12" s="4">
        <f>SUM(OSRRefT13x_0)</f>
        <v>1667519</v>
      </c>
      <c r="U12" s="4"/>
      <c r="V12" s="12"/>
      <c r="W12" s="4"/>
      <c r="X12" s="4">
        <f t="shared" ref="X12:X16" si="2">+P12-T12</f>
        <v>-669081.72000000009</v>
      </c>
      <c r="Y12" s="4"/>
      <c r="Z12" s="12">
        <f t="shared" ref="Z12:Z16" si="3">IF(T12=0,0,X12/T12)</f>
        <v>-0.4012438359023196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--10.83</f>
        <v>10.83</v>
      </c>
      <c r="E13" s="2"/>
      <c r="F13" s="19"/>
      <c r="G13" s="2"/>
      <c r="H13" s="2"/>
      <c r="I13" s="2"/>
      <c r="J13" s="19"/>
      <c r="K13" s="2"/>
      <c r="L13" s="2">
        <f t="shared" si="0"/>
        <v>10.83</v>
      </c>
      <c r="M13" s="2"/>
      <c r="N13" s="19">
        <f t="shared" si="1"/>
        <v>0</v>
      </c>
      <c r="O13" s="11"/>
      <c r="P13" s="2">
        <f>--899.74</f>
        <v>899.74</v>
      </c>
      <c r="Q13" s="2"/>
      <c r="R13" s="19"/>
      <c r="S13" s="2"/>
      <c r="T13" s="2"/>
      <c r="U13" s="2"/>
      <c r="V13" s="19"/>
      <c r="W13" s="2"/>
      <c r="X13" s="2">
        <f t="shared" si="2"/>
        <v>899.74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1667519</v>
      </c>
      <c r="U14" s="2"/>
      <c r="V14" s="19"/>
      <c r="W14" s="2"/>
      <c r="X14" s="2">
        <f t="shared" si="2"/>
        <v>-1667519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--27599</f>
        <v>27599</v>
      </c>
      <c r="E15" s="2"/>
      <c r="F15" s="19"/>
      <c r="G15" s="2"/>
      <c r="H15" s="2"/>
      <c r="I15" s="2"/>
      <c r="J15" s="19"/>
      <c r="K15" s="2"/>
      <c r="L15" s="2">
        <f t="shared" si="0"/>
        <v>27599</v>
      </c>
      <c r="M15" s="2"/>
      <c r="N15" s="19">
        <f t="shared" si="1"/>
        <v>0</v>
      </c>
      <c r="O15" s="11"/>
      <c r="P15" s="2">
        <f>--951946.72</f>
        <v>951946.72</v>
      </c>
      <c r="Q15" s="2"/>
      <c r="R15" s="19"/>
      <c r="S15" s="2"/>
      <c r="T15" s="2"/>
      <c r="U15" s="2"/>
      <c r="V15" s="19"/>
      <c r="W15" s="2"/>
      <c r="X15" s="2">
        <f t="shared" si="2"/>
        <v>951946.72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--2501.57</f>
        <v>2501.5700000000002</v>
      </c>
      <c r="E16" s="2"/>
      <c r="F16" s="19"/>
      <c r="G16" s="2"/>
      <c r="H16" s="2"/>
      <c r="I16" s="2"/>
      <c r="J16" s="19"/>
      <c r="K16" s="2"/>
      <c r="L16" s="2">
        <f t="shared" si="0"/>
        <v>2501.5700000000002</v>
      </c>
      <c r="M16" s="2"/>
      <c r="N16" s="19">
        <f t="shared" si="1"/>
        <v>0</v>
      </c>
      <c r="O16" s="11"/>
      <c r="P16" s="2">
        <f>--45590.82</f>
        <v>45590.82</v>
      </c>
      <c r="Q16" s="2"/>
      <c r="R16" s="19"/>
      <c r="S16" s="2"/>
      <c r="T16" s="2"/>
      <c r="U16" s="2"/>
      <c r="V16" s="19"/>
      <c r="W16" s="2"/>
      <c r="X16" s="2">
        <f t="shared" si="2"/>
        <v>45590.82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19817.82</v>
      </c>
      <c r="E18" s="4"/>
      <c r="F18" s="12">
        <f t="shared" ref="F18:F21" si="4">IF(D$12=0,0,D18/D$12)</f>
        <v>0.65815006940892817</v>
      </c>
      <c r="G18" s="4"/>
      <c r="H18" s="4">
        <f>SUM(OSRRefH16x_0)</f>
        <v>0</v>
      </c>
      <c r="I18" s="4"/>
      <c r="J18" s="12">
        <f t="shared" ref="J18:J21" si="5">IF(H$12=0,0,H18/H$12)</f>
        <v>0</v>
      </c>
      <c r="K18" s="4"/>
      <c r="L18" s="4">
        <f t="shared" ref="L18:L21" si="6">+D18-H18</f>
        <v>19817.82</v>
      </c>
      <c r="M18" s="4"/>
      <c r="N18" s="12">
        <f t="shared" ref="N18:N21" si="7">IF(H18=0,0,L18/H18)</f>
        <v>0</v>
      </c>
      <c r="O18" s="10"/>
      <c r="P18" s="4">
        <f>SUM(OSRRefP16x_0)</f>
        <v>435566.87</v>
      </c>
      <c r="Q18" s="4"/>
      <c r="R18" s="12">
        <f t="shared" ref="R18:R21" si="8">IF(P$12=0,0,P18/P$12)</f>
        <v>0.43624860441909785</v>
      </c>
      <c r="S18" s="4"/>
      <c r="T18" s="4">
        <f>SUM(OSRRefT16x_0)</f>
        <v>450809</v>
      </c>
      <c r="U18" s="4"/>
      <c r="V18" s="12">
        <f t="shared" ref="V18:V21" si="9">IF(T$12=0,0,T18/T$12)</f>
        <v>0.27034714447031788</v>
      </c>
      <c r="W18" s="4"/>
      <c r="X18" s="4">
        <f t="shared" ref="X18:X21" si="10">+P18-T18</f>
        <v>-15242.130000000005</v>
      </c>
      <c r="Y18" s="4"/>
      <c r="Z18" s="12">
        <f t="shared" ref="Z18:Z21" si="11">IF(T18=0,0,X18/T18)</f>
        <v>-3.381061602585575E-2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0</v>
      </c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/>
      <c r="Q19" s="2"/>
      <c r="R19" s="19">
        <f t="shared" si="8"/>
        <v>0</v>
      </c>
      <c r="S19" s="2"/>
      <c r="T19" s="2">
        <v>450809</v>
      </c>
      <c r="U19" s="2"/>
      <c r="V19" s="19">
        <f t="shared" si="9"/>
        <v>0.27034714447031788</v>
      </c>
      <c r="W19" s="2"/>
      <c r="X19" s="2">
        <f t="shared" si="10"/>
        <v>-450809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14888.82</v>
      </c>
      <c r="E20" s="2"/>
      <c r="F20" s="19">
        <f t="shared" si="4"/>
        <v>0.49445791294991265</v>
      </c>
      <c r="G20" s="2"/>
      <c r="H20" s="2"/>
      <c r="I20" s="2"/>
      <c r="J20" s="19">
        <f t="shared" si="5"/>
        <v>0</v>
      </c>
      <c r="K20" s="2"/>
      <c r="L20" s="2">
        <f t="shared" si="6"/>
        <v>14888.82</v>
      </c>
      <c r="M20" s="2"/>
      <c r="N20" s="19">
        <f t="shared" si="7"/>
        <v>0</v>
      </c>
      <c r="O20" s="11"/>
      <c r="P20" s="2">
        <v>444226.57</v>
      </c>
      <c r="Q20" s="2"/>
      <c r="R20" s="19">
        <f t="shared" si="8"/>
        <v>0.44492185828638137</v>
      </c>
      <c r="S20" s="2"/>
      <c r="T20" s="2"/>
      <c r="U20" s="2"/>
      <c r="V20" s="19">
        <f t="shared" si="9"/>
        <v>0</v>
      </c>
      <c r="W20" s="2"/>
      <c r="X20" s="2">
        <f t="shared" si="10"/>
        <v>444226.57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4929</v>
      </c>
      <c r="E21" s="2"/>
      <c r="F21" s="19">
        <f t="shared" si="4"/>
        <v>0.16369215645901553</v>
      </c>
      <c r="G21" s="2"/>
      <c r="H21" s="2"/>
      <c r="I21" s="2"/>
      <c r="J21" s="19">
        <f t="shared" si="5"/>
        <v>0</v>
      </c>
      <c r="K21" s="2"/>
      <c r="L21" s="2">
        <f t="shared" si="6"/>
        <v>4929</v>
      </c>
      <c r="M21" s="2"/>
      <c r="N21" s="19">
        <f t="shared" si="7"/>
        <v>0</v>
      </c>
      <c r="O21" s="11"/>
      <c r="P21" s="2">
        <v>-8659.7000000000007</v>
      </c>
      <c r="Q21" s="2"/>
      <c r="R21" s="19">
        <f t="shared" si="8"/>
        <v>-8.6732538672834834E-3</v>
      </c>
      <c r="S21" s="2"/>
      <c r="T21" s="2"/>
      <c r="U21" s="2"/>
      <c r="V21" s="19">
        <f t="shared" si="9"/>
        <v>0</v>
      </c>
      <c r="W21" s="2"/>
      <c r="X21" s="2">
        <f t="shared" si="10"/>
        <v>-8659.7000000000007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10293.580000000002</v>
      </c>
      <c r="E23" s="14"/>
      <c r="F23" s="22">
        <f>IF(D$12=0,0,D23/D$12)</f>
        <v>0.34184993059107188</v>
      </c>
      <c r="G23" s="14"/>
      <c r="H23" s="20">
        <f>H12-H18</f>
        <v>0</v>
      </c>
      <c r="I23" s="14"/>
      <c r="J23" s="22">
        <f>IF(H$12=0,0,H23/H$12)</f>
        <v>0</v>
      </c>
      <c r="K23" s="16"/>
      <c r="L23" s="20">
        <f>+D23-H23</f>
        <v>10293.580000000002</v>
      </c>
      <c r="M23" s="16"/>
      <c r="N23" s="22">
        <f>IF(H23=0,0,L23/H23)</f>
        <v>0</v>
      </c>
      <c r="O23" s="29"/>
      <c r="P23" s="20">
        <f>P12-P18</f>
        <v>562870.40999999992</v>
      </c>
      <c r="Q23" s="14"/>
      <c r="R23" s="22">
        <f>IF(P$12=0,0,P23/P$12)</f>
        <v>0.56375139558090215</v>
      </c>
      <c r="S23" s="14"/>
      <c r="T23" s="20">
        <f>T12-T18</f>
        <v>1216710</v>
      </c>
      <c r="U23" s="14"/>
      <c r="V23" s="22">
        <f>IF(T$12=0,0,T23/T$12)</f>
        <v>0.72965285552968218</v>
      </c>
      <c r="W23" s="16"/>
      <c r="X23" s="20">
        <f>+P23-T23</f>
        <v>-653839.59000000008</v>
      </c>
      <c r="Y23" s="16"/>
      <c r="Z23" s="22">
        <f>IF(T23=0,0,X23/T23)</f>
        <v>-0.53738326306186357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1">
        <f>SUM(OSRRefD22x_0)</f>
        <v>85246.849999999991</v>
      </c>
      <c r="E25" s="21"/>
      <c r="F25" s="30">
        <f t="shared" ref="F25:F36" si="12">IF(D$12=0,0,D25/D$12)</f>
        <v>2.8310490379059088</v>
      </c>
      <c r="G25" s="21"/>
      <c r="H25" s="21">
        <f>SUM(OSRRefH22x_0)</f>
        <v>80173.683104769298</v>
      </c>
      <c r="I25" s="21"/>
      <c r="J25" s="30">
        <f t="shared" ref="J25:J36" si="13">IF(H$12=0,0,H25/H$12)</f>
        <v>0</v>
      </c>
      <c r="K25" s="4"/>
      <c r="L25" s="21">
        <f t="shared" ref="L25:L36" si="14">+D25-H25</f>
        <v>5073.1668952306936</v>
      </c>
      <c r="M25" s="4"/>
      <c r="N25" s="30">
        <f t="shared" ref="N25:N36" si="15">IF(H25=0,0,L25/H25)</f>
        <v>6.3277208914067032E-2</v>
      </c>
      <c r="O25" s="10"/>
      <c r="P25" s="21">
        <f>SUM(OSRRefP22x_0)</f>
        <v>1350484.1800000004</v>
      </c>
      <c r="Q25" s="21"/>
      <c r="R25" s="30">
        <f t="shared" ref="R25:R36" si="16">IF(P$12=0,0,P25/P$12)</f>
        <v>1.3525979118087423</v>
      </c>
      <c r="S25" s="21"/>
      <c r="T25" s="21">
        <f>SUM(OSRRefT22x_0)</f>
        <v>1475913.8934017499</v>
      </c>
      <c r="U25" s="21"/>
      <c r="V25" s="30">
        <f t="shared" ref="V25:V36" si="17">IF(T$12=0,0,T25/T$12)</f>
        <v>0.88509569810104105</v>
      </c>
      <c r="W25" s="4"/>
      <c r="X25" s="21">
        <f t="shared" ref="X25:X36" si="18">+P25-T25</f>
        <v>-125429.7134017495</v>
      </c>
      <c r="Y25" s="4"/>
      <c r="Z25" s="30">
        <f t="shared" ref="Z25:Z36" si="19">IF(T25=0,0,X25/T25)</f>
        <v>-8.4984438429977577E-2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29706.059999999998</v>
      </c>
      <c r="E26" s="1"/>
      <c r="F26" s="5">
        <f t="shared" si="12"/>
        <v>0.98653865313469302</v>
      </c>
      <c r="G26" s="1"/>
      <c r="H26" s="1">
        <f>SUM(OSRRefH22_0x_0)</f>
        <v>33686.77064323079</v>
      </c>
      <c r="I26" s="1"/>
      <c r="J26" s="5">
        <f t="shared" si="13"/>
        <v>0</v>
      </c>
      <c r="K26" s="1"/>
      <c r="L26" s="1">
        <f t="shared" si="14"/>
        <v>-3980.7106432307919</v>
      </c>
      <c r="M26" s="1"/>
      <c r="N26" s="5">
        <f t="shared" si="15"/>
        <v>-0.11816836601494475</v>
      </c>
      <c r="O26" s="13"/>
      <c r="P26" s="1">
        <f>SUM(OSRRefP22_0x_0)</f>
        <v>370676.99</v>
      </c>
      <c r="Q26" s="1"/>
      <c r="R26" s="5">
        <f t="shared" si="16"/>
        <v>0.37125716099062328</v>
      </c>
      <c r="S26" s="1"/>
      <c r="T26" s="1">
        <f>SUM(OSRRefT22_0x_0)</f>
        <v>444603.21593675</v>
      </c>
      <c r="U26" s="1"/>
      <c r="V26" s="5">
        <f t="shared" si="17"/>
        <v>0.26662557724184854</v>
      </c>
      <c r="W26" s="1"/>
      <c r="X26" s="1">
        <f t="shared" si="18"/>
        <v>-73926.225936750008</v>
      </c>
      <c r="Y26" s="1"/>
      <c r="Z26" s="5">
        <f t="shared" si="19"/>
        <v>-0.1662746091050922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2872.21</v>
      </c>
      <c r="E27" s="2"/>
      <c r="F27" s="7">
        <f t="shared" si="12"/>
        <v>9.5386132826769929E-2</v>
      </c>
      <c r="G27" s="2"/>
      <c r="H27" s="6">
        <v>3171.7882047692301</v>
      </c>
      <c r="I27" s="2"/>
      <c r="J27" s="7">
        <f t="shared" si="13"/>
        <v>0</v>
      </c>
      <c r="K27" s="2"/>
      <c r="L27" s="6">
        <f t="shared" si="14"/>
        <v>-299.57820476923007</v>
      </c>
      <c r="M27" s="2"/>
      <c r="N27" s="7">
        <f t="shared" si="15"/>
        <v>-9.44508855663099E-2</v>
      </c>
      <c r="O27" s="11"/>
      <c r="P27" s="6">
        <v>42401.58</v>
      </c>
      <c r="Q27" s="2"/>
      <c r="R27" s="7">
        <f t="shared" si="16"/>
        <v>4.2467945507803959E-2</v>
      </c>
      <c r="S27" s="2"/>
      <c r="T27" s="6">
        <v>41963.266331999999</v>
      </c>
      <c r="U27" s="2"/>
      <c r="V27" s="7">
        <f t="shared" si="17"/>
        <v>2.5165090371983768E-2</v>
      </c>
      <c r="W27" s="2"/>
      <c r="X27" s="6">
        <f t="shared" si="18"/>
        <v>438.31366800000251</v>
      </c>
      <c r="Y27" s="2"/>
      <c r="Z27" s="7">
        <f t="shared" si="19"/>
        <v>1.0445175180888075E-2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1602.42</v>
      </c>
      <c r="E28" s="2"/>
      <c r="F28" s="7">
        <f t="shared" si="12"/>
        <v>5.3216389805854261E-2</v>
      </c>
      <c r="G28" s="2"/>
      <c r="H28" s="6">
        <v>1777.99182</v>
      </c>
      <c r="I28" s="2"/>
      <c r="J28" s="7">
        <f t="shared" si="13"/>
        <v>0</v>
      </c>
      <c r="K28" s="2"/>
      <c r="L28" s="6">
        <f t="shared" si="14"/>
        <v>-175.57181999999989</v>
      </c>
      <c r="M28" s="2"/>
      <c r="N28" s="7">
        <f t="shared" si="15"/>
        <v>-9.8747259703365731E-2</v>
      </c>
      <c r="O28" s="11"/>
      <c r="P28" s="6">
        <v>28973.33</v>
      </c>
      <c r="Q28" s="2"/>
      <c r="R28" s="7">
        <f t="shared" si="16"/>
        <v>2.9018678068591354E-2</v>
      </c>
      <c r="S28" s="2"/>
      <c r="T28" s="6">
        <v>31747.974880049998</v>
      </c>
      <c r="U28" s="2"/>
      <c r="V28" s="7">
        <f t="shared" si="17"/>
        <v>1.9039048358699361E-2</v>
      </c>
      <c r="W28" s="2"/>
      <c r="X28" s="6">
        <f t="shared" si="18"/>
        <v>-2774.6448800499966</v>
      </c>
      <c r="Y28" s="2"/>
      <c r="Z28" s="7">
        <f t="shared" si="19"/>
        <v>-8.7395964326327666E-2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17664.759999999998</v>
      </c>
      <c r="E29" s="2"/>
      <c r="F29" s="7">
        <f t="shared" si="12"/>
        <v>0.58664691777864852</v>
      </c>
      <c r="G29" s="2"/>
      <c r="H29" s="6">
        <v>19569.615384615401</v>
      </c>
      <c r="I29" s="2"/>
      <c r="J29" s="7">
        <f t="shared" si="13"/>
        <v>0</v>
      </c>
      <c r="K29" s="2"/>
      <c r="L29" s="6">
        <f t="shared" si="14"/>
        <v>-1904.8553846154027</v>
      </c>
      <c r="M29" s="2"/>
      <c r="N29" s="7">
        <f t="shared" si="15"/>
        <v>-9.7337395098367627E-2</v>
      </c>
      <c r="O29" s="11"/>
      <c r="P29" s="6">
        <v>209103.39</v>
      </c>
      <c r="Q29" s="2"/>
      <c r="R29" s="7">
        <f t="shared" si="16"/>
        <v>0.20943067149896488</v>
      </c>
      <c r="S29" s="2"/>
      <c r="T29" s="6">
        <v>247080</v>
      </c>
      <c r="U29" s="2"/>
      <c r="V29" s="7">
        <f t="shared" si="17"/>
        <v>0.14817222472427599</v>
      </c>
      <c r="W29" s="2"/>
      <c r="X29" s="6">
        <f t="shared" si="18"/>
        <v>-37976.609999999986</v>
      </c>
      <c r="Y29" s="2"/>
      <c r="Z29" s="7">
        <f t="shared" si="19"/>
        <v>-0.1537016755706653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97.1</v>
      </c>
      <c r="E30" s="2"/>
      <c r="F30" s="7">
        <f t="shared" si="12"/>
        <v>3.2246923092250773E-3</v>
      </c>
      <c r="G30" s="2"/>
      <c r="H30" s="6">
        <v>107.75708</v>
      </c>
      <c r="I30" s="2"/>
      <c r="J30" s="7">
        <f t="shared" si="13"/>
        <v>0</v>
      </c>
      <c r="K30" s="2"/>
      <c r="L30" s="6">
        <f t="shared" si="14"/>
        <v>-10.657080000000008</v>
      </c>
      <c r="M30" s="2"/>
      <c r="N30" s="7">
        <f t="shared" si="15"/>
        <v>-9.8899116420006997E-2</v>
      </c>
      <c r="O30" s="11"/>
      <c r="P30" s="6">
        <v>1835.72</v>
      </c>
      <c r="Q30" s="2"/>
      <c r="R30" s="7">
        <f t="shared" si="16"/>
        <v>1.8385932063754672E-3</v>
      </c>
      <c r="S30" s="2"/>
      <c r="T30" s="6">
        <v>1924.1196897</v>
      </c>
      <c r="U30" s="2"/>
      <c r="V30" s="7">
        <f t="shared" si="17"/>
        <v>1.1538817187090522E-3</v>
      </c>
      <c r="W30" s="2"/>
      <c r="X30" s="6">
        <f t="shared" si="18"/>
        <v>-88.399689699999954</v>
      </c>
      <c r="Y30" s="2"/>
      <c r="Z30" s="7">
        <f t="shared" si="19"/>
        <v>-4.5942926613771536E-2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2186.25</v>
      </c>
      <c r="E31" s="2"/>
      <c r="F31" s="7">
        <f t="shared" si="12"/>
        <v>7.2605391977789133E-2</v>
      </c>
      <c r="G31" s="2"/>
      <c r="H31" s="6">
        <v>1778.4998461538501</v>
      </c>
      <c r="I31" s="2"/>
      <c r="J31" s="7">
        <f t="shared" si="13"/>
        <v>0</v>
      </c>
      <c r="K31" s="2"/>
      <c r="L31" s="6">
        <f t="shared" si="14"/>
        <v>407.75015384614994</v>
      </c>
      <c r="M31" s="2"/>
      <c r="N31" s="7">
        <f t="shared" si="15"/>
        <v>0.22926634192740733</v>
      </c>
      <c r="O31" s="11"/>
      <c r="P31" s="6">
        <v>19742.84</v>
      </c>
      <c r="Q31" s="2"/>
      <c r="R31" s="7">
        <f t="shared" si="16"/>
        <v>1.977374082025463E-2</v>
      </c>
      <c r="S31" s="2"/>
      <c r="T31" s="6">
        <v>23120.498</v>
      </c>
      <c r="U31" s="2"/>
      <c r="V31" s="7">
        <f t="shared" si="17"/>
        <v>1.3865208132561008E-2</v>
      </c>
      <c r="W31" s="2"/>
      <c r="X31" s="6">
        <f t="shared" si="18"/>
        <v>-3377.6579999999994</v>
      </c>
      <c r="Y31" s="2"/>
      <c r="Z31" s="7">
        <f t="shared" si="19"/>
        <v>-0.14608932731466248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414.95</v>
      </c>
      <c r="E33" s="2"/>
      <c r="F33" s="7">
        <f t="shared" si="12"/>
        <v>1.3780495094881008E-2</v>
      </c>
      <c r="G33" s="2"/>
      <c r="H33" s="6"/>
      <c r="I33" s="2"/>
      <c r="J33" s="7">
        <f t="shared" si="13"/>
        <v>0</v>
      </c>
      <c r="K33" s="2"/>
      <c r="L33" s="6">
        <f t="shared" si="14"/>
        <v>414.95</v>
      </c>
      <c r="M33" s="2"/>
      <c r="N33" s="7">
        <f t="shared" si="15"/>
        <v>0</v>
      </c>
      <c r="O33" s="11"/>
      <c r="P33" s="6">
        <v>6442.62</v>
      </c>
      <c r="Q33" s="2"/>
      <c r="R33" s="7">
        <f t="shared" si="16"/>
        <v>6.4527037692342585E-3</v>
      </c>
      <c r="S33" s="2"/>
      <c r="T33" s="6"/>
      <c r="U33" s="2"/>
      <c r="V33" s="7">
        <f t="shared" si="17"/>
        <v>0</v>
      </c>
      <c r="W33" s="2"/>
      <c r="X33" s="6">
        <f t="shared" si="18"/>
        <v>6442.62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2365.8000000000002</v>
      </c>
      <c r="E34" s="2"/>
      <c r="F34" s="7">
        <f t="shared" si="12"/>
        <v>7.8568249898709461E-2</v>
      </c>
      <c r="G34" s="2"/>
      <c r="H34" s="6">
        <v>3283.8667692307699</v>
      </c>
      <c r="I34" s="2"/>
      <c r="J34" s="7">
        <f t="shared" si="13"/>
        <v>0</v>
      </c>
      <c r="K34" s="2"/>
      <c r="L34" s="6">
        <f t="shared" si="14"/>
        <v>-918.06676923076975</v>
      </c>
      <c r="M34" s="2"/>
      <c r="N34" s="7">
        <f t="shared" si="15"/>
        <v>-0.27956882350797152</v>
      </c>
      <c r="O34" s="11"/>
      <c r="P34" s="6">
        <v>32470.38</v>
      </c>
      <c r="Q34" s="2"/>
      <c r="R34" s="7">
        <f t="shared" si="16"/>
        <v>3.2521201532058182E-2</v>
      </c>
      <c r="S34" s="2"/>
      <c r="T34" s="6">
        <v>42690.267999999996</v>
      </c>
      <c r="U34" s="2"/>
      <c r="V34" s="7">
        <f t="shared" si="17"/>
        <v>2.5601068413613277E-2</v>
      </c>
      <c r="W34" s="2"/>
      <c r="X34" s="6">
        <f t="shared" si="18"/>
        <v>-10219.887999999995</v>
      </c>
      <c r="Y34" s="2"/>
      <c r="Z34" s="7">
        <f t="shared" si="19"/>
        <v>-0.23939620149491675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1562.7</v>
      </c>
      <c r="E35" s="2"/>
      <c r="F35" s="7">
        <f t="shared" si="12"/>
        <v>5.1897288070298954E-2</v>
      </c>
      <c r="G35" s="2"/>
      <c r="H35" s="6">
        <v>2072.2515384615399</v>
      </c>
      <c r="I35" s="2"/>
      <c r="J35" s="7">
        <f t="shared" si="13"/>
        <v>0</v>
      </c>
      <c r="K35" s="2"/>
      <c r="L35" s="6">
        <f t="shared" si="14"/>
        <v>-509.55153846153985</v>
      </c>
      <c r="M35" s="2"/>
      <c r="N35" s="7">
        <f t="shared" si="15"/>
        <v>-0.24589270607555488</v>
      </c>
      <c r="O35" s="11"/>
      <c r="P35" s="6">
        <v>20478.03</v>
      </c>
      <c r="Q35" s="2"/>
      <c r="R35" s="7">
        <f t="shared" si="16"/>
        <v>2.0510081514584472E-2</v>
      </c>
      <c r="S35" s="2"/>
      <c r="T35" s="6">
        <v>32977.089034999997</v>
      </c>
      <c r="U35" s="2"/>
      <c r="V35" s="7">
        <f t="shared" si="17"/>
        <v>1.9776139903053578E-2</v>
      </c>
      <c r="W35" s="2"/>
      <c r="X35" s="6">
        <f t="shared" si="18"/>
        <v>-12499.059034999998</v>
      </c>
      <c r="Y35" s="2"/>
      <c r="Z35" s="7">
        <f t="shared" si="19"/>
        <v>-0.37902250928619596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939.87</v>
      </c>
      <c r="E36" s="2"/>
      <c r="F36" s="7">
        <f t="shared" si="12"/>
        <v>3.1213095372516719E-2</v>
      </c>
      <c r="G36" s="2"/>
      <c r="H36" s="6">
        <v>1925</v>
      </c>
      <c r="I36" s="2"/>
      <c r="J36" s="7">
        <f t="shared" si="13"/>
        <v>0</v>
      </c>
      <c r="K36" s="2"/>
      <c r="L36" s="6">
        <f t="shared" si="14"/>
        <v>-985.13</v>
      </c>
      <c r="M36" s="2"/>
      <c r="N36" s="7">
        <f t="shared" si="15"/>
        <v>-0.51175584415584419</v>
      </c>
      <c r="O36" s="11"/>
      <c r="P36" s="6">
        <v>9229.1</v>
      </c>
      <c r="Q36" s="2"/>
      <c r="R36" s="7">
        <f t="shared" si="16"/>
        <v>9.2435450727560986E-3</v>
      </c>
      <c r="S36" s="2"/>
      <c r="T36" s="6">
        <v>23100</v>
      </c>
      <c r="U36" s="2"/>
      <c r="V36" s="7">
        <f t="shared" si="17"/>
        <v>1.3852915618952468E-2</v>
      </c>
      <c r="W36" s="2"/>
      <c r="X36" s="6">
        <f t="shared" si="18"/>
        <v>-13870.9</v>
      </c>
      <c r="Y36" s="2"/>
      <c r="Z36" s="7">
        <f t="shared" si="19"/>
        <v>-0.60047186147186149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32534.199999999997</v>
      </c>
      <c r="E37" s="1"/>
      <c r="F37" s="5">
        <f t="shared" ref="F37:F47" si="20">IF(D$12=0,0,D37/D$12)</f>
        <v>1.0804612206672555</v>
      </c>
      <c r="G37" s="1"/>
      <c r="H37" s="1">
        <f>SUM(OSRRefH22_1x_0)</f>
        <v>36088.912461538501</v>
      </c>
      <c r="I37" s="1"/>
      <c r="J37" s="5">
        <f t="shared" ref="J37:J47" si="21">IF(H$12=0,0,H37/H$12)</f>
        <v>0</v>
      </c>
      <c r="K37" s="1"/>
      <c r="L37" s="1">
        <f t="shared" ref="L37:L47" si="22">+D37-H37</f>
        <v>-3554.7124615385037</v>
      </c>
      <c r="M37" s="1"/>
      <c r="N37" s="5">
        <f t="shared" ref="N37:N47" si="23">IF(H37=0,0,L37/H37)</f>
        <v>-9.8498741554678679E-2</v>
      </c>
      <c r="O37" s="13"/>
      <c r="P37" s="1">
        <f>SUM(OSRRefP22_1x_0)</f>
        <v>622177.75</v>
      </c>
      <c r="Q37" s="1"/>
      <c r="R37" s="5">
        <f t="shared" ref="R37:R47" si="24">IF(P$12=0,0,P37/P$12)</f>
        <v>0.62315156140804362</v>
      </c>
      <c r="S37" s="1"/>
      <c r="T37" s="1">
        <f>SUM(OSRRefT22_1x_0)</f>
        <v>664378.67746499996</v>
      </c>
      <c r="U37" s="1"/>
      <c r="V37" s="5">
        <f t="shared" ref="V37:V47" si="25">IF(T$12=0,0,T37/T$12)</f>
        <v>0.39842345272527629</v>
      </c>
      <c r="W37" s="1"/>
      <c r="X37" s="1">
        <f t="shared" ref="X37:X47" si="26">+P37-T37</f>
        <v>-42200.927464999957</v>
      </c>
      <c r="Y37" s="1"/>
      <c r="Z37" s="5">
        <f t="shared" ref="Z37:Z47" si="27">IF(T37=0,0,X37/T37)</f>
        <v>-6.3519388710699759E-2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14070.96</v>
      </c>
      <c r="E39" s="2"/>
      <c r="F39" s="7">
        <f t="shared" si="20"/>
        <v>0.46729677132248909</v>
      </c>
      <c r="G39" s="2"/>
      <c r="H39" s="6">
        <v>17815.8884615385</v>
      </c>
      <c r="I39" s="2"/>
      <c r="J39" s="7">
        <f t="shared" si="21"/>
        <v>0</v>
      </c>
      <c r="K39" s="2"/>
      <c r="L39" s="6">
        <f t="shared" si="22"/>
        <v>-3744.9284615385004</v>
      </c>
      <c r="M39" s="2"/>
      <c r="N39" s="7">
        <f t="shared" si="23"/>
        <v>-0.21020161131021728</v>
      </c>
      <c r="O39" s="11"/>
      <c r="P39" s="6">
        <v>182917.75</v>
      </c>
      <c r="Q39" s="2"/>
      <c r="R39" s="7">
        <f t="shared" si="24"/>
        <v>0.18320404662774611</v>
      </c>
      <c r="S39" s="2"/>
      <c r="T39" s="6">
        <v>231606.55</v>
      </c>
      <c r="U39" s="2"/>
      <c r="V39" s="7">
        <f t="shared" si="25"/>
        <v>0.13889290017085262</v>
      </c>
      <c r="W39" s="2"/>
      <c r="X39" s="6">
        <f t="shared" si="26"/>
        <v>-48688.799999999988</v>
      </c>
      <c r="Y39" s="2"/>
      <c r="Z39" s="7">
        <f t="shared" si="27"/>
        <v>-0.2102220338759849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14129.25</v>
      </c>
      <c r="E41" s="2"/>
      <c r="F41" s="7">
        <f t="shared" si="20"/>
        <v>0.46923258300842868</v>
      </c>
      <c r="G41" s="2"/>
      <c r="H41" s="6">
        <v>18273.024000000001</v>
      </c>
      <c r="I41" s="2"/>
      <c r="J41" s="7">
        <f t="shared" si="21"/>
        <v>0</v>
      </c>
      <c r="K41" s="2"/>
      <c r="L41" s="6">
        <f t="shared" si="22"/>
        <v>-4143.7740000000013</v>
      </c>
      <c r="M41" s="2"/>
      <c r="N41" s="7">
        <f t="shared" si="23"/>
        <v>-0.22677001901819868</v>
      </c>
      <c r="O41" s="11"/>
      <c r="P41" s="6">
        <v>198765.06</v>
      </c>
      <c r="Q41" s="2"/>
      <c r="R41" s="7">
        <f t="shared" si="24"/>
        <v>0.1990761602972197</v>
      </c>
      <c r="S41" s="2"/>
      <c r="T41" s="6">
        <v>237549.31200000001</v>
      </c>
      <c r="U41" s="2"/>
      <c r="V41" s="7">
        <f t="shared" si="25"/>
        <v>0.14245673482581009</v>
      </c>
      <c r="W41" s="2"/>
      <c r="X41" s="6">
        <f t="shared" si="26"/>
        <v>-38784.252000000008</v>
      </c>
      <c r="Y41" s="2"/>
      <c r="Z41" s="7">
        <f t="shared" si="27"/>
        <v>-0.16326821439078723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4305.99</v>
      </c>
      <c r="E42" s="2"/>
      <c r="F42" s="7">
        <f t="shared" si="20"/>
        <v>0.14300198595880628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4305.99</v>
      </c>
      <c r="M42" s="2"/>
      <c r="N42" s="7">
        <f t="shared" si="23"/>
        <v>0</v>
      </c>
      <c r="O42" s="11"/>
      <c r="P42" s="6">
        <v>110372.98</v>
      </c>
      <c r="Q42" s="2"/>
      <c r="R42" s="7">
        <f t="shared" si="24"/>
        <v>0.11054573202635223</v>
      </c>
      <c r="S42" s="2"/>
      <c r="T42" s="6">
        <v>59678.391065000003</v>
      </c>
      <c r="U42" s="2"/>
      <c r="V42" s="7">
        <f t="shared" si="25"/>
        <v>3.5788732281311339E-2</v>
      </c>
      <c r="W42" s="2"/>
      <c r="X42" s="6">
        <f t="shared" si="26"/>
        <v>50694.588934999992</v>
      </c>
      <c r="Y42" s="2"/>
      <c r="Z42" s="7">
        <f t="shared" si="27"/>
        <v>0.84946306410615013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2427.2199999999998</v>
      </c>
      <c r="Q43" s="2"/>
      <c r="R43" s="7">
        <f t="shared" si="24"/>
        <v>2.4310190020148288E-3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2427.2199999999998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28</v>
      </c>
      <c r="E44" s="2"/>
      <c r="F44" s="7">
        <f t="shared" si="20"/>
        <v>9.2988037753143321E-4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28</v>
      </c>
      <c r="M44" s="2"/>
      <c r="N44" s="7">
        <f t="shared" si="23"/>
        <v>0</v>
      </c>
      <c r="O44" s="11"/>
      <c r="P44" s="6">
        <v>117063.86</v>
      </c>
      <c r="Q44" s="2"/>
      <c r="R44" s="7">
        <f t="shared" si="24"/>
        <v>0.11724708436367681</v>
      </c>
      <c r="S44" s="2"/>
      <c r="T44" s="6">
        <v>9252.83</v>
      </c>
      <c r="U44" s="2"/>
      <c r="V44" s="7">
        <f t="shared" si="25"/>
        <v>5.5488603128360158E-3</v>
      </c>
      <c r="W44" s="2"/>
      <c r="X44" s="6">
        <f t="shared" si="26"/>
        <v>107811.03</v>
      </c>
      <c r="Y44" s="2"/>
      <c r="Z44" s="7">
        <f t="shared" si="27"/>
        <v>11.651681701706396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>
        <v>10630.88</v>
      </c>
      <c r="Q45" s="2"/>
      <c r="R45" s="7">
        <f t="shared" si="24"/>
        <v>1.064751909103394E-2</v>
      </c>
      <c r="S45" s="2"/>
      <c r="T45" s="6">
        <v>126291.5944</v>
      </c>
      <c r="U45" s="2"/>
      <c r="V45" s="7">
        <f t="shared" si="25"/>
        <v>7.5736225134466234E-2</v>
      </c>
      <c r="W45" s="2"/>
      <c r="X45" s="6">
        <f t="shared" si="26"/>
        <v>-115660.7144</v>
      </c>
      <c r="Y45" s="2"/>
      <c r="Z45" s="7">
        <f t="shared" si="27"/>
        <v>-0.91582274299009081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12.3</v>
      </c>
      <c r="E48" s="1"/>
      <c r="F48" s="5">
        <f t="shared" ref="F48:F70" si="28">IF(D$12=0,0,D48/D$12)</f>
        <v>4.0848316584416534E-4</v>
      </c>
      <c r="G48" s="1"/>
      <c r="H48" s="1">
        <f>SUM(OSRRefH22_2x_0)</f>
        <v>369</v>
      </c>
      <c r="I48" s="1"/>
      <c r="J48" s="5">
        <f t="shared" ref="J48:J70" si="29">IF(H$12=0,0,H48/H$12)</f>
        <v>0</v>
      </c>
      <c r="K48" s="1"/>
      <c r="L48" s="1">
        <f t="shared" ref="L48:L70" si="30">+D48-H48</f>
        <v>-356.7</v>
      </c>
      <c r="M48" s="1"/>
      <c r="N48" s="5">
        <f t="shared" ref="N48:N70" si="31">IF(H48=0,0,L48/H48)</f>
        <v>-0.96666666666666667</v>
      </c>
      <c r="O48" s="13"/>
      <c r="P48" s="1">
        <f>SUM(OSRRefP22_2x_0)</f>
        <v>1375.48</v>
      </c>
      <c r="Q48" s="1"/>
      <c r="R48" s="5">
        <f t="shared" ref="R48:R70" si="32">IF(P$12=0,0,P48/P$12)</f>
        <v>1.3776328544142505E-3</v>
      </c>
      <c r="S48" s="1"/>
      <c r="T48" s="1">
        <f>SUM(OSRRefT22_2x_0)</f>
        <v>4428</v>
      </c>
      <c r="U48" s="1"/>
      <c r="V48" s="5">
        <f t="shared" ref="V48:V70" si="33">IF(T$12=0,0,T48/T$12)</f>
        <v>2.655442006957642E-3</v>
      </c>
      <c r="W48" s="1"/>
      <c r="X48" s="1">
        <f t="shared" ref="X48:X70" si="34">+P48-T48</f>
        <v>-3052.52</v>
      </c>
      <c r="Y48" s="1"/>
      <c r="Z48" s="5">
        <f t="shared" ref="Z48:Z70" si="35">IF(T48=0,0,X48/T48)</f>
        <v>-0.68936766034327013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>
        <v>12.3</v>
      </c>
      <c r="E49" s="2"/>
      <c r="F49" s="7">
        <f t="shared" si="28"/>
        <v>4.0848316584416534E-4</v>
      </c>
      <c r="G49" s="2"/>
      <c r="H49" s="6">
        <v>369</v>
      </c>
      <c r="I49" s="2"/>
      <c r="J49" s="7">
        <f t="shared" si="29"/>
        <v>0</v>
      </c>
      <c r="K49" s="2"/>
      <c r="L49" s="6">
        <f t="shared" si="30"/>
        <v>-356.7</v>
      </c>
      <c r="M49" s="2"/>
      <c r="N49" s="7">
        <f t="shared" si="31"/>
        <v>-0.96666666666666667</v>
      </c>
      <c r="O49" s="11"/>
      <c r="P49" s="6">
        <v>1375.48</v>
      </c>
      <c r="Q49" s="2"/>
      <c r="R49" s="7">
        <f t="shared" si="32"/>
        <v>1.3776328544142505E-3</v>
      </c>
      <c r="S49" s="2"/>
      <c r="T49" s="6">
        <v>4428</v>
      </c>
      <c r="U49" s="2"/>
      <c r="V49" s="7">
        <f t="shared" si="33"/>
        <v>2.655442006957642E-3</v>
      </c>
      <c r="W49" s="2"/>
      <c r="X49" s="6">
        <f t="shared" si="34"/>
        <v>-3052.52</v>
      </c>
      <c r="Y49" s="2"/>
      <c r="Z49" s="7">
        <f t="shared" si="35"/>
        <v>-0.68936766034327013</v>
      </c>
    </row>
    <row r="50" spans="1:26" s="27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-0.02</v>
      </c>
      <c r="E50" s="1"/>
      <c r="F50" s="5">
        <f t="shared" si="28"/>
        <v>-6.6420026966530949E-7</v>
      </c>
      <c r="G50" s="1"/>
      <c r="H50" s="1">
        <f>SUM(OSRRefH22_3x_0)</f>
        <v>0</v>
      </c>
      <c r="I50" s="1"/>
      <c r="J50" s="5">
        <f t="shared" si="29"/>
        <v>0</v>
      </c>
      <c r="K50" s="1"/>
      <c r="L50" s="1">
        <f t="shared" si="30"/>
        <v>-0.02</v>
      </c>
      <c r="M50" s="1"/>
      <c r="N50" s="5">
        <f t="shared" si="31"/>
        <v>0</v>
      </c>
      <c r="O50" s="13"/>
      <c r="P50" s="1">
        <f>SUM(OSRRefP22_3x_0)</f>
        <v>23.78</v>
      </c>
      <c r="Q50" s="1"/>
      <c r="R50" s="5">
        <f t="shared" si="32"/>
        <v>2.3817219645484393E-5</v>
      </c>
      <c r="S50" s="1"/>
      <c r="T50" s="1">
        <f>SUM(OSRRefT22_3x_0)</f>
        <v>80</v>
      </c>
      <c r="U50" s="1"/>
      <c r="V50" s="5">
        <f t="shared" si="33"/>
        <v>4.7975465347021531E-5</v>
      </c>
      <c r="W50" s="1"/>
      <c r="X50" s="1">
        <f t="shared" si="34"/>
        <v>-56.22</v>
      </c>
      <c r="Y50" s="1"/>
      <c r="Z50" s="5">
        <f t="shared" si="35"/>
        <v>-0.70274999999999999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>
        <v>-0.02</v>
      </c>
      <c r="E51" s="2"/>
      <c r="F51" s="7">
        <f t="shared" si="28"/>
        <v>-6.6420026966530949E-7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-0.02</v>
      </c>
      <c r="M51" s="2"/>
      <c r="N51" s="7">
        <f t="shared" si="31"/>
        <v>0</v>
      </c>
      <c r="O51" s="11"/>
      <c r="P51" s="6">
        <v>23.78</v>
      </c>
      <c r="Q51" s="2"/>
      <c r="R51" s="7">
        <f t="shared" si="32"/>
        <v>2.3817219645484393E-5</v>
      </c>
      <c r="S51" s="2"/>
      <c r="T51" s="6">
        <v>80</v>
      </c>
      <c r="U51" s="2"/>
      <c r="V51" s="7">
        <f t="shared" si="33"/>
        <v>4.7975465347021531E-5</v>
      </c>
      <c r="W51" s="2"/>
      <c r="X51" s="6">
        <f t="shared" si="34"/>
        <v>-56.22</v>
      </c>
      <c r="Y51" s="2"/>
      <c r="Z51" s="7">
        <f t="shared" si="35"/>
        <v>-0.70274999999999999</v>
      </c>
    </row>
    <row r="52" spans="1:26" s="27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SUM(OSRRefP22_4x_0)</f>
        <v>423.53</v>
      </c>
      <c r="Q52" s="1"/>
      <c r="R52" s="5">
        <f t="shared" si="32"/>
        <v>4.2419289472043754E-4</v>
      </c>
      <c r="S52" s="1"/>
      <c r="T52" s="1">
        <f>SUM(OSRRefT22_4x_0)</f>
        <v>1485</v>
      </c>
      <c r="U52" s="1"/>
      <c r="V52" s="5">
        <f t="shared" si="33"/>
        <v>8.9054457550408726E-4</v>
      </c>
      <c r="W52" s="1"/>
      <c r="X52" s="1">
        <f t="shared" si="34"/>
        <v>-1061.47</v>
      </c>
      <c r="Y52" s="1"/>
      <c r="Z52" s="5">
        <f t="shared" si="35"/>
        <v>-0.71479461279461276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0</v>
      </c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423.53</v>
      </c>
      <c r="Q53" s="2"/>
      <c r="R53" s="7">
        <f t="shared" si="32"/>
        <v>4.2419289472043754E-4</v>
      </c>
      <c r="S53" s="2"/>
      <c r="T53" s="6">
        <v>1485</v>
      </c>
      <c r="U53" s="2"/>
      <c r="V53" s="7">
        <f t="shared" si="33"/>
        <v>8.9054457550408726E-4</v>
      </c>
      <c r="W53" s="2"/>
      <c r="X53" s="6">
        <f t="shared" si="34"/>
        <v>-1061.47</v>
      </c>
      <c r="Y53" s="2"/>
      <c r="Z53" s="7">
        <f t="shared" si="35"/>
        <v>-0.71479461279461276</v>
      </c>
    </row>
    <row r="54" spans="1:26" s="27" customFormat="1" outlineLevel="1" collapsed="1" x14ac:dyDescent="0.25">
      <c r="A54" s="25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272.70999999999998</v>
      </c>
      <c r="E54" s="1"/>
      <c r="F54" s="5">
        <f t="shared" si="28"/>
        <v>9.0567027770213256E-3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272.70999999999998</v>
      </c>
      <c r="M54" s="1"/>
      <c r="N54" s="5">
        <f t="shared" si="31"/>
        <v>0</v>
      </c>
      <c r="O54" s="13"/>
      <c r="P54" s="1">
        <f>SUM(OSRRefP22_5x_0)</f>
        <v>3008.63</v>
      </c>
      <c r="Q54" s="1"/>
      <c r="R54" s="5">
        <f t="shared" si="32"/>
        <v>3.0133390051300972E-3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3008.63</v>
      </c>
      <c r="Y54" s="1"/>
      <c r="Z54" s="5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272.70999999999998</v>
      </c>
      <c r="E55" s="2"/>
      <c r="F55" s="7">
        <f t="shared" si="28"/>
        <v>9.0567027770213256E-3</v>
      </c>
      <c r="G55" s="2"/>
      <c r="H55" s="6"/>
      <c r="I55" s="2"/>
      <c r="J55" s="7">
        <f t="shared" si="29"/>
        <v>0</v>
      </c>
      <c r="K55" s="2"/>
      <c r="L55" s="6">
        <f t="shared" si="30"/>
        <v>272.70999999999998</v>
      </c>
      <c r="M55" s="2"/>
      <c r="N55" s="7">
        <f t="shared" si="31"/>
        <v>0</v>
      </c>
      <c r="O55" s="11"/>
      <c r="P55" s="6">
        <v>3008.63</v>
      </c>
      <c r="Q55" s="2"/>
      <c r="R55" s="7">
        <f t="shared" si="32"/>
        <v>3.0133390051300972E-3</v>
      </c>
      <c r="S55" s="2"/>
      <c r="T55" s="6"/>
      <c r="U55" s="2"/>
      <c r="V55" s="7">
        <f t="shared" si="33"/>
        <v>0</v>
      </c>
      <c r="W55" s="2"/>
      <c r="X55" s="6">
        <f t="shared" si="34"/>
        <v>3008.63</v>
      </c>
      <c r="Y55" s="2"/>
      <c r="Z55" s="7">
        <f t="shared" si="35"/>
        <v>0</v>
      </c>
    </row>
    <row r="56" spans="1:26" s="27" customFormat="1" outlineLevel="1" collapsed="1" x14ac:dyDescent="0.25">
      <c r="A56" s="25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3"/>
      <c r="P56" s="1">
        <f>SUM(OSRRefP22_6x_0)</f>
        <v>61909.05</v>
      </c>
      <c r="Q56" s="1"/>
      <c r="R56" s="5">
        <f t="shared" si="32"/>
        <v>6.2005947934956923E-2</v>
      </c>
      <c r="S56" s="1"/>
      <c r="T56" s="1">
        <f>SUM(OSRRefT22_6x_0)</f>
        <v>33000</v>
      </c>
      <c r="U56" s="1"/>
      <c r="V56" s="5">
        <f t="shared" si="33"/>
        <v>1.9789879455646382E-2</v>
      </c>
      <c r="W56" s="1"/>
      <c r="X56" s="1">
        <f t="shared" si="34"/>
        <v>28909.050000000003</v>
      </c>
      <c r="Y56" s="1"/>
      <c r="Z56" s="5">
        <f t="shared" si="35"/>
        <v>0.8760318181818183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61909.05</v>
      </c>
      <c r="Q57" s="2"/>
      <c r="R57" s="7">
        <f t="shared" si="32"/>
        <v>6.2005947934956923E-2</v>
      </c>
      <c r="S57" s="2"/>
      <c r="T57" s="6">
        <v>33000</v>
      </c>
      <c r="U57" s="2"/>
      <c r="V57" s="7">
        <f t="shared" si="33"/>
        <v>1.9789879455646382E-2</v>
      </c>
      <c r="W57" s="2"/>
      <c r="X57" s="6">
        <f t="shared" si="34"/>
        <v>28909.050000000003</v>
      </c>
      <c r="Y57" s="2"/>
      <c r="Z57" s="7">
        <f t="shared" si="35"/>
        <v>0.8760318181818183</v>
      </c>
    </row>
    <row r="58" spans="1:26" s="27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25</v>
      </c>
      <c r="E58" s="1"/>
      <c r="F58" s="5">
        <f t="shared" si="28"/>
        <v>8.3025033708163684E-4</v>
      </c>
      <c r="G58" s="1"/>
      <c r="H58" s="1">
        <f>SUM(OSRRefH22_7x_0)</f>
        <v>0</v>
      </c>
      <c r="I58" s="1"/>
      <c r="J58" s="5">
        <f t="shared" si="29"/>
        <v>0</v>
      </c>
      <c r="K58" s="1"/>
      <c r="L58" s="1">
        <f t="shared" si="30"/>
        <v>25</v>
      </c>
      <c r="M58" s="1"/>
      <c r="N58" s="5">
        <f t="shared" si="31"/>
        <v>0</v>
      </c>
      <c r="O58" s="13"/>
      <c r="P58" s="1">
        <f>SUM(OSRRefP22_7x_0)</f>
        <v>25</v>
      </c>
      <c r="Q58" s="1"/>
      <c r="R58" s="5">
        <f t="shared" si="32"/>
        <v>2.503912914790201E-5</v>
      </c>
      <c r="S58" s="1"/>
      <c r="T58" s="1">
        <f>SUM(OSRRefT22_7x_0)</f>
        <v>1500</v>
      </c>
      <c r="U58" s="1"/>
      <c r="V58" s="5">
        <f t="shared" si="33"/>
        <v>8.9953997525665374E-4</v>
      </c>
      <c r="W58" s="1"/>
      <c r="X58" s="1">
        <f t="shared" si="34"/>
        <v>-1475</v>
      </c>
      <c r="Y58" s="1"/>
      <c r="Z58" s="5">
        <f t="shared" si="35"/>
        <v>-0.98333333333333328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25</v>
      </c>
      <c r="E59" s="2"/>
      <c r="F59" s="7">
        <f t="shared" si="28"/>
        <v>8.3025033708163684E-4</v>
      </c>
      <c r="G59" s="2"/>
      <c r="H59" s="6">
        <v>0</v>
      </c>
      <c r="I59" s="2"/>
      <c r="J59" s="7">
        <f t="shared" si="29"/>
        <v>0</v>
      </c>
      <c r="K59" s="2"/>
      <c r="L59" s="6">
        <f t="shared" si="30"/>
        <v>25</v>
      </c>
      <c r="M59" s="2"/>
      <c r="N59" s="7">
        <f t="shared" si="31"/>
        <v>0</v>
      </c>
      <c r="O59" s="11"/>
      <c r="P59" s="6">
        <v>25</v>
      </c>
      <c r="Q59" s="2"/>
      <c r="R59" s="7">
        <f t="shared" si="32"/>
        <v>2.503912914790201E-5</v>
      </c>
      <c r="S59" s="2"/>
      <c r="T59" s="6">
        <v>1500</v>
      </c>
      <c r="U59" s="2"/>
      <c r="V59" s="7">
        <f t="shared" si="33"/>
        <v>8.9953997525665374E-4</v>
      </c>
      <c r="W59" s="2"/>
      <c r="X59" s="6">
        <f t="shared" si="34"/>
        <v>-1475</v>
      </c>
      <c r="Y59" s="2"/>
      <c r="Z59" s="7">
        <f t="shared" si="35"/>
        <v>-0.98333333333333328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497.28</v>
      </c>
      <c r="E60" s="1"/>
      <c r="F60" s="5">
        <f t="shared" si="28"/>
        <v>1.6514675504958252E-2</v>
      </c>
      <c r="G60" s="1"/>
      <c r="H60" s="1">
        <f>SUM(OSRRefH22_8x_0)</f>
        <v>290</v>
      </c>
      <c r="I60" s="1"/>
      <c r="J60" s="5">
        <f t="shared" si="29"/>
        <v>0</v>
      </c>
      <c r="K60" s="1"/>
      <c r="L60" s="1">
        <f t="shared" si="30"/>
        <v>207.27999999999997</v>
      </c>
      <c r="M60" s="1"/>
      <c r="N60" s="5">
        <f t="shared" si="31"/>
        <v>0.71475862068965512</v>
      </c>
      <c r="O60" s="13"/>
      <c r="P60" s="1">
        <f>SUM(OSRRefP22_8x_0)</f>
        <v>4072.13</v>
      </c>
      <c r="Q60" s="1"/>
      <c r="R60" s="5">
        <f t="shared" si="32"/>
        <v>4.0785035590818492E-3</v>
      </c>
      <c r="S60" s="1"/>
      <c r="T60" s="1">
        <f>SUM(OSRRefT22_8x_0)</f>
        <v>3480</v>
      </c>
      <c r="U60" s="1"/>
      <c r="V60" s="5">
        <f t="shared" si="33"/>
        <v>2.0869327425954366E-3</v>
      </c>
      <c r="W60" s="1"/>
      <c r="X60" s="1">
        <f t="shared" si="34"/>
        <v>592.13000000000011</v>
      </c>
      <c r="Y60" s="1"/>
      <c r="Z60" s="5">
        <f t="shared" si="35"/>
        <v>0.17015229885057476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497.28</v>
      </c>
      <c r="E61" s="2"/>
      <c r="F61" s="7">
        <f t="shared" si="28"/>
        <v>1.6514675504958252E-2</v>
      </c>
      <c r="G61" s="2"/>
      <c r="H61" s="6">
        <v>290</v>
      </c>
      <c r="I61" s="2"/>
      <c r="J61" s="7">
        <f t="shared" si="29"/>
        <v>0</v>
      </c>
      <c r="K61" s="2"/>
      <c r="L61" s="6">
        <f t="shared" si="30"/>
        <v>207.27999999999997</v>
      </c>
      <c r="M61" s="2"/>
      <c r="N61" s="7">
        <f t="shared" si="31"/>
        <v>0.71475862068965512</v>
      </c>
      <c r="O61" s="11"/>
      <c r="P61" s="6">
        <v>4072.13</v>
      </c>
      <c r="Q61" s="2"/>
      <c r="R61" s="7">
        <f t="shared" si="32"/>
        <v>4.0785035590818492E-3</v>
      </c>
      <c r="S61" s="2"/>
      <c r="T61" s="6">
        <v>3480</v>
      </c>
      <c r="U61" s="2"/>
      <c r="V61" s="7">
        <f t="shared" si="33"/>
        <v>2.0869327425954366E-3</v>
      </c>
      <c r="W61" s="2"/>
      <c r="X61" s="6">
        <f t="shared" si="34"/>
        <v>592.13000000000011</v>
      </c>
      <c r="Y61" s="2"/>
      <c r="Z61" s="7">
        <f t="shared" si="35"/>
        <v>0.17015229885057476</v>
      </c>
    </row>
    <row r="62" spans="1:26" s="27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2520</v>
      </c>
      <c r="E62" s="1"/>
      <c r="F62" s="5">
        <f t="shared" si="28"/>
        <v>8.3689233977828986E-2</v>
      </c>
      <c r="G62" s="1"/>
      <c r="H62" s="1">
        <f>SUM(OSRRefH22_9x_0)</f>
        <v>270</v>
      </c>
      <c r="I62" s="1"/>
      <c r="J62" s="5">
        <f t="shared" si="29"/>
        <v>0</v>
      </c>
      <c r="K62" s="1"/>
      <c r="L62" s="1">
        <f t="shared" si="30"/>
        <v>2250</v>
      </c>
      <c r="M62" s="1"/>
      <c r="N62" s="5">
        <f t="shared" si="31"/>
        <v>8.3333333333333339</v>
      </c>
      <c r="O62" s="13"/>
      <c r="P62" s="1">
        <f>SUM(OSRRefP22_9x_0)</f>
        <v>4408.78</v>
      </c>
      <c r="Q62" s="1"/>
      <c r="R62" s="5">
        <f t="shared" si="32"/>
        <v>4.4156804721874974E-3</v>
      </c>
      <c r="S62" s="1"/>
      <c r="T62" s="1">
        <f>SUM(OSRRefT22_9x_0)</f>
        <v>4720</v>
      </c>
      <c r="U62" s="1"/>
      <c r="V62" s="5">
        <f t="shared" si="33"/>
        <v>2.8305524554742703E-3</v>
      </c>
      <c r="W62" s="1"/>
      <c r="X62" s="1">
        <f t="shared" si="34"/>
        <v>-311.22000000000025</v>
      </c>
      <c r="Y62" s="1"/>
      <c r="Z62" s="5">
        <f t="shared" si="35"/>
        <v>-6.5936440677966154E-2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2520</v>
      </c>
      <c r="E63" s="2"/>
      <c r="F63" s="7">
        <f t="shared" si="28"/>
        <v>8.3689233977828986E-2</v>
      </c>
      <c r="G63" s="2"/>
      <c r="H63" s="6">
        <v>270</v>
      </c>
      <c r="I63" s="2"/>
      <c r="J63" s="7">
        <f t="shared" si="29"/>
        <v>0</v>
      </c>
      <c r="K63" s="2"/>
      <c r="L63" s="6">
        <f t="shared" si="30"/>
        <v>2250</v>
      </c>
      <c r="M63" s="2"/>
      <c r="N63" s="7">
        <f t="shared" si="31"/>
        <v>8.3333333333333339</v>
      </c>
      <c r="O63" s="11"/>
      <c r="P63" s="6">
        <v>4408.78</v>
      </c>
      <c r="Q63" s="2"/>
      <c r="R63" s="7">
        <f t="shared" si="32"/>
        <v>4.4156804721874974E-3</v>
      </c>
      <c r="S63" s="2"/>
      <c r="T63" s="6">
        <v>4720</v>
      </c>
      <c r="U63" s="2"/>
      <c r="V63" s="7">
        <f t="shared" si="33"/>
        <v>2.8305524554742703E-3</v>
      </c>
      <c r="W63" s="2"/>
      <c r="X63" s="6">
        <f t="shared" si="34"/>
        <v>-311.22000000000025</v>
      </c>
      <c r="Y63" s="2"/>
      <c r="Z63" s="7">
        <f t="shared" si="35"/>
        <v>-6.5936440677966154E-2</v>
      </c>
    </row>
    <row r="64" spans="1:26" s="27" customFormat="1" outlineLevel="1" collapsed="1" x14ac:dyDescent="0.25">
      <c r="A64" s="25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2207.92</v>
      </c>
      <c r="E64" s="1"/>
      <c r="F64" s="5">
        <f t="shared" si="28"/>
        <v>7.3325052969971508E-2</v>
      </c>
      <c r="G64" s="1"/>
      <c r="H64" s="1">
        <f>SUM(OSRRefH22_10x_0)</f>
        <v>0</v>
      </c>
      <c r="I64" s="1"/>
      <c r="J64" s="5">
        <f t="shared" si="29"/>
        <v>0</v>
      </c>
      <c r="K64" s="1"/>
      <c r="L64" s="1">
        <f t="shared" si="30"/>
        <v>2207.92</v>
      </c>
      <c r="M64" s="1"/>
      <c r="N64" s="5">
        <f t="shared" si="31"/>
        <v>0</v>
      </c>
      <c r="O64" s="13"/>
      <c r="P64" s="1">
        <f>SUM(OSRRefP22_10x_0)</f>
        <v>69709.039999999994</v>
      </c>
      <c r="Q64" s="1"/>
      <c r="R64" s="5">
        <f t="shared" si="32"/>
        <v>6.9818146213450685E-2</v>
      </c>
      <c r="S64" s="1"/>
      <c r="T64" s="1">
        <f>SUM(OSRRefT22_10x_0)</f>
        <v>135678</v>
      </c>
      <c r="U64" s="1"/>
      <c r="V64" s="5">
        <f t="shared" si="33"/>
        <v>8.1365189841914848E-2</v>
      </c>
      <c r="W64" s="1"/>
      <c r="X64" s="1">
        <f t="shared" si="34"/>
        <v>-65968.960000000006</v>
      </c>
      <c r="Y64" s="1"/>
      <c r="Z64" s="5">
        <f t="shared" si="35"/>
        <v>-0.48621707277524734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6">
        <v>2207.92</v>
      </c>
      <c r="E65" s="2"/>
      <c r="F65" s="7">
        <f t="shared" si="28"/>
        <v>7.3325052969971508E-2</v>
      </c>
      <c r="G65" s="2"/>
      <c r="H65" s="6">
        <v>0</v>
      </c>
      <c r="I65" s="2"/>
      <c r="J65" s="7">
        <f t="shared" si="29"/>
        <v>0</v>
      </c>
      <c r="K65" s="2"/>
      <c r="L65" s="6">
        <f t="shared" si="30"/>
        <v>2207.92</v>
      </c>
      <c r="M65" s="2"/>
      <c r="N65" s="7">
        <f t="shared" si="31"/>
        <v>0</v>
      </c>
      <c r="O65" s="11"/>
      <c r="P65" s="6">
        <v>69709.039999999994</v>
      </c>
      <c r="Q65" s="2"/>
      <c r="R65" s="7">
        <f t="shared" si="32"/>
        <v>6.9818146213450685E-2</v>
      </c>
      <c r="S65" s="2"/>
      <c r="T65" s="6">
        <v>135678</v>
      </c>
      <c r="U65" s="2"/>
      <c r="V65" s="7">
        <f t="shared" si="33"/>
        <v>8.1365189841914848E-2</v>
      </c>
      <c r="W65" s="2"/>
      <c r="X65" s="6">
        <f t="shared" si="34"/>
        <v>-65968.960000000006</v>
      </c>
      <c r="Y65" s="2"/>
      <c r="Z65" s="7">
        <f t="shared" si="35"/>
        <v>-0.48621707277524734</v>
      </c>
    </row>
    <row r="66" spans="1:26" s="27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268.06</v>
      </c>
      <c r="E66" s="1"/>
      <c r="F66" s="5">
        <f t="shared" si="28"/>
        <v>8.9022762143241424E-3</v>
      </c>
      <c r="G66" s="1"/>
      <c r="H66" s="1">
        <f>SUM(OSRRefH22_11x_0)</f>
        <v>288</v>
      </c>
      <c r="I66" s="1"/>
      <c r="J66" s="5">
        <f t="shared" si="29"/>
        <v>0</v>
      </c>
      <c r="K66" s="1"/>
      <c r="L66" s="1">
        <f t="shared" si="30"/>
        <v>-19.939999999999998</v>
      </c>
      <c r="M66" s="1"/>
      <c r="N66" s="5">
        <f t="shared" si="31"/>
        <v>-6.9236111111111109E-2</v>
      </c>
      <c r="O66" s="13"/>
      <c r="P66" s="1">
        <f>SUM(OSRRefP22_11x_0)</f>
        <v>3783.09</v>
      </c>
      <c r="Q66" s="1"/>
      <c r="R66" s="5">
        <f t="shared" si="32"/>
        <v>3.789011163525465E-3</v>
      </c>
      <c r="S66" s="1"/>
      <c r="T66" s="1">
        <f>SUM(OSRRefT22_11x_0)</f>
        <v>15039</v>
      </c>
      <c r="U66" s="1"/>
      <c r="V66" s="5">
        <f t="shared" si="33"/>
        <v>9.0187877919232096E-3</v>
      </c>
      <c r="W66" s="1"/>
      <c r="X66" s="1">
        <f t="shared" si="34"/>
        <v>-11255.91</v>
      </c>
      <c r="Y66" s="1"/>
      <c r="Z66" s="5">
        <f t="shared" si="35"/>
        <v>-0.74844803510871738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8500</v>
      </c>
      <c r="U67" s="2"/>
      <c r="V67" s="7">
        <f t="shared" si="33"/>
        <v>5.0973931931210378E-3</v>
      </c>
      <c r="W67" s="2"/>
      <c r="X67" s="6">
        <f t="shared" si="34"/>
        <v>-8500</v>
      </c>
      <c r="Y67" s="2"/>
      <c r="Z67" s="7">
        <f t="shared" si="35"/>
        <v>-1</v>
      </c>
    </row>
    <row r="68" spans="1:26" s="24" customFormat="1" hidden="1" outlineLevel="2" x14ac:dyDescent="0.25">
      <c r="A68" s="26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/>
      <c r="Q68" s="2"/>
      <c r="R68" s="7">
        <f t="shared" si="32"/>
        <v>0</v>
      </c>
      <c r="S68" s="2"/>
      <c r="T68" s="6">
        <v>3083</v>
      </c>
      <c r="U68" s="2"/>
      <c r="V68" s="7">
        <f t="shared" si="33"/>
        <v>1.8488544958108423E-3</v>
      </c>
      <c r="W68" s="2"/>
      <c r="X68" s="6">
        <f t="shared" si="34"/>
        <v>-3083</v>
      </c>
      <c r="Y68" s="2"/>
      <c r="Z68" s="7">
        <f t="shared" si="35"/>
        <v>-1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6">
        <v>98.06</v>
      </c>
      <c r="E69" s="2"/>
      <c r="F69" s="7">
        <f t="shared" si="28"/>
        <v>3.2565739221690122E-3</v>
      </c>
      <c r="G69" s="2"/>
      <c r="H69" s="6">
        <v>38</v>
      </c>
      <c r="I69" s="2"/>
      <c r="J69" s="7">
        <f t="shared" si="29"/>
        <v>0</v>
      </c>
      <c r="K69" s="2"/>
      <c r="L69" s="6">
        <f t="shared" si="30"/>
        <v>60.06</v>
      </c>
      <c r="M69" s="2"/>
      <c r="N69" s="7">
        <f t="shared" si="31"/>
        <v>1.5805263157894738</v>
      </c>
      <c r="O69" s="11"/>
      <c r="P69" s="6">
        <v>1805.12</v>
      </c>
      <c r="Q69" s="2"/>
      <c r="R69" s="7">
        <f t="shared" si="32"/>
        <v>1.807945312298435E-3</v>
      </c>
      <c r="S69" s="2"/>
      <c r="T69" s="6">
        <v>456</v>
      </c>
      <c r="U69" s="2"/>
      <c r="V69" s="7">
        <f t="shared" si="33"/>
        <v>2.7346015247802272E-4</v>
      </c>
      <c r="W69" s="2"/>
      <c r="X69" s="6">
        <f t="shared" si="34"/>
        <v>1349.12</v>
      </c>
      <c r="Y69" s="2"/>
      <c r="Z69" s="7">
        <f t="shared" si="35"/>
        <v>2.9585964912280698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170</v>
      </c>
      <c r="E70" s="2"/>
      <c r="F70" s="7">
        <f t="shared" si="28"/>
        <v>5.6457022921551307E-3</v>
      </c>
      <c r="G70" s="2"/>
      <c r="H70" s="6">
        <v>250</v>
      </c>
      <c r="I70" s="2"/>
      <c r="J70" s="7">
        <f t="shared" si="29"/>
        <v>0</v>
      </c>
      <c r="K70" s="2"/>
      <c r="L70" s="6">
        <f t="shared" si="30"/>
        <v>-80</v>
      </c>
      <c r="M70" s="2"/>
      <c r="N70" s="7">
        <f t="shared" si="31"/>
        <v>-0.32</v>
      </c>
      <c r="O70" s="11"/>
      <c r="P70" s="6">
        <v>1977.97</v>
      </c>
      <c r="Q70" s="2"/>
      <c r="R70" s="7">
        <f t="shared" si="32"/>
        <v>1.9810658512270296E-3</v>
      </c>
      <c r="S70" s="2"/>
      <c r="T70" s="6">
        <v>3000</v>
      </c>
      <c r="U70" s="2"/>
      <c r="V70" s="7">
        <f t="shared" si="33"/>
        <v>1.7990799505133075E-3</v>
      </c>
      <c r="W70" s="2"/>
      <c r="X70" s="6">
        <f t="shared" si="34"/>
        <v>-1022.03</v>
      </c>
      <c r="Y70" s="2"/>
      <c r="Z70" s="7">
        <f t="shared" si="35"/>
        <v>-0.34067666666666668</v>
      </c>
    </row>
    <row r="71" spans="1:26" s="27" customFormat="1" outlineLevel="1" collapsed="1" x14ac:dyDescent="0.25">
      <c r="A71" s="25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6059.83</v>
      </c>
      <c r="E71" s="1"/>
      <c r="F71" s="5">
        <f t="shared" ref="F71:F75" si="36">IF(D$12=0,0,D71/D$12)</f>
        <v>0.20124703600629662</v>
      </c>
      <c r="G71" s="1"/>
      <c r="H71" s="1">
        <f>SUM(OSRRefH22_12x_0)</f>
        <v>6521</v>
      </c>
      <c r="I71" s="1"/>
      <c r="J71" s="5">
        <f t="shared" ref="J71:J75" si="37">IF(H$12=0,0,H71/H$12)</f>
        <v>0</v>
      </c>
      <c r="K71" s="1"/>
      <c r="L71" s="1">
        <f t="shared" ref="L71:L75" si="38">+D71-H71</f>
        <v>-461.17000000000007</v>
      </c>
      <c r="M71" s="1"/>
      <c r="N71" s="5">
        <f t="shared" ref="N71:N75" si="39">IF(H71=0,0,L71/H71)</f>
        <v>-7.0720748351479845E-2</v>
      </c>
      <c r="O71" s="13"/>
      <c r="P71" s="1">
        <f>SUM(OSRRefP22_12x_0)</f>
        <v>65418.840000000004</v>
      </c>
      <c r="Q71" s="1"/>
      <c r="R71" s="5">
        <f t="shared" ref="R71:R75" si="40">IF(P$12=0,0,P71/P$12)</f>
        <v>6.552123133863752E-2</v>
      </c>
      <c r="S71" s="1"/>
      <c r="T71" s="1">
        <f>SUM(OSRRefT22_12x_0)</f>
        <v>76452</v>
      </c>
      <c r="U71" s="1"/>
      <c r="V71" s="5">
        <f t="shared" ref="V71:V75" si="41">IF(T$12=0,0,T71/T$12)</f>
        <v>4.5847753458881126E-2</v>
      </c>
      <c r="W71" s="1"/>
      <c r="X71" s="1">
        <f t="shared" ref="X71:X75" si="42">+P71-T71</f>
        <v>-11033.159999999996</v>
      </c>
      <c r="Y71" s="1"/>
      <c r="Z71" s="5">
        <f t="shared" ref="Z71:Z75" si="43">IF(T71=0,0,X71/T71)</f>
        <v>-0.14431486422853551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421.34</v>
      </c>
      <c r="E72" s="2"/>
      <c r="F72" s="7">
        <f t="shared" si="36"/>
        <v>1.3992707081039073E-2</v>
      </c>
      <c r="G72" s="2"/>
      <c r="H72" s="6">
        <v>450</v>
      </c>
      <c r="I72" s="2"/>
      <c r="J72" s="7">
        <f t="shared" si="37"/>
        <v>0</v>
      </c>
      <c r="K72" s="2"/>
      <c r="L72" s="6">
        <f t="shared" si="38"/>
        <v>-28.660000000000025</v>
      </c>
      <c r="M72" s="2"/>
      <c r="N72" s="7">
        <f t="shared" si="39"/>
        <v>-6.3688888888888948E-2</v>
      </c>
      <c r="O72" s="11"/>
      <c r="P72" s="6">
        <v>4924.12</v>
      </c>
      <c r="Q72" s="2"/>
      <c r="R72" s="7">
        <f t="shared" si="40"/>
        <v>4.9318270647906899E-3</v>
      </c>
      <c r="S72" s="2"/>
      <c r="T72" s="6">
        <v>5400</v>
      </c>
      <c r="U72" s="2"/>
      <c r="V72" s="7">
        <f t="shared" si="41"/>
        <v>3.2383439109239533E-3</v>
      </c>
      <c r="W72" s="2"/>
      <c r="X72" s="6">
        <f t="shared" si="42"/>
        <v>-475.88000000000011</v>
      </c>
      <c r="Y72" s="2"/>
      <c r="Z72" s="7">
        <f t="shared" si="43"/>
        <v>-8.8125925925925941E-2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282.75</v>
      </c>
      <c r="Q73" s="2"/>
      <c r="R73" s="7">
        <f t="shared" si="40"/>
        <v>2.8319255066277176E-4</v>
      </c>
      <c r="S73" s="2"/>
      <c r="T73" s="6"/>
      <c r="U73" s="2"/>
      <c r="V73" s="7">
        <f t="shared" si="41"/>
        <v>0</v>
      </c>
      <c r="W73" s="2"/>
      <c r="X73" s="6">
        <f t="shared" si="42"/>
        <v>282.75</v>
      </c>
      <c r="Y73" s="2"/>
      <c r="Z73" s="7">
        <f t="shared" si="43"/>
        <v>0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6">
        <v>4468.33</v>
      </c>
      <c r="E74" s="2"/>
      <c r="F74" s="7">
        <f t="shared" si="36"/>
        <v>0.1483932995476796</v>
      </c>
      <c r="G74" s="2"/>
      <c r="H74" s="6">
        <v>4571</v>
      </c>
      <c r="I74" s="2"/>
      <c r="J74" s="7">
        <f t="shared" si="37"/>
        <v>0</v>
      </c>
      <c r="K74" s="2"/>
      <c r="L74" s="6">
        <f t="shared" si="38"/>
        <v>-102.67000000000007</v>
      </c>
      <c r="M74" s="2"/>
      <c r="N74" s="7">
        <f t="shared" si="39"/>
        <v>-2.2461168234522003E-2</v>
      </c>
      <c r="O74" s="11"/>
      <c r="P74" s="6">
        <v>50091.6</v>
      </c>
      <c r="Q74" s="2"/>
      <c r="R74" s="7">
        <f t="shared" si="40"/>
        <v>5.0170001665001934E-2</v>
      </c>
      <c r="S74" s="2"/>
      <c r="T74" s="6">
        <v>53052</v>
      </c>
      <c r="U74" s="2"/>
      <c r="V74" s="7">
        <f t="shared" si="41"/>
        <v>3.1814929844877327E-2</v>
      </c>
      <c r="W74" s="2"/>
      <c r="X74" s="6">
        <f t="shared" si="42"/>
        <v>-2960.4000000000015</v>
      </c>
      <c r="Y74" s="2"/>
      <c r="Z74" s="7">
        <f t="shared" si="43"/>
        <v>-5.5801854783985548E-2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6">
        <v>1170.1600000000001</v>
      </c>
      <c r="E75" s="2"/>
      <c r="F75" s="7">
        <f t="shared" si="36"/>
        <v>3.8861029377577926E-2</v>
      </c>
      <c r="G75" s="2"/>
      <c r="H75" s="6">
        <v>1500</v>
      </c>
      <c r="I75" s="2"/>
      <c r="J75" s="7">
        <f t="shared" si="37"/>
        <v>0</v>
      </c>
      <c r="K75" s="2"/>
      <c r="L75" s="6">
        <f t="shared" si="38"/>
        <v>-329.83999999999992</v>
      </c>
      <c r="M75" s="2"/>
      <c r="N75" s="7">
        <f t="shared" si="39"/>
        <v>-0.21989333333333327</v>
      </c>
      <c r="O75" s="11"/>
      <c r="P75" s="6">
        <v>10120.370000000001</v>
      </c>
      <c r="Q75" s="2"/>
      <c r="R75" s="7">
        <f t="shared" si="40"/>
        <v>1.0136210058182124E-2</v>
      </c>
      <c r="S75" s="2"/>
      <c r="T75" s="6">
        <v>18000</v>
      </c>
      <c r="U75" s="2"/>
      <c r="V75" s="7">
        <f t="shared" si="41"/>
        <v>1.0794479703079845E-2</v>
      </c>
      <c r="W75" s="2"/>
      <c r="X75" s="6">
        <f t="shared" si="42"/>
        <v>-7879.6299999999992</v>
      </c>
      <c r="Y75" s="2"/>
      <c r="Z75" s="7">
        <f t="shared" si="43"/>
        <v>-0.43775722222222219</v>
      </c>
    </row>
    <row r="76" spans="1:26" s="27" customFormat="1" outlineLevel="1" collapsed="1" x14ac:dyDescent="0.25">
      <c r="A76" s="25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3"/>
      <c r="P76" s="1">
        <f>SUM(OSRRefP22_13x_0)</f>
        <v>795</v>
      </c>
      <c r="Q76" s="1"/>
      <c r="R76" s="5">
        <f t="shared" ref="R76:R87" si="48">IF(P$12=0,0,P76/P$12)</f>
        <v>7.9624430690328392E-4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795</v>
      </c>
      <c r="Q77" s="2"/>
      <c r="R77" s="7">
        <f t="shared" si="48"/>
        <v>7.9624430690328392E-4</v>
      </c>
      <c r="S77" s="2"/>
      <c r="T77" s="6"/>
      <c r="U77" s="2"/>
      <c r="V77" s="7">
        <f t="shared" si="49"/>
        <v>0</v>
      </c>
      <c r="W77" s="2"/>
      <c r="X77" s="6">
        <f t="shared" si="50"/>
        <v>795</v>
      </c>
      <c r="Y77" s="2"/>
      <c r="Z77" s="7">
        <f t="shared" si="51"/>
        <v>0</v>
      </c>
    </row>
    <row r="78" spans="1:26" s="27" customFormat="1" outlineLevel="1" collapsed="1" x14ac:dyDescent="0.25">
      <c r="A78" s="25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10190.509999999998</v>
      </c>
      <c r="E78" s="1"/>
      <c r="F78" s="5">
        <f t="shared" si="44"/>
        <v>0.33842697450135156</v>
      </c>
      <c r="G78" s="1"/>
      <c r="H78" s="1">
        <f>SUM(OSRRefH22_14x_0)</f>
        <v>2000</v>
      </c>
      <c r="I78" s="1"/>
      <c r="J78" s="5">
        <f t="shared" si="45"/>
        <v>0</v>
      </c>
      <c r="K78" s="1"/>
      <c r="L78" s="1">
        <f t="shared" si="46"/>
        <v>8190.5099999999984</v>
      </c>
      <c r="M78" s="1"/>
      <c r="N78" s="5">
        <f t="shared" si="47"/>
        <v>4.095254999999999</v>
      </c>
      <c r="O78" s="13"/>
      <c r="P78" s="1">
        <f>SUM(OSRRefP22_14x_0)</f>
        <v>138178.78999999998</v>
      </c>
      <c r="Q78" s="1"/>
      <c r="R78" s="5">
        <f t="shared" si="48"/>
        <v>0.13839506273243321</v>
      </c>
      <c r="S78" s="1"/>
      <c r="T78" s="1">
        <f>SUM(OSRRefT22_14x_0)</f>
        <v>83500</v>
      </c>
      <c r="U78" s="1"/>
      <c r="V78" s="5">
        <f t="shared" si="49"/>
        <v>5.0074391955953729E-2</v>
      </c>
      <c r="W78" s="1"/>
      <c r="X78" s="1">
        <f t="shared" si="50"/>
        <v>54678.789999999979</v>
      </c>
      <c r="Y78" s="1"/>
      <c r="Z78" s="5">
        <f t="shared" si="51"/>
        <v>0.6548358083832333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44"/>
        <v>0</v>
      </c>
      <c r="G79" s="2"/>
      <c r="H79" s="6">
        <v>2000</v>
      </c>
      <c r="I79" s="2"/>
      <c r="J79" s="7">
        <f t="shared" si="45"/>
        <v>0</v>
      </c>
      <c r="K79" s="2"/>
      <c r="L79" s="6">
        <f t="shared" si="46"/>
        <v>-2000</v>
      </c>
      <c r="M79" s="2"/>
      <c r="N79" s="7">
        <f t="shared" si="47"/>
        <v>-1</v>
      </c>
      <c r="O79" s="11"/>
      <c r="P79" s="6">
        <v>53097.67</v>
      </c>
      <c r="Q79" s="2"/>
      <c r="R79" s="7">
        <f t="shared" si="48"/>
        <v>5.3180776663307283E-2</v>
      </c>
      <c r="S79" s="2"/>
      <c r="T79" s="6">
        <v>42000</v>
      </c>
      <c r="U79" s="2"/>
      <c r="V79" s="7">
        <f t="shared" si="49"/>
        <v>2.5187119307186305E-2</v>
      </c>
      <c r="W79" s="2"/>
      <c r="X79" s="6">
        <f t="shared" si="50"/>
        <v>11097.669999999998</v>
      </c>
      <c r="Y79" s="2"/>
      <c r="Z79" s="7">
        <f t="shared" si="51"/>
        <v>0.26423023809523805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6">
        <v>918.55</v>
      </c>
      <c r="E80" s="2"/>
      <c r="F80" s="7">
        <f t="shared" si="44"/>
        <v>3.0505057885053498E-2</v>
      </c>
      <c r="G80" s="2"/>
      <c r="H80" s="6">
        <v>0</v>
      </c>
      <c r="I80" s="2"/>
      <c r="J80" s="7">
        <f t="shared" si="45"/>
        <v>0</v>
      </c>
      <c r="K80" s="2"/>
      <c r="L80" s="6">
        <f t="shared" si="46"/>
        <v>918.55</v>
      </c>
      <c r="M80" s="2"/>
      <c r="N80" s="7">
        <f t="shared" si="47"/>
        <v>0</v>
      </c>
      <c r="O80" s="11"/>
      <c r="P80" s="6">
        <v>19395.349999999999</v>
      </c>
      <c r="Q80" s="2"/>
      <c r="R80" s="7">
        <f t="shared" si="48"/>
        <v>1.9425706940750451E-2</v>
      </c>
      <c r="S80" s="2"/>
      <c r="T80" s="6">
        <v>30000</v>
      </c>
      <c r="U80" s="2"/>
      <c r="V80" s="7">
        <f t="shared" si="49"/>
        <v>1.7990799505133076E-2</v>
      </c>
      <c r="W80" s="2"/>
      <c r="X80" s="6">
        <f t="shared" si="50"/>
        <v>-10604.650000000001</v>
      </c>
      <c r="Y80" s="2"/>
      <c r="Z80" s="7">
        <f t="shared" si="51"/>
        <v>-0.3534883333333334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6">
        <v>3554.22</v>
      </c>
      <c r="E81" s="2"/>
      <c r="F81" s="7">
        <f t="shared" si="44"/>
        <v>0.1180356941224918</v>
      </c>
      <c r="G81" s="2"/>
      <c r="H81" s="6">
        <v>0</v>
      </c>
      <c r="I81" s="2"/>
      <c r="J81" s="7">
        <f t="shared" si="45"/>
        <v>0</v>
      </c>
      <c r="K81" s="2"/>
      <c r="L81" s="6">
        <f t="shared" si="46"/>
        <v>3554.22</v>
      </c>
      <c r="M81" s="2"/>
      <c r="N81" s="7">
        <f t="shared" si="47"/>
        <v>0</v>
      </c>
      <c r="O81" s="11"/>
      <c r="P81" s="6">
        <v>10389.42</v>
      </c>
      <c r="Q81" s="2"/>
      <c r="R81" s="7">
        <f t="shared" si="48"/>
        <v>1.0405681166071845E-2</v>
      </c>
      <c r="S81" s="2"/>
      <c r="T81" s="6">
        <v>5000</v>
      </c>
      <c r="U81" s="2"/>
      <c r="V81" s="7">
        <f t="shared" si="49"/>
        <v>2.9984665841888457E-3</v>
      </c>
      <c r="W81" s="2"/>
      <c r="X81" s="6">
        <f t="shared" si="50"/>
        <v>5389.42</v>
      </c>
      <c r="Y81" s="2"/>
      <c r="Z81" s="7">
        <f t="shared" si="51"/>
        <v>1.0778840000000001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6">
        <v>1232.0899999999999</v>
      </c>
      <c r="E82" s="2"/>
      <c r="F82" s="7">
        <f t="shared" si="44"/>
        <v>4.0917725512596551E-2</v>
      </c>
      <c r="G82" s="2"/>
      <c r="H82" s="6">
        <v>0</v>
      </c>
      <c r="I82" s="2"/>
      <c r="J82" s="7">
        <f t="shared" si="45"/>
        <v>0</v>
      </c>
      <c r="K82" s="2"/>
      <c r="L82" s="6">
        <f t="shared" si="46"/>
        <v>1232.0899999999999</v>
      </c>
      <c r="M82" s="2"/>
      <c r="N82" s="7">
        <f t="shared" si="47"/>
        <v>0</v>
      </c>
      <c r="O82" s="11"/>
      <c r="P82" s="6">
        <v>10600.79</v>
      </c>
      <c r="Q82" s="2"/>
      <c r="R82" s="7">
        <f t="shared" si="48"/>
        <v>1.0617381995191527E-2</v>
      </c>
      <c r="S82" s="2"/>
      <c r="T82" s="6">
        <v>1650</v>
      </c>
      <c r="U82" s="2"/>
      <c r="V82" s="7">
        <f t="shared" si="49"/>
        <v>9.8949397278231903E-4</v>
      </c>
      <c r="W82" s="2"/>
      <c r="X82" s="6">
        <f t="shared" si="50"/>
        <v>8950.7900000000009</v>
      </c>
      <c r="Y82" s="2"/>
      <c r="Z82" s="7">
        <f t="shared" si="51"/>
        <v>5.4247212121212129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6">
        <v>4485.6499999999996</v>
      </c>
      <c r="E83" s="2"/>
      <c r="F83" s="7">
        <f t="shared" si="44"/>
        <v>0.14896849698120976</v>
      </c>
      <c r="G83" s="2"/>
      <c r="H83" s="6"/>
      <c r="I83" s="2"/>
      <c r="J83" s="7">
        <f t="shared" si="45"/>
        <v>0</v>
      </c>
      <c r="K83" s="2"/>
      <c r="L83" s="6">
        <f t="shared" si="46"/>
        <v>4485.6499999999996</v>
      </c>
      <c r="M83" s="2"/>
      <c r="N83" s="7">
        <f t="shared" si="47"/>
        <v>0</v>
      </c>
      <c r="O83" s="11"/>
      <c r="P83" s="6">
        <v>40194.97</v>
      </c>
      <c r="Q83" s="2"/>
      <c r="R83" s="7">
        <f t="shared" si="48"/>
        <v>4.0257881797041879E-2</v>
      </c>
      <c r="S83" s="2"/>
      <c r="T83" s="6"/>
      <c r="U83" s="2"/>
      <c r="V83" s="7">
        <f t="shared" si="49"/>
        <v>0</v>
      </c>
      <c r="W83" s="2"/>
      <c r="X83" s="6">
        <f t="shared" si="50"/>
        <v>40194.97</v>
      </c>
      <c r="Y83" s="2"/>
      <c r="Z83" s="7">
        <f t="shared" si="51"/>
        <v>0</v>
      </c>
    </row>
    <row r="84" spans="1:26" s="24" customFormat="1" hidden="1" outlineLevel="2" x14ac:dyDescent="0.25">
      <c r="A84" s="26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/>
      <c r="Q84" s="2"/>
      <c r="R84" s="7">
        <f t="shared" si="48"/>
        <v>0</v>
      </c>
      <c r="S84" s="2"/>
      <c r="T84" s="6">
        <v>320</v>
      </c>
      <c r="U84" s="2"/>
      <c r="V84" s="7">
        <f t="shared" si="49"/>
        <v>1.9190186138808612E-4</v>
      </c>
      <c r="W84" s="2"/>
      <c r="X84" s="6">
        <f t="shared" si="50"/>
        <v>-320</v>
      </c>
      <c r="Y84" s="2"/>
      <c r="Z84" s="7">
        <f t="shared" si="51"/>
        <v>-1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500</v>
      </c>
      <c r="U85" s="2"/>
      <c r="V85" s="7">
        <f t="shared" si="49"/>
        <v>2.9984665841888456E-4</v>
      </c>
      <c r="W85" s="2"/>
      <c r="X85" s="6">
        <f t="shared" si="50"/>
        <v>-500</v>
      </c>
      <c r="Y85" s="2"/>
      <c r="Z85" s="7">
        <f t="shared" si="51"/>
        <v>-1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44"/>
        <v>0</v>
      </c>
      <c r="G86" s="2"/>
      <c r="H86" s="6">
        <v>0</v>
      </c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/>
      <c r="Q86" s="2"/>
      <c r="R86" s="7">
        <f t="shared" si="48"/>
        <v>0</v>
      </c>
      <c r="S86" s="2"/>
      <c r="T86" s="6">
        <v>180</v>
      </c>
      <c r="U86" s="2"/>
      <c r="V86" s="7">
        <f t="shared" si="49"/>
        <v>1.0794479703079845E-4</v>
      </c>
      <c r="W86" s="2"/>
      <c r="X86" s="6">
        <f t="shared" si="50"/>
        <v>-180</v>
      </c>
      <c r="Y86" s="2"/>
      <c r="Z86" s="7">
        <f t="shared" si="51"/>
        <v>-1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44"/>
        <v>0</v>
      </c>
      <c r="G87" s="2"/>
      <c r="H87" s="6">
        <v>0</v>
      </c>
      <c r="I87" s="2"/>
      <c r="J87" s="7">
        <f t="shared" si="45"/>
        <v>0</v>
      </c>
      <c r="K87" s="2"/>
      <c r="L87" s="6">
        <f t="shared" si="46"/>
        <v>0</v>
      </c>
      <c r="M87" s="2"/>
      <c r="N87" s="7">
        <f t="shared" si="47"/>
        <v>0</v>
      </c>
      <c r="O87" s="11"/>
      <c r="P87" s="6">
        <v>4500.59</v>
      </c>
      <c r="Q87" s="2"/>
      <c r="R87" s="7">
        <f t="shared" si="48"/>
        <v>4.507634170070253E-3</v>
      </c>
      <c r="S87" s="2"/>
      <c r="T87" s="6">
        <v>3850</v>
      </c>
      <c r="U87" s="2"/>
      <c r="V87" s="7">
        <f t="shared" si="49"/>
        <v>2.3088192698254113E-3</v>
      </c>
      <c r="W87" s="2"/>
      <c r="X87" s="6">
        <f t="shared" si="50"/>
        <v>650.59000000000015</v>
      </c>
      <c r="Y87" s="2"/>
      <c r="Z87" s="7">
        <f t="shared" si="51"/>
        <v>0.16898441558441563</v>
      </c>
    </row>
    <row r="88" spans="1:26" s="27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459</v>
      </c>
      <c r="E88" s="1"/>
      <c r="F88" s="5">
        <f t="shared" ref="F88:F90" si="52">IF(D$12=0,0,D88/D$12)</f>
        <v>1.5243396188818852E-2</v>
      </c>
      <c r="G88" s="1"/>
      <c r="H88" s="1">
        <f>SUM(OSRRefH22_15x_0)</f>
        <v>310</v>
      </c>
      <c r="I88" s="1"/>
      <c r="J88" s="5">
        <f t="shared" ref="J88:J90" si="53">IF(H$12=0,0,H88/H$12)</f>
        <v>0</v>
      </c>
      <c r="K88" s="1"/>
      <c r="L88" s="1">
        <f t="shared" ref="L88:L90" si="54">+D88-H88</f>
        <v>149</v>
      </c>
      <c r="M88" s="1"/>
      <c r="N88" s="5">
        <f t="shared" ref="N88:N90" si="55">IF(H88=0,0,L88/H88)</f>
        <v>0.48064516129032259</v>
      </c>
      <c r="O88" s="13"/>
      <c r="P88" s="1">
        <f>SUM(OSRRefP22_15x_0)</f>
        <v>3109</v>
      </c>
      <c r="Q88" s="1"/>
      <c r="R88" s="5">
        <f t="shared" ref="R88:R90" si="56">IF(P$12=0,0,P88/P$12)</f>
        <v>3.1138661008330943E-3</v>
      </c>
      <c r="S88" s="1"/>
      <c r="T88" s="1">
        <f>SUM(OSRRefT22_15x_0)</f>
        <v>3720</v>
      </c>
      <c r="U88" s="1"/>
      <c r="V88" s="5">
        <f t="shared" ref="V88:V90" si="57">IF(T$12=0,0,T88/T$12)</f>
        <v>2.2308591386365011E-3</v>
      </c>
      <c r="W88" s="1"/>
      <c r="X88" s="1">
        <f t="shared" ref="X88:X90" si="58">+P88-T88</f>
        <v>-611</v>
      </c>
      <c r="Y88" s="1"/>
      <c r="Z88" s="5">
        <f t="shared" ref="Z88:Z90" si="59">IF(T88=0,0,X88/T88)</f>
        <v>-0.16424731182795699</v>
      </c>
    </row>
    <row r="89" spans="1:26" s="24" customFormat="1" hidden="1" outlineLevel="2" x14ac:dyDescent="0.25">
      <c r="A89" s="26"/>
      <c r="B89" s="11" t="str">
        <f>CONCATENATE("          ", "6303", " - ", "DATA PHONE LINES")</f>
        <v xml:space="preserve">          6303 - DATA PHONE LINES</v>
      </c>
      <c r="C89" s="11"/>
      <c r="D89" s="6"/>
      <c r="E89" s="2"/>
      <c r="F89" s="7">
        <f t="shared" si="52"/>
        <v>0</v>
      </c>
      <c r="G89" s="2"/>
      <c r="H89" s="6">
        <v>310</v>
      </c>
      <c r="I89" s="2"/>
      <c r="J89" s="7">
        <f t="shared" si="53"/>
        <v>0</v>
      </c>
      <c r="K89" s="2"/>
      <c r="L89" s="6">
        <f t="shared" si="54"/>
        <v>-310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3720</v>
      </c>
      <c r="U89" s="2"/>
      <c r="V89" s="7">
        <f t="shared" si="57"/>
        <v>2.2308591386365011E-3</v>
      </c>
      <c r="W89" s="2"/>
      <c r="X89" s="6">
        <f t="shared" si="58"/>
        <v>-3720</v>
      </c>
      <c r="Y89" s="2"/>
      <c r="Z89" s="7">
        <f t="shared" si="59"/>
        <v>-1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6">
        <v>459</v>
      </c>
      <c r="E90" s="2"/>
      <c r="F90" s="7">
        <f t="shared" si="52"/>
        <v>1.5243396188818852E-2</v>
      </c>
      <c r="G90" s="2"/>
      <c r="H90" s="6"/>
      <c r="I90" s="2"/>
      <c r="J90" s="7">
        <f t="shared" si="53"/>
        <v>0</v>
      </c>
      <c r="K90" s="2"/>
      <c r="L90" s="6">
        <f t="shared" si="54"/>
        <v>459</v>
      </c>
      <c r="M90" s="2"/>
      <c r="N90" s="7">
        <f t="shared" si="55"/>
        <v>0</v>
      </c>
      <c r="O90" s="11"/>
      <c r="P90" s="6">
        <v>3109</v>
      </c>
      <c r="Q90" s="2"/>
      <c r="R90" s="7">
        <f t="shared" si="56"/>
        <v>3.1138661008330943E-3</v>
      </c>
      <c r="S90" s="2"/>
      <c r="T90" s="6"/>
      <c r="U90" s="2"/>
      <c r="V90" s="7">
        <f t="shared" si="57"/>
        <v>0</v>
      </c>
      <c r="W90" s="2"/>
      <c r="X90" s="6">
        <f t="shared" si="58"/>
        <v>3109</v>
      </c>
      <c r="Y90" s="2"/>
      <c r="Z90" s="7">
        <f t="shared" si="59"/>
        <v>0</v>
      </c>
    </row>
    <row r="91" spans="1:26" s="27" customFormat="1" outlineLevel="1" collapsed="1" x14ac:dyDescent="0.25">
      <c r="A91" s="25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SUM(OSRRefD22_16x_0)</f>
        <v>494</v>
      </c>
      <c r="E91" s="1"/>
      <c r="F91" s="5">
        <f t="shared" ref="F91:F94" si="60">IF(D$12=0,0,D91/D$12)</f>
        <v>1.6405746660733144E-2</v>
      </c>
      <c r="G91" s="1"/>
      <c r="H91" s="1">
        <f>SUM(OSRRefH22_16x_0)</f>
        <v>350</v>
      </c>
      <c r="I91" s="1"/>
      <c r="J91" s="5">
        <f t="shared" ref="J91:J94" si="61">IF(H$12=0,0,H91/H$12)</f>
        <v>0</v>
      </c>
      <c r="K91" s="1"/>
      <c r="L91" s="1">
        <f t="shared" ref="L91:L94" si="62">+D91-H91</f>
        <v>144</v>
      </c>
      <c r="M91" s="1"/>
      <c r="N91" s="5">
        <f t="shared" ref="N91:N94" si="63">IF(H91=0,0,L91/H91)</f>
        <v>0.41142857142857142</v>
      </c>
      <c r="O91" s="13"/>
      <c r="P91" s="1">
        <f>SUM(OSRRefP22_16x_0)</f>
        <v>1229</v>
      </c>
      <c r="Q91" s="1"/>
      <c r="R91" s="5">
        <f t="shared" ref="R91:R94" si="64">IF(P$12=0,0,P91/P$12)</f>
        <v>1.2309235889108629E-3</v>
      </c>
      <c r="S91" s="1"/>
      <c r="T91" s="1">
        <f>SUM(OSRRefT22_16x_0)</f>
        <v>3850</v>
      </c>
      <c r="U91" s="1"/>
      <c r="V91" s="5">
        <f t="shared" ref="V91:V94" si="65">IF(T$12=0,0,T91/T$12)</f>
        <v>2.3088192698254113E-3</v>
      </c>
      <c r="W91" s="1"/>
      <c r="X91" s="1">
        <f t="shared" ref="X91:X94" si="66">+P91-T91</f>
        <v>-2621</v>
      </c>
      <c r="Y91" s="1"/>
      <c r="Z91" s="5">
        <f t="shared" ref="Z91:Z94" si="67">IF(T91=0,0,X91/T91)</f>
        <v>-0.68077922077922082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6">
        <v>494</v>
      </c>
      <c r="E92" s="2"/>
      <c r="F92" s="7">
        <f t="shared" si="60"/>
        <v>1.6405746660733144E-2</v>
      </c>
      <c r="G92" s="2"/>
      <c r="H92" s="6">
        <v>350</v>
      </c>
      <c r="I92" s="2"/>
      <c r="J92" s="7">
        <f t="shared" si="61"/>
        <v>0</v>
      </c>
      <c r="K92" s="2"/>
      <c r="L92" s="6">
        <f t="shared" si="62"/>
        <v>144</v>
      </c>
      <c r="M92" s="2"/>
      <c r="N92" s="7">
        <f t="shared" si="63"/>
        <v>0.41142857142857142</v>
      </c>
      <c r="O92" s="11"/>
      <c r="P92" s="6">
        <v>1229</v>
      </c>
      <c r="Q92" s="2"/>
      <c r="R92" s="7">
        <f t="shared" si="64"/>
        <v>1.2309235889108629E-3</v>
      </c>
      <c r="S92" s="2"/>
      <c r="T92" s="6">
        <v>3850</v>
      </c>
      <c r="U92" s="2"/>
      <c r="V92" s="7">
        <f t="shared" si="65"/>
        <v>2.3088192698254113E-3</v>
      </c>
      <c r="W92" s="2"/>
      <c r="X92" s="6">
        <f t="shared" si="66"/>
        <v>-2621</v>
      </c>
      <c r="Y92" s="2"/>
      <c r="Z92" s="7">
        <f t="shared" si="67"/>
        <v>-0.68077922077922082</v>
      </c>
    </row>
    <row r="93" spans="1:26" s="27" customFormat="1" outlineLevel="1" collapsed="1" x14ac:dyDescent="0.25">
      <c r="A93" s="25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SUM(OSRRefD22_17x_0)</f>
        <v>0</v>
      </c>
      <c r="E93" s="1"/>
      <c r="F93" s="5">
        <f t="shared" si="60"/>
        <v>0</v>
      </c>
      <c r="G93" s="1"/>
      <c r="H93" s="1">
        <f>SUM(OSRRefH22_17x_0)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3"/>
      <c r="P93" s="1">
        <f>SUM(OSRRefP22_17x_0)</f>
        <v>160.30000000000001</v>
      </c>
      <c r="Q93" s="1"/>
      <c r="R93" s="5">
        <f t="shared" si="64"/>
        <v>1.605508960963477E-4</v>
      </c>
      <c r="S93" s="1"/>
      <c r="T93" s="1">
        <f>SUM(OSRRefT22_17x_0)</f>
        <v>0</v>
      </c>
      <c r="U93" s="1"/>
      <c r="V93" s="5">
        <f t="shared" si="65"/>
        <v>0</v>
      </c>
      <c r="W93" s="1"/>
      <c r="X93" s="1">
        <f t="shared" si="66"/>
        <v>160.30000000000001</v>
      </c>
      <c r="Y93" s="1"/>
      <c r="Z93" s="5">
        <f t="shared" si="67"/>
        <v>0</v>
      </c>
    </row>
    <row r="94" spans="1:26" s="24" customFormat="1" hidden="1" outlineLevel="2" x14ac:dyDescent="0.25">
      <c r="A94" s="26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60"/>
        <v>0</v>
      </c>
      <c r="G94" s="2"/>
      <c r="H94" s="6"/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>
        <v>160.30000000000001</v>
      </c>
      <c r="Q94" s="2"/>
      <c r="R94" s="7">
        <f t="shared" si="64"/>
        <v>1.605508960963477E-4</v>
      </c>
      <c r="S94" s="2"/>
      <c r="T94" s="6"/>
      <c r="U94" s="2"/>
      <c r="V94" s="7">
        <f t="shared" si="65"/>
        <v>0</v>
      </c>
      <c r="W94" s="2"/>
      <c r="X94" s="6">
        <f t="shared" si="66"/>
        <v>160.30000000000001</v>
      </c>
      <c r="Y94" s="2"/>
      <c r="Z94" s="7">
        <f t="shared" si="67"/>
        <v>0</v>
      </c>
    </row>
    <row r="95" spans="1:26" s="61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9" t="s">
        <v>293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277</v>
      </c>
      <c r="C98" s="28"/>
      <c r="D98" s="20">
        <f>+D23-D25+D96</f>
        <v>-74953.26999999999</v>
      </c>
      <c r="E98" s="14"/>
      <c r="F98" s="22">
        <f>IF(D$12=0,0,D98/D$12)</f>
        <v>-2.4891991073148372</v>
      </c>
      <c r="G98" s="14"/>
      <c r="H98" s="20">
        <f>+H23-H25+H96</f>
        <v>-80173.683104769298</v>
      </c>
      <c r="I98" s="14"/>
      <c r="J98" s="22">
        <f>IF(H$12=0,0,H98/H$12)</f>
        <v>0</v>
      </c>
      <c r="K98" s="16"/>
      <c r="L98" s="20">
        <f>+D98-H98</f>
        <v>5220.4131047693081</v>
      </c>
      <c r="M98" s="16"/>
      <c r="N98" s="22">
        <f>IF(H98=0,0,L98/H98)</f>
        <v>-6.5113799224458493E-2</v>
      </c>
      <c r="O98" s="29"/>
      <c r="P98" s="20">
        <f>+P23-P25+P96</f>
        <v>-787613.77000000048</v>
      </c>
      <c r="Q98" s="14"/>
      <c r="R98" s="22">
        <f>IF(P$12=0,0,P98/P$12)</f>
        <v>-0.78884651622784008</v>
      </c>
      <c r="S98" s="14"/>
      <c r="T98" s="20">
        <f>+T23-T25+T96</f>
        <v>-259203.8934017499</v>
      </c>
      <c r="U98" s="14"/>
      <c r="V98" s="22">
        <f>IF(T$12=0,0,T98/T$12)</f>
        <v>-0.15544284257135896</v>
      </c>
      <c r="W98" s="16"/>
      <c r="X98" s="20">
        <f>+P98-T98</f>
        <v>-528409.87659825059</v>
      </c>
      <c r="Y98" s="16"/>
      <c r="Z98" s="22">
        <f>IF(T98=0,0,X98/T98)</f>
        <v>2.0385877297732105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128</v>
      </c>
      <c r="C100" s="10"/>
      <c r="D100" s="4">
        <v>69440.039999999994</v>
      </c>
      <c r="E100" s="4"/>
      <c r="F100" s="12">
        <f>IF(D$12=0,0,D100/D$12)</f>
        <v>2.3061046646784935</v>
      </c>
      <c r="G100" s="4"/>
      <c r="H100" s="4">
        <v>-26076</v>
      </c>
      <c r="I100" s="4"/>
      <c r="J100" s="12">
        <f>IF(H$12=0,0,H100/H$12)</f>
        <v>0</v>
      </c>
      <c r="K100" s="4"/>
      <c r="L100" s="4">
        <f>+D100-H100</f>
        <v>95516.04</v>
      </c>
      <c r="M100" s="4"/>
      <c r="N100" s="12">
        <f>IF(H100=0,0,L100/H100)</f>
        <v>-3.6629866543948455</v>
      </c>
      <c r="O100" s="10"/>
      <c r="P100" s="4">
        <v>276362.09999999998</v>
      </c>
      <c r="Q100" s="4"/>
      <c r="R100" s="12">
        <f>IF(P$12=0,0,P100/P$12)</f>
        <v>0.27679465253941637</v>
      </c>
      <c r="S100" s="4"/>
      <c r="T100" s="4">
        <v>281774</v>
      </c>
      <c r="U100" s="4"/>
      <c r="V100" s="12">
        <f>IF(T$12=0,0,T100/T$12)</f>
        <v>0.16897798465864558</v>
      </c>
      <c r="W100" s="4"/>
      <c r="X100" s="4">
        <f>+P100-T100</f>
        <v>-5411.9000000000233</v>
      </c>
      <c r="Y100" s="4"/>
      <c r="Z100" s="12">
        <f>IF(T100=0,0,X100/T100)</f>
        <v>-1.9206527216847628E-2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126</v>
      </c>
      <c r="C102" s="28"/>
      <c r="D102" s="34">
        <f>+D98-D100</f>
        <v>-144393.31</v>
      </c>
      <c r="E102" s="14"/>
      <c r="F102" s="35">
        <f>IF(D$12=0,0,D102/D$12)</f>
        <v>-4.7953037719933311</v>
      </c>
      <c r="G102" s="14"/>
      <c r="H102" s="34">
        <f>+H98-H100</f>
        <v>-54097.683104769298</v>
      </c>
      <c r="I102" s="14"/>
      <c r="J102" s="35">
        <f>IF(H$12=0,0,H102/H$12)</f>
        <v>0</v>
      </c>
      <c r="K102" s="16"/>
      <c r="L102" s="34">
        <f>D102-H102</f>
        <v>-90295.6268952307</v>
      </c>
      <c r="M102" s="16"/>
      <c r="N102" s="35">
        <f>IF(H102=0,0,L102/H102)</f>
        <v>1.6691218867979609</v>
      </c>
      <c r="O102" s="29"/>
      <c r="P102" s="34">
        <f>+P98-P100</f>
        <v>-1063975.8700000006</v>
      </c>
      <c r="Q102" s="14"/>
      <c r="R102" s="35">
        <f>IF(P$12=0,0,P102/P$12)</f>
        <v>-1.0656411687672567</v>
      </c>
      <c r="S102" s="14"/>
      <c r="T102" s="34">
        <f>+T98-T100</f>
        <v>-540977.8934017499</v>
      </c>
      <c r="U102" s="14"/>
      <c r="V102" s="35">
        <f>IF(T$12=0,0,T102/T$12)</f>
        <v>-0.32442082723000454</v>
      </c>
      <c r="W102" s="16"/>
      <c r="X102" s="34">
        <f>P102-T102</f>
        <v>-522997.97659825068</v>
      </c>
      <c r="Y102" s="16"/>
      <c r="Z102" s="35">
        <f>IF(T102=0,0,X102/T102)</f>
        <v>0.96676404521737702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294</v>
      </c>
      <c r="C105" s="28"/>
      <c r="D105" s="33">
        <f>SUM(D102:D104)</f>
        <v>-144393.31</v>
      </c>
      <c r="E105" s="14"/>
      <c r="F105" s="31">
        <f>IF(D$12=0,0,D105/D$12)</f>
        <v>-4.7953037719933311</v>
      </c>
      <c r="G105" s="14"/>
      <c r="H105" s="33">
        <f>SUM(H102:H104)</f>
        <v>-54097.683104769298</v>
      </c>
      <c r="I105" s="14"/>
      <c r="J105" s="31">
        <f>IF(H$12=0,0,H105/H$12)</f>
        <v>0</v>
      </c>
      <c r="K105" s="16"/>
      <c r="L105" s="33">
        <f>+D105-H105</f>
        <v>-90295.6268952307</v>
      </c>
      <c r="M105" s="16"/>
      <c r="N105" s="31">
        <f>IF(H105=0,0,L105/H105)</f>
        <v>1.6691218867979609</v>
      </c>
      <c r="O105" s="29"/>
      <c r="P105" s="33">
        <f>SUM(P102:P104)</f>
        <v>-1063975.8700000006</v>
      </c>
      <c r="Q105" s="14"/>
      <c r="R105" s="31">
        <f>IF(P$12=0,0,P105/P$12)</f>
        <v>-1.0656411687672567</v>
      </c>
      <c r="S105" s="14"/>
      <c r="T105" s="33">
        <f>SUM(T102:T104)</f>
        <v>-540977.8934017499</v>
      </c>
      <c r="U105" s="14"/>
      <c r="V105" s="31">
        <f>IF(T$12=0,0,T105/T$12)</f>
        <v>-0.32442082723000454</v>
      </c>
      <c r="W105" s="16"/>
      <c r="X105" s="33">
        <f>+P105-T105</f>
        <v>-522997.97659825068</v>
      </c>
      <c r="Y105" s="16"/>
      <c r="Z105" s="31">
        <f>IF(T105=0,0,X105/T105)</f>
        <v>0.96676404521737702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6">
        <v>44454.686112384261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5" t="s">
        <v>56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3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565961</v>
      </c>
      <c r="U12" s="4"/>
      <c r="V12" s="12"/>
      <c r="W12" s="4"/>
      <c r="X12" s="4">
        <f t="shared" ref="X12:X14" si="2">+P12-T12</f>
        <v>-565961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565961</v>
      </c>
      <c r="U13" s="2"/>
      <c r="V13" s="19"/>
      <c r="W13" s="2"/>
      <c r="X13" s="2">
        <f t="shared" si="2"/>
        <v>-565961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/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155114</v>
      </c>
      <c r="U16" s="4"/>
      <c r="V16" s="12">
        <f t="shared" ref="V16:V17" si="11">IF(T$12=0,0,T16/T$12)</f>
        <v>0.27407188834566337</v>
      </c>
      <c r="W16" s="4"/>
      <c r="X16" s="4">
        <f t="shared" ref="X16:X17" si="12">+P16-T16</f>
        <v>-155114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155114</v>
      </c>
      <c r="U17" s="2"/>
      <c r="V17" s="19">
        <f t="shared" si="11"/>
        <v>0.27407188834566337</v>
      </c>
      <c r="W17" s="2"/>
      <c r="X17" s="2">
        <f t="shared" si="12"/>
        <v>-155114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D12-D16</f>
        <v>0</v>
      </c>
      <c r="E19" s="14"/>
      <c r="F19" s="22">
        <f>IF(D$12=0,0,D19/D$12)</f>
        <v>0</v>
      </c>
      <c r="G19" s="14"/>
      <c r="H19" s="20">
        <f>H12-H16</f>
        <v>0</v>
      </c>
      <c r="I19" s="14"/>
      <c r="J19" s="22">
        <f>IF(H$12=0,0,H19/H$12)</f>
        <v>0</v>
      </c>
      <c r="K19" s="16"/>
      <c r="L19" s="20">
        <f>+D19-H19</f>
        <v>0</v>
      </c>
      <c r="M19" s="16"/>
      <c r="N19" s="22">
        <f>IF(H19=0,0,L19/H19)</f>
        <v>0</v>
      </c>
      <c r="O19" s="29"/>
      <c r="P19" s="20">
        <f>P12-P16</f>
        <v>0</v>
      </c>
      <c r="Q19" s="14"/>
      <c r="R19" s="22">
        <f>IF(P$12=0,0,P19/P$12)</f>
        <v>0</v>
      </c>
      <c r="S19" s="14"/>
      <c r="T19" s="20">
        <f>T12-T16</f>
        <v>410847</v>
      </c>
      <c r="U19" s="14"/>
      <c r="V19" s="22">
        <f>IF(T$12=0,0,T19/T$12)</f>
        <v>0.72592811165433657</v>
      </c>
      <c r="W19" s="16"/>
      <c r="X19" s="20">
        <f>+P19-T19</f>
        <v>-410847</v>
      </c>
      <c r="Y19" s="16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1">
        <f>SUM(OSRRefD22x_0)</f>
        <v>38835.090000000004</v>
      </c>
      <c r="E21" s="21"/>
      <c r="F21" s="30">
        <f t="shared" ref="F21:F32" si="14">IF(D$12=0,0,D21/D$12)</f>
        <v>0</v>
      </c>
      <c r="G21" s="21"/>
      <c r="H21" s="21">
        <f>SUM(OSRRefH22x_0)</f>
        <v>65883.590795587661</v>
      </c>
      <c r="I21" s="21"/>
      <c r="J21" s="30">
        <f t="shared" ref="J21:J32" si="15">IF(H$12=0,0,H21/H$12)</f>
        <v>0</v>
      </c>
      <c r="K21" s="4"/>
      <c r="L21" s="21">
        <f t="shared" ref="L21:L32" si="16">+D21-H21</f>
        <v>-27048.500795587657</v>
      </c>
      <c r="M21" s="4"/>
      <c r="N21" s="30">
        <f t="shared" ref="N21:N32" si="17">IF(H21=0,0,L21/H21)</f>
        <v>-0.41054988759658106</v>
      </c>
      <c r="O21" s="10"/>
      <c r="P21" s="21">
        <f>SUM(OSRRefP22x_0)</f>
        <v>487946.78</v>
      </c>
      <c r="Q21" s="21"/>
      <c r="R21" s="30">
        <f t="shared" ref="R21:R32" si="18">IF(P$12=0,0,P21/P$12)</f>
        <v>0</v>
      </c>
      <c r="S21" s="21"/>
      <c r="T21" s="21">
        <f>SUM(OSRRefT22x_0)</f>
        <v>1081602.2554988901</v>
      </c>
      <c r="U21" s="21"/>
      <c r="V21" s="30">
        <f t="shared" ref="V21:V32" si="19">IF(T$12=0,0,T21/T$12)</f>
        <v>1.9110897314459654</v>
      </c>
      <c r="W21" s="4"/>
      <c r="X21" s="21">
        <f t="shared" ref="X21:X32" si="20">+P21-T21</f>
        <v>-593655.47549889004</v>
      </c>
      <c r="Y21" s="4"/>
      <c r="Z21" s="30">
        <f t="shared" ref="Z21:Z32" si="21">IF(T21=0,0,X21/T21)</f>
        <v>-0.54886671369325679</v>
      </c>
    </row>
    <row r="22" spans="1:26" s="27" customFormat="1" outlineLevel="1" collapsed="1" x14ac:dyDescent="0.25">
      <c r="A22" s="25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19048.600000000002</v>
      </c>
      <c r="E22" s="1"/>
      <c r="F22" s="5">
        <f t="shared" si="14"/>
        <v>0</v>
      </c>
      <c r="G22" s="1"/>
      <c r="H22" s="1">
        <f>SUM(OSRRefH22_0x_0)</f>
        <v>27390.053337126126</v>
      </c>
      <c r="I22" s="1"/>
      <c r="J22" s="5">
        <f t="shared" si="15"/>
        <v>0</v>
      </c>
      <c r="K22" s="1"/>
      <c r="L22" s="1">
        <f t="shared" si="16"/>
        <v>-8341.4533371261241</v>
      </c>
      <c r="M22" s="1"/>
      <c r="N22" s="5">
        <f t="shared" si="17"/>
        <v>-0.3045431578557613</v>
      </c>
      <c r="O22" s="13"/>
      <c r="P22" s="1">
        <f>SUM(OSRRefP22_0x_0)</f>
        <v>233079.9</v>
      </c>
      <c r="Q22" s="1"/>
      <c r="R22" s="5">
        <f t="shared" si="18"/>
        <v>0</v>
      </c>
      <c r="S22" s="1"/>
      <c r="T22" s="1">
        <f>SUM(OSRRefT22_0x_0)</f>
        <v>359775.50916389003</v>
      </c>
      <c r="U22" s="1"/>
      <c r="V22" s="5">
        <f t="shared" si="19"/>
        <v>0.63568957783997493</v>
      </c>
      <c r="W22" s="1"/>
      <c r="X22" s="1">
        <f t="shared" si="20"/>
        <v>-126695.60916389004</v>
      </c>
      <c r="Y22" s="1"/>
      <c r="Z22" s="5">
        <f t="shared" si="21"/>
        <v>-0.35215184451639775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>
        <v>1529.03</v>
      </c>
      <c r="E23" s="2"/>
      <c r="F23" s="7">
        <f t="shared" si="14"/>
        <v>0</v>
      </c>
      <c r="G23" s="2"/>
      <c r="H23" s="6">
        <v>2637.7353029723099</v>
      </c>
      <c r="I23" s="2"/>
      <c r="J23" s="7">
        <f t="shared" si="15"/>
        <v>0</v>
      </c>
      <c r="K23" s="2"/>
      <c r="L23" s="6">
        <f t="shared" si="16"/>
        <v>-1108.7053029723099</v>
      </c>
      <c r="M23" s="2"/>
      <c r="N23" s="7">
        <f t="shared" si="17"/>
        <v>-0.42032470116428083</v>
      </c>
      <c r="O23" s="11"/>
      <c r="P23" s="6">
        <v>20290.330000000002</v>
      </c>
      <c r="Q23" s="2"/>
      <c r="R23" s="7">
        <f t="shared" si="18"/>
        <v>0</v>
      </c>
      <c r="S23" s="2"/>
      <c r="T23" s="6">
        <v>34654.076438639997</v>
      </c>
      <c r="U23" s="2"/>
      <c r="V23" s="7">
        <f t="shared" si="19"/>
        <v>6.1230502523389414E-2</v>
      </c>
      <c r="W23" s="2"/>
      <c r="X23" s="6">
        <f t="shared" si="20"/>
        <v>-14363.746438639995</v>
      </c>
      <c r="Y23" s="2"/>
      <c r="Z23" s="7">
        <f t="shared" si="21"/>
        <v>-0.41448937368372996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>
        <v>852.97</v>
      </c>
      <c r="E24" s="2"/>
      <c r="F24" s="7">
        <f t="shared" si="14"/>
        <v>0</v>
      </c>
      <c r="G24" s="2"/>
      <c r="H24" s="6">
        <v>1478.6207304</v>
      </c>
      <c r="I24" s="2"/>
      <c r="J24" s="7">
        <f t="shared" si="15"/>
        <v>0</v>
      </c>
      <c r="K24" s="2"/>
      <c r="L24" s="6">
        <f t="shared" si="16"/>
        <v>-625.65073039999993</v>
      </c>
      <c r="M24" s="2"/>
      <c r="N24" s="7">
        <f t="shared" si="17"/>
        <v>-0.42313131253796732</v>
      </c>
      <c r="O24" s="11"/>
      <c r="P24" s="6">
        <v>11303.24</v>
      </c>
      <c r="Q24" s="2"/>
      <c r="R24" s="7">
        <f t="shared" si="18"/>
        <v>0</v>
      </c>
      <c r="S24" s="2"/>
      <c r="T24" s="6">
        <v>23370.75421395</v>
      </c>
      <c r="U24" s="2"/>
      <c r="V24" s="7">
        <f t="shared" si="19"/>
        <v>4.129393052515986E-2</v>
      </c>
      <c r="W24" s="2"/>
      <c r="X24" s="6">
        <f t="shared" si="20"/>
        <v>-12067.51421395</v>
      </c>
      <c r="Y24" s="2"/>
      <c r="Z24" s="7">
        <f t="shared" si="21"/>
        <v>-0.51635108150454567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>
        <v>12477.91</v>
      </c>
      <c r="E25" s="2"/>
      <c r="F25" s="7">
        <f t="shared" si="14"/>
        <v>0</v>
      </c>
      <c r="G25" s="2"/>
      <c r="H25" s="6">
        <v>19310.769230769201</v>
      </c>
      <c r="I25" s="2"/>
      <c r="J25" s="7">
        <f t="shared" si="15"/>
        <v>0</v>
      </c>
      <c r="K25" s="2"/>
      <c r="L25" s="6">
        <f t="shared" si="16"/>
        <v>-6832.8592307692015</v>
      </c>
      <c r="M25" s="2"/>
      <c r="N25" s="7">
        <f t="shared" si="17"/>
        <v>-0.35383671924792764</v>
      </c>
      <c r="O25" s="11"/>
      <c r="P25" s="6">
        <v>150568.99</v>
      </c>
      <c r="Q25" s="2"/>
      <c r="R25" s="7">
        <f t="shared" si="18"/>
        <v>0</v>
      </c>
      <c r="S25" s="2"/>
      <c r="T25" s="6">
        <v>247080</v>
      </c>
      <c r="U25" s="2"/>
      <c r="V25" s="7">
        <f t="shared" si="19"/>
        <v>0.43656718395790522</v>
      </c>
      <c r="W25" s="2"/>
      <c r="X25" s="6">
        <f t="shared" si="20"/>
        <v>-96511.010000000009</v>
      </c>
      <c r="Y25" s="2"/>
      <c r="Z25" s="7">
        <f t="shared" si="21"/>
        <v>-0.39060632183908051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>
        <v>51.7</v>
      </c>
      <c r="E26" s="2"/>
      <c r="F26" s="7">
        <f t="shared" si="14"/>
        <v>0</v>
      </c>
      <c r="G26" s="2"/>
      <c r="H26" s="6">
        <v>89.613377600000007</v>
      </c>
      <c r="I26" s="2"/>
      <c r="J26" s="7">
        <f t="shared" si="15"/>
        <v>0</v>
      </c>
      <c r="K26" s="2"/>
      <c r="L26" s="6">
        <f t="shared" si="16"/>
        <v>-37.913377600000004</v>
      </c>
      <c r="M26" s="2"/>
      <c r="N26" s="7">
        <f t="shared" si="17"/>
        <v>-0.42307720806184634</v>
      </c>
      <c r="O26" s="11"/>
      <c r="P26" s="6">
        <v>693.72</v>
      </c>
      <c r="Q26" s="2"/>
      <c r="R26" s="7">
        <f t="shared" si="18"/>
        <v>0</v>
      </c>
      <c r="S26" s="2"/>
      <c r="T26" s="6">
        <v>1416.4093462999999</v>
      </c>
      <c r="U26" s="2"/>
      <c r="V26" s="7">
        <f t="shared" si="19"/>
        <v>2.5026624560702945E-3</v>
      </c>
      <c r="W26" s="2"/>
      <c r="X26" s="6">
        <f t="shared" si="20"/>
        <v>-722.6893462999999</v>
      </c>
      <c r="Y26" s="2"/>
      <c r="Z26" s="7">
        <f t="shared" si="21"/>
        <v>-0.51022633265435402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>
        <v>741.28</v>
      </c>
      <c r="E27" s="2"/>
      <c r="F27" s="7">
        <f t="shared" si="14"/>
        <v>0</v>
      </c>
      <c r="G27" s="2"/>
      <c r="H27" s="6">
        <v>808.168461538462</v>
      </c>
      <c r="I27" s="2"/>
      <c r="J27" s="7">
        <f t="shared" si="15"/>
        <v>0</v>
      </c>
      <c r="K27" s="2"/>
      <c r="L27" s="6">
        <f t="shared" si="16"/>
        <v>-66.888461538462025</v>
      </c>
      <c r="M27" s="2"/>
      <c r="N27" s="7">
        <f t="shared" si="17"/>
        <v>-8.2765493485269709E-2</v>
      </c>
      <c r="O27" s="11"/>
      <c r="P27" s="6">
        <v>6725.94</v>
      </c>
      <c r="Q27" s="2"/>
      <c r="R27" s="7">
        <f t="shared" si="18"/>
        <v>0</v>
      </c>
      <c r="S27" s="2"/>
      <c r="T27" s="6">
        <v>10506.19</v>
      </c>
      <c r="U27" s="2"/>
      <c r="V27" s="7">
        <f t="shared" si="19"/>
        <v>1.8563452252010299E-2</v>
      </c>
      <c r="W27" s="2"/>
      <c r="X27" s="6">
        <f t="shared" si="20"/>
        <v>-3780.2500000000009</v>
      </c>
      <c r="Y27" s="2"/>
      <c r="Z27" s="7">
        <f t="shared" si="21"/>
        <v>-0.35981169196445151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6"/>
      <c r="B29" s="11" t="str">
        <f>CONCATENATE("          ", "6117", " - ", "RETIREMENT STAFF HOURLY")</f>
        <v xml:space="preserve">          6117 - RETIREMENT STAFF HOURLY</v>
      </c>
      <c r="C29" s="11"/>
      <c r="D29" s="6">
        <v>521.35</v>
      </c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521.35</v>
      </c>
      <c r="M29" s="2"/>
      <c r="N29" s="7">
        <f t="shared" si="17"/>
        <v>0</v>
      </c>
      <c r="O29" s="11"/>
      <c r="P29" s="6">
        <v>6945.45</v>
      </c>
      <c r="Q29" s="2"/>
      <c r="R29" s="7">
        <f t="shared" si="18"/>
        <v>0</v>
      </c>
      <c r="S29" s="2"/>
      <c r="T29" s="6"/>
      <c r="U29" s="2"/>
      <c r="V29" s="7">
        <f t="shared" si="19"/>
        <v>0</v>
      </c>
      <c r="W29" s="2"/>
      <c r="X29" s="6">
        <f t="shared" si="20"/>
        <v>6945.45</v>
      </c>
      <c r="Y29" s="2"/>
      <c r="Z29" s="7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6">
        <v>1248.1600000000001</v>
      </c>
      <c r="E30" s="2"/>
      <c r="F30" s="7">
        <f t="shared" si="14"/>
        <v>0</v>
      </c>
      <c r="G30" s="2"/>
      <c r="H30" s="6">
        <v>1943.1995692307701</v>
      </c>
      <c r="I30" s="2"/>
      <c r="J30" s="7">
        <f t="shared" si="15"/>
        <v>0</v>
      </c>
      <c r="K30" s="2"/>
      <c r="L30" s="6">
        <f t="shared" si="16"/>
        <v>-695.03956923076998</v>
      </c>
      <c r="M30" s="2"/>
      <c r="N30" s="7">
        <f t="shared" si="17"/>
        <v>-0.35767791442332736</v>
      </c>
      <c r="O30" s="11"/>
      <c r="P30" s="6">
        <v>16123.09</v>
      </c>
      <c r="Q30" s="2"/>
      <c r="R30" s="7">
        <f t="shared" si="18"/>
        <v>0</v>
      </c>
      <c r="S30" s="2"/>
      <c r="T30" s="6">
        <v>25261.594400000002</v>
      </c>
      <c r="U30" s="2"/>
      <c r="V30" s="7">
        <f t="shared" si="19"/>
        <v>4.4634867773574505E-2</v>
      </c>
      <c r="W30" s="2"/>
      <c r="X30" s="6">
        <f t="shared" si="20"/>
        <v>-9138.5044000000016</v>
      </c>
      <c r="Y30" s="2"/>
      <c r="Z30" s="7">
        <f t="shared" si="21"/>
        <v>-0.36175485423833742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6">
        <v>950.34</v>
      </c>
      <c r="E31" s="2"/>
      <c r="F31" s="7">
        <f t="shared" si="14"/>
        <v>0</v>
      </c>
      <c r="G31" s="2"/>
      <c r="H31" s="6">
        <v>1121.9466646153801</v>
      </c>
      <c r="I31" s="2"/>
      <c r="J31" s="7">
        <f t="shared" si="15"/>
        <v>0</v>
      </c>
      <c r="K31" s="2"/>
      <c r="L31" s="6">
        <f t="shared" si="16"/>
        <v>-171.60666461538005</v>
      </c>
      <c r="M31" s="2"/>
      <c r="N31" s="7">
        <f t="shared" si="17"/>
        <v>-0.15295438725174101</v>
      </c>
      <c r="O31" s="11"/>
      <c r="P31" s="6">
        <v>12329.58</v>
      </c>
      <c r="Q31" s="2"/>
      <c r="R31" s="7">
        <f t="shared" si="18"/>
        <v>0</v>
      </c>
      <c r="S31" s="2"/>
      <c r="T31" s="6">
        <v>17486.484765000001</v>
      </c>
      <c r="U31" s="2"/>
      <c r="V31" s="7">
        <f t="shared" si="19"/>
        <v>3.0896978351865237E-2</v>
      </c>
      <c r="W31" s="2"/>
      <c r="X31" s="6">
        <f t="shared" si="20"/>
        <v>-5156.9047650000011</v>
      </c>
      <c r="Y31" s="2"/>
      <c r="Z31" s="7">
        <f t="shared" si="21"/>
        <v>-0.29490802950412204</v>
      </c>
    </row>
    <row r="32" spans="1:26" s="24" customFormat="1" hidden="1" outlineLevel="2" x14ac:dyDescent="0.25">
      <c r="A32" s="26"/>
      <c r="B32" s="11" t="str">
        <f>CONCATENATE("          ", "6156", " - ", "EMPLOYEE MEALS")</f>
        <v xml:space="preserve">          6156 - EMPLOYEE MEALS</v>
      </c>
      <c r="C32" s="11"/>
      <c r="D32" s="6">
        <v>675.86</v>
      </c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675.86</v>
      </c>
      <c r="M32" s="2"/>
      <c r="N32" s="7">
        <f t="shared" si="17"/>
        <v>0</v>
      </c>
      <c r="O32" s="11"/>
      <c r="P32" s="6">
        <v>8099.56</v>
      </c>
      <c r="Q32" s="2"/>
      <c r="R32" s="7">
        <f t="shared" si="18"/>
        <v>0</v>
      </c>
      <c r="S32" s="2"/>
      <c r="T32" s="6"/>
      <c r="U32" s="2"/>
      <c r="V32" s="7">
        <f t="shared" si="19"/>
        <v>0</v>
      </c>
      <c r="W32" s="2"/>
      <c r="X32" s="6">
        <f t="shared" si="20"/>
        <v>8099.56</v>
      </c>
      <c r="Y32" s="2"/>
      <c r="Z32" s="7">
        <f t="shared" si="21"/>
        <v>0</v>
      </c>
    </row>
    <row r="33" spans="1:26" s="27" customFormat="1" outlineLevel="1" collapsed="1" x14ac:dyDescent="0.25">
      <c r="A33" s="25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17476.89</v>
      </c>
      <c r="E33" s="1"/>
      <c r="F33" s="5">
        <f t="shared" ref="F33:F43" si="22">IF(D$12=0,0,D33/D$12)</f>
        <v>0</v>
      </c>
      <c r="G33" s="1"/>
      <c r="H33" s="1">
        <f>SUM(OSRRefH22_1x_0)</f>
        <v>31401.537458461542</v>
      </c>
      <c r="I33" s="1"/>
      <c r="J33" s="5">
        <f t="shared" ref="J33:J43" si="23">IF(H$12=0,0,H33/H$12)</f>
        <v>0</v>
      </c>
      <c r="K33" s="1"/>
      <c r="L33" s="1">
        <f t="shared" ref="L33:L43" si="24">+D33-H33</f>
        <v>-13924.647458461543</v>
      </c>
      <c r="M33" s="1"/>
      <c r="N33" s="5">
        <f t="shared" ref="N33:N43" si="25">IF(H33=0,0,L33/H33)</f>
        <v>-0.44343839778167837</v>
      </c>
      <c r="O33" s="13"/>
      <c r="P33" s="1">
        <f>SUM(OSRRefP22_1x_0)</f>
        <v>239586.00999999998</v>
      </c>
      <c r="Q33" s="1"/>
      <c r="R33" s="5">
        <f t="shared" ref="R33:R43" si="26">IF(P$12=0,0,P33/P$12)</f>
        <v>0</v>
      </c>
      <c r="S33" s="1"/>
      <c r="T33" s="1">
        <f>SUM(OSRRefT22_1x_0)</f>
        <v>502024.74633499997</v>
      </c>
      <c r="U33" s="1"/>
      <c r="V33" s="5">
        <f t="shared" ref="V33:V43" si="27">IF(T$12=0,0,T33/T$12)</f>
        <v>0.88703063697851969</v>
      </c>
      <c r="W33" s="1"/>
      <c r="X33" s="1">
        <f t="shared" ref="X33:X43" si="28">+P33-T33</f>
        <v>-262438.73633500002</v>
      </c>
      <c r="Y33" s="1"/>
      <c r="Z33" s="5">
        <f t="shared" ref="Z33:Z43" si="29">IF(T33=0,0,X33/T33)</f>
        <v>-0.52276055762373763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3808</v>
      </c>
      <c r="E35" s="2"/>
      <c r="F35" s="7">
        <f t="shared" si="22"/>
        <v>0</v>
      </c>
      <c r="G35" s="2"/>
      <c r="H35" s="6">
        <v>8337.7115384615408</v>
      </c>
      <c r="I35" s="2"/>
      <c r="J35" s="7">
        <f t="shared" si="23"/>
        <v>0</v>
      </c>
      <c r="K35" s="2"/>
      <c r="L35" s="6">
        <f t="shared" si="24"/>
        <v>-4529.7115384615408</v>
      </c>
      <c r="M35" s="2"/>
      <c r="N35" s="7">
        <f t="shared" si="25"/>
        <v>-0.54327995368587134</v>
      </c>
      <c r="O35" s="11"/>
      <c r="P35" s="6">
        <v>51128.99</v>
      </c>
      <c r="Q35" s="2"/>
      <c r="R35" s="7">
        <f t="shared" si="26"/>
        <v>0</v>
      </c>
      <c r="S35" s="2"/>
      <c r="T35" s="6">
        <v>108390.25</v>
      </c>
      <c r="U35" s="2"/>
      <c r="V35" s="7">
        <f t="shared" si="27"/>
        <v>0.19151540477170689</v>
      </c>
      <c r="W35" s="2"/>
      <c r="X35" s="6">
        <f t="shared" si="28"/>
        <v>-57261.26</v>
      </c>
      <c r="Y35" s="2"/>
      <c r="Z35" s="7">
        <f t="shared" si="29"/>
        <v>-0.52828792257606194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>
        <v>13668.89</v>
      </c>
      <c r="E37" s="2"/>
      <c r="F37" s="7">
        <f t="shared" si="22"/>
        <v>0</v>
      </c>
      <c r="G37" s="2"/>
      <c r="H37" s="6">
        <v>23063.825919999999</v>
      </c>
      <c r="I37" s="2"/>
      <c r="J37" s="7">
        <f t="shared" si="23"/>
        <v>0</v>
      </c>
      <c r="K37" s="2"/>
      <c r="L37" s="6">
        <f t="shared" si="24"/>
        <v>-9394.9359199999999</v>
      </c>
      <c r="M37" s="2"/>
      <c r="N37" s="7">
        <f t="shared" si="25"/>
        <v>-0.40734507590317437</v>
      </c>
      <c r="O37" s="11"/>
      <c r="P37" s="6">
        <v>188457.02</v>
      </c>
      <c r="Q37" s="2"/>
      <c r="R37" s="7">
        <f t="shared" si="26"/>
        <v>0</v>
      </c>
      <c r="S37" s="2"/>
      <c r="T37" s="6">
        <v>299829.73696000001</v>
      </c>
      <c r="U37" s="2"/>
      <c r="V37" s="7">
        <f t="shared" si="27"/>
        <v>0.52977102125411468</v>
      </c>
      <c r="W37" s="2"/>
      <c r="X37" s="6">
        <f t="shared" si="28"/>
        <v>-111372.71696000002</v>
      </c>
      <c r="Y37" s="2"/>
      <c r="Z37" s="7">
        <f t="shared" si="29"/>
        <v>-0.37145320570673795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27935.454375000001</v>
      </c>
      <c r="U38" s="2"/>
      <c r="V38" s="7">
        <f t="shared" si="27"/>
        <v>4.9359327542003777E-2</v>
      </c>
      <c r="W38" s="2"/>
      <c r="X38" s="6">
        <f t="shared" si="28"/>
        <v>-27935.454375000001</v>
      </c>
      <c r="Y38" s="2"/>
      <c r="Z38" s="7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>
        <v>0</v>
      </c>
      <c r="Q40" s="2"/>
      <c r="R40" s="7">
        <f t="shared" si="26"/>
        <v>0</v>
      </c>
      <c r="S40" s="2"/>
      <c r="T40" s="6">
        <v>4607.5</v>
      </c>
      <c r="U40" s="2"/>
      <c r="V40" s="7">
        <f t="shared" si="27"/>
        <v>8.1410203176543964E-3</v>
      </c>
      <c r="W40" s="2"/>
      <c r="X40" s="6">
        <f t="shared" si="28"/>
        <v>-4607.5</v>
      </c>
      <c r="Y40" s="2"/>
      <c r="Z40" s="7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61261.805</v>
      </c>
      <c r="U41" s="2"/>
      <c r="V41" s="7">
        <f t="shared" si="27"/>
        <v>0.10824386309303997</v>
      </c>
      <c r="W41" s="2"/>
      <c r="X41" s="6">
        <f t="shared" si="28"/>
        <v>-61261.805</v>
      </c>
      <c r="Y41" s="2"/>
      <c r="Z41" s="7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7" customFormat="1" outlineLevel="1" collapsed="1" x14ac:dyDescent="0.25">
      <c r="A44" s="25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12.3</v>
      </c>
      <c r="E44" s="1"/>
      <c r="F44" s="5">
        <f t="shared" ref="F44:F69" si="30">IF(D$12=0,0,D44/D$12)</f>
        <v>0</v>
      </c>
      <c r="G44" s="1"/>
      <c r="H44" s="1">
        <f>SUM(OSRRefH22_2x_0)</f>
        <v>0</v>
      </c>
      <c r="I44" s="1"/>
      <c r="J44" s="5">
        <f t="shared" ref="J44:J69" si="31">IF(H$12=0,0,H44/H$12)</f>
        <v>0</v>
      </c>
      <c r="K44" s="1"/>
      <c r="L44" s="1">
        <f t="shared" ref="L44:L69" si="32">+D44-H44</f>
        <v>12.3</v>
      </c>
      <c r="M44" s="1"/>
      <c r="N44" s="5">
        <f t="shared" ref="N44:N69" si="33">IF(H44=0,0,L44/H44)</f>
        <v>0</v>
      </c>
      <c r="O44" s="13"/>
      <c r="P44" s="1">
        <f>SUM(OSRRefP22_2x_0)</f>
        <v>12.3</v>
      </c>
      <c r="Q44" s="1"/>
      <c r="R44" s="5">
        <f t="shared" ref="R44:R69" si="34">IF(P$12=0,0,P44/P$12)</f>
        <v>0</v>
      </c>
      <c r="S44" s="1"/>
      <c r="T44" s="1">
        <f>SUM(OSRRefT22_2x_0)</f>
        <v>3400</v>
      </c>
      <c r="U44" s="1"/>
      <c r="V44" s="5">
        <f t="shared" ref="V44:V69" si="35">IF(T$12=0,0,T44/T$12)</f>
        <v>6.0074810808518611E-3</v>
      </c>
      <c r="W44" s="1"/>
      <c r="X44" s="1">
        <f t="shared" ref="X44:X69" si="36">+P44-T44</f>
        <v>-3387.7</v>
      </c>
      <c r="Y44" s="1"/>
      <c r="Z44" s="5">
        <f t="shared" ref="Z44:Z69" si="37">IF(T44=0,0,X44/T44)</f>
        <v>-0.99638235294117639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6">
        <v>12.3</v>
      </c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12.3</v>
      </c>
      <c r="M45" s="2"/>
      <c r="N45" s="7">
        <f t="shared" si="33"/>
        <v>0</v>
      </c>
      <c r="O45" s="11"/>
      <c r="P45" s="6">
        <v>12.3</v>
      </c>
      <c r="Q45" s="2"/>
      <c r="R45" s="7">
        <f t="shared" si="34"/>
        <v>0</v>
      </c>
      <c r="S45" s="2"/>
      <c r="T45" s="6">
        <v>3400</v>
      </c>
      <c r="U45" s="2"/>
      <c r="V45" s="7">
        <f t="shared" si="35"/>
        <v>6.0074810808518611E-3</v>
      </c>
      <c r="W45" s="2"/>
      <c r="X45" s="6">
        <f t="shared" si="36"/>
        <v>-3387.7</v>
      </c>
      <c r="Y45" s="2"/>
      <c r="Z45" s="7">
        <f t="shared" si="37"/>
        <v>-0.99638235294117639</v>
      </c>
    </row>
    <row r="46" spans="1:26" s="27" customFormat="1" outlineLevel="1" collapsed="1" x14ac:dyDescent="0.25">
      <c r="A46" s="25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80</v>
      </c>
      <c r="U46" s="1"/>
      <c r="V46" s="5">
        <f t="shared" si="35"/>
        <v>1.4135249602004378E-4</v>
      </c>
      <c r="W46" s="1"/>
      <c r="X46" s="1">
        <f t="shared" si="36"/>
        <v>-50.260000000000005</v>
      </c>
      <c r="Y46" s="1"/>
      <c r="Z46" s="5">
        <f t="shared" si="37"/>
        <v>-0.62825000000000009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>
        <v>29.74</v>
      </c>
      <c r="Q47" s="2"/>
      <c r="R47" s="7">
        <f t="shared" si="34"/>
        <v>0</v>
      </c>
      <c r="S47" s="2"/>
      <c r="T47" s="6">
        <v>80</v>
      </c>
      <c r="U47" s="2"/>
      <c r="V47" s="7">
        <f t="shared" si="35"/>
        <v>1.4135249602004378E-4</v>
      </c>
      <c r="W47" s="2"/>
      <c r="X47" s="6">
        <f t="shared" si="36"/>
        <v>-50.260000000000005</v>
      </c>
      <c r="Y47" s="2"/>
      <c r="Z47" s="7">
        <f t="shared" si="37"/>
        <v>-0.62825000000000009</v>
      </c>
    </row>
    <row r="48" spans="1:26" s="27" customFormat="1" outlineLevel="1" collapsed="1" x14ac:dyDescent="0.25">
      <c r="A48" s="25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91</v>
      </c>
      <c r="U48" s="1"/>
      <c r="V48" s="5">
        <f t="shared" si="35"/>
        <v>1.607884642227998E-4</v>
      </c>
      <c r="W48" s="1"/>
      <c r="X48" s="1">
        <f t="shared" si="36"/>
        <v>-91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30"/>
        <v>0</v>
      </c>
      <c r="G49" s="2"/>
      <c r="H49" s="6">
        <v>0</v>
      </c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91</v>
      </c>
      <c r="U49" s="2"/>
      <c r="V49" s="7">
        <f t="shared" si="35"/>
        <v>1.607884642227998E-4</v>
      </c>
      <c r="W49" s="2"/>
      <c r="X49" s="6">
        <f t="shared" si="36"/>
        <v>-91</v>
      </c>
      <c r="Y49" s="2"/>
      <c r="Z49" s="7">
        <f t="shared" si="37"/>
        <v>-1</v>
      </c>
    </row>
    <row r="50" spans="1:26" s="27" customFormat="1" outlineLevel="1" collapsed="1" x14ac:dyDescent="0.25">
      <c r="A50" s="25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212.99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0</v>
      </c>
      <c r="K50" s="1"/>
      <c r="L50" s="1">
        <f t="shared" si="32"/>
        <v>-9.9999999999909051E-3</v>
      </c>
      <c r="M50" s="1"/>
      <c r="N50" s="5">
        <f t="shared" si="33"/>
        <v>-4.694835680746904E-5</v>
      </c>
      <c r="O50" s="13"/>
      <c r="P50" s="1">
        <f>SUM(OSRRefP22_5x_0)</f>
        <v>2556.21</v>
      </c>
      <c r="Q50" s="1"/>
      <c r="R50" s="5">
        <f t="shared" si="34"/>
        <v>0</v>
      </c>
      <c r="S50" s="1"/>
      <c r="T50" s="1">
        <f>SUM(OSRRefT22_5x_0)</f>
        <v>2556</v>
      </c>
      <c r="U50" s="1"/>
      <c r="V50" s="5">
        <f t="shared" si="35"/>
        <v>4.5162122478403987E-3</v>
      </c>
      <c r="W50" s="1"/>
      <c r="X50" s="1">
        <f t="shared" si="36"/>
        <v>0.21000000000003638</v>
      </c>
      <c r="Y50" s="1"/>
      <c r="Z50" s="5">
        <f t="shared" si="37"/>
        <v>8.2159624413159779E-5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212.99</v>
      </c>
      <c r="E51" s="2"/>
      <c r="F51" s="7">
        <f t="shared" si="30"/>
        <v>0</v>
      </c>
      <c r="G51" s="2"/>
      <c r="H51" s="6">
        <v>213</v>
      </c>
      <c r="I51" s="2"/>
      <c r="J51" s="7">
        <f t="shared" si="31"/>
        <v>0</v>
      </c>
      <c r="K51" s="2"/>
      <c r="L51" s="6">
        <f t="shared" si="32"/>
        <v>-9.9999999999909051E-3</v>
      </c>
      <c r="M51" s="2"/>
      <c r="N51" s="7">
        <f t="shared" si="33"/>
        <v>-4.694835680746904E-5</v>
      </c>
      <c r="O51" s="11"/>
      <c r="P51" s="6">
        <v>2556.21</v>
      </c>
      <c r="Q51" s="2"/>
      <c r="R51" s="7">
        <f t="shared" si="34"/>
        <v>0</v>
      </c>
      <c r="S51" s="2"/>
      <c r="T51" s="6">
        <v>2556</v>
      </c>
      <c r="U51" s="2"/>
      <c r="V51" s="7">
        <f t="shared" si="35"/>
        <v>4.5162122478403987E-3</v>
      </c>
      <c r="W51" s="2"/>
      <c r="X51" s="6">
        <f t="shared" si="36"/>
        <v>0.21000000000003638</v>
      </c>
      <c r="Y51" s="2"/>
      <c r="Z51" s="7">
        <f t="shared" si="37"/>
        <v>8.2159624413159779E-5</v>
      </c>
    </row>
    <row r="52" spans="1:26" s="27" customFormat="1" outlineLevel="1" collapsed="1" x14ac:dyDescent="0.25">
      <c r="A52" s="25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3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26730</v>
      </c>
      <c r="U52" s="1"/>
      <c r="V52" s="5">
        <f t="shared" si="35"/>
        <v>4.7229402732697129E-2</v>
      </c>
      <c r="W52" s="1"/>
      <c r="X52" s="1">
        <f t="shared" si="36"/>
        <v>-26730</v>
      </c>
      <c r="Y52" s="1"/>
      <c r="Z52" s="5">
        <f t="shared" si="37"/>
        <v>-1</v>
      </c>
    </row>
    <row r="53" spans="1:26" s="24" customFormat="1" hidden="1" outlineLevel="2" x14ac:dyDescent="0.25">
      <c r="A53" s="26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26730</v>
      </c>
      <c r="U53" s="2"/>
      <c r="V53" s="7">
        <f t="shared" si="35"/>
        <v>4.7229402732697129E-2</v>
      </c>
      <c r="W53" s="2"/>
      <c r="X53" s="6">
        <f t="shared" si="36"/>
        <v>-26730</v>
      </c>
      <c r="Y53" s="2"/>
      <c r="Z53" s="7">
        <f t="shared" si="37"/>
        <v>-1</v>
      </c>
    </row>
    <row r="54" spans="1:26" s="27" customFormat="1" outlineLevel="1" collapsed="1" x14ac:dyDescent="0.25">
      <c r="A54" s="25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3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500</v>
      </c>
      <c r="U54" s="1"/>
      <c r="V54" s="5">
        <f t="shared" si="35"/>
        <v>8.834531001252736E-4</v>
      </c>
      <c r="W54" s="1"/>
      <c r="X54" s="1">
        <f t="shared" si="36"/>
        <v>-500</v>
      </c>
      <c r="Y54" s="1"/>
      <c r="Z54" s="5">
        <f t="shared" si="37"/>
        <v>-1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/>
      <c r="Q55" s="2"/>
      <c r="R55" s="7">
        <f t="shared" si="34"/>
        <v>0</v>
      </c>
      <c r="S55" s="2"/>
      <c r="T55" s="6">
        <v>500</v>
      </c>
      <c r="U55" s="2"/>
      <c r="V55" s="7">
        <f t="shared" si="35"/>
        <v>8.834531001252736E-4</v>
      </c>
      <c r="W55" s="2"/>
      <c r="X55" s="6">
        <f t="shared" si="36"/>
        <v>-500</v>
      </c>
      <c r="Y55" s="2"/>
      <c r="Z55" s="7">
        <f t="shared" si="37"/>
        <v>-1</v>
      </c>
    </row>
    <row r="56" spans="1:26" s="27" customFormat="1" outlineLevel="1" collapsed="1" x14ac:dyDescent="0.25">
      <c r="A56" s="25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3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6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>
        <v>20</v>
      </c>
      <c r="Q57" s="2"/>
      <c r="R57" s="7">
        <f t="shared" si="34"/>
        <v>0</v>
      </c>
      <c r="S57" s="2"/>
      <c r="T57" s="6"/>
      <c r="U57" s="2"/>
      <c r="V57" s="7">
        <f t="shared" si="35"/>
        <v>0</v>
      </c>
      <c r="W57" s="2"/>
      <c r="X57" s="6">
        <f t="shared" si="36"/>
        <v>20</v>
      </c>
      <c r="Y57" s="2"/>
      <c r="Z57" s="7">
        <f t="shared" si="37"/>
        <v>0</v>
      </c>
    </row>
    <row r="58" spans="1:26" s="27" customFormat="1" outlineLevel="1" collapsed="1" x14ac:dyDescent="0.25">
      <c r="A58" s="25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0</v>
      </c>
      <c r="K58" s="1"/>
      <c r="L58" s="1">
        <f t="shared" si="32"/>
        <v>-10</v>
      </c>
      <c r="M58" s="1"/>
      <c r="N58" s="5">
        <f t="shared" si="33"/>
        <v>-1</v>
      </c>
      <c r="O58" s="13"/>
      <c r="P58" s="1">
        <f>SUM(OSRRefP22_9x_0)</f>
        <v>2179.0500000000002</v>
      </c>
      <c r="Q58" s="1"/>
      <c r="R58" s="5">
        <f t="shared" si="34"/>
        <v>0</v>
      </c>
      <c r="S58" s="1"/>
      <c r="T58" s="1">
        <f>SUM(OSRRefT22_9x_0)</f>
        <v>1710</v>
      </c>
      <c r="U58" s="1"/>
      <c r="V58" s="5">
        <f t="shared" si="35"/>
        <v>3.0214096024284358E-3</v>
      </c>
      <c r="W58" s="1"/>
      <c r="X58" s="1">
        <f t="shared" si="36"/>
        <v>469.05000000000018</v>
      </c>
      <c r="Y58" s="1"/>
      <c r="Z58" s="5">
        <f t="shared" si="37"/>
        <v>0.27429824561403521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6">
        <v>0</v>
      </c>
      <c r="E59" s="2"/>
      <c r="F59" s="7">
        <f t="shared" si="30"/>
        <v>0</v>
      </c>
      <c r="G59" s="2"/>
      <c r="H59" s="6">
        <v>10</v>
      </c>
      <c r="I59" s="2"/>
      <c r="J59" s="7">
        <f t="shared" si="31"/>
        <v>0</v>
      </c>
      <c r="K59" s="2"/>
      <c r="L59" s="6">
        <f t="shared" si="32"/>
        <v>-10</v>
      </c>
      <c r="M59" s="2"/>
      <c r="N59" s="7">
        <f t="shared" si="33"/>
        <v>-1</v>
      </c>
      <c r="O59" s="11"/>
      <c r="P59" s="6">
        <v>2179.0500000000002</v>
      </c>
      <c r="Q59" s="2"/>
      <c r="R59" s="7">
        <f t="shared" si="34"/>
        <v>0</v>
      </c>
      <c r="S59" s="2"/>
      <c r="T59" s="6">
        <v>1710</v>
      </c>
      <c r="U59" s="2"/>
      <c r="V59" s="7">
        <f t="shared" si="35"/>
        <v>3.0214096024284358E-3</v>
      </c>
      <c r="W59" s="2"/>
      <c r="X59" s="6">
        <f t="shared" si="36"/>
        <v>469.05000000000018</v>
      </c>
      <c r="Y59" s="2"/>
      <c r="Z59" s="7">
        <f t="shared" si="37"/>
        <v>0.27429824561403521</v>
      </c>
    </row>
    <row r="60" spans="1:26" s="27" customFormat="1" outlineLevel="1" collapsed="1" x14ac:dyDescent="0.25">
      <c r="A60" s="25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-7.01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0</v>
      </c>
      <c r="K60" s="1"/>
      <c r="L60" s="1">
        <f t="shared" si="32"/>
        <v>-14.01</v>
      </c>
      <c r="M60" s="1"/>
      <c r="N60" s="5">
        <f t="shared" si="33"/>
        <v>-2.0014285714285713</v>
      </c>
      <c r="O60" s="13"/>
      <c r="P60" s="1">
        <f>SUM(OSRRefP22_10x_0)</f>
        <v>57.89</v>
      </c>
      <c r="Q60" s="1"/>
      <c r="R60" s="5">
        <f t="shared" si="34"/>
        <v>0</v>
      </c>
      <c r="S60" s="1"/>
      <c r="T60" s="1">
        <f>SUM(OSRRefT22_10x_0)</f>
        <v>84</v>
      </c>
      <c r="U60" s="1"/>
      <c r="V60" s="5">
        <f t="shared" si="35"/>
        <v>1.4842012082104598E-4</v>
      </c>
      <c r="W60" s="1"/>
      <c r="X60" s="1">
        <f t="shared" si="36"/>
        <v>-26.11</v>
      </c>
      <c r="Y60" s="1"/>
      <c r="Z60" s="5">
        <f t="shared" si="37"/>
        <v>-0.31083333333333335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6">
        <v>-7.01</v>
      </c>
      <c r="E61" s="2"/>
      <c r="F61" s="7">
        <f t="shared" si="30"/>
        <v>0</v>
      </c>
      <c r="G61" s="2"/>
      <c r="H61" s="6">
        <v>7</v>
      </c>
      <c r="I61" s="2"/>
      <c r="J61" s="7">
        <f t="shared" si="31"/>
        <v>0</v>
      </c>
      <c r="K61" s="2"/>
      <c r="L61" s="6">
        <f t="shared" si="32"/>
        <v>-14.01</v>
      </c>
      <c r="M61" s="2"/>
      <c r="N61" s="7">
        <f t="shared" si="33"/>
        <v>-2.0014285714285713</v>
      </c>
      <c r="O61" s="11"/>
      <c r="P61" s="6">
        <v>57.89</v>
      </c>
      <c r="Q61" s="2"/>
      <c r="R61" s="7">
        <f t="shared" si="34"/>
        <v>0</v>
      </c>
      <c r="S61" s="2"/>
      <c r="T61" s="6">
        <v>84</v>
      </c>
      <c r="U61" s="2"/>
      <c r="V61" s="7">
        <f t="shared" si="35"/>
        <v>1.4842012082104598E-4</v>
      </c>
      <c r="W61" s="2"/>
      <c r="X61" s="6">
        <f t="shared" si="36"/>
        <v>-26.11</v>
      </c>
      <c r="Y61" s="2"/>
      <c r="Z61" s="7">
        <f t="shared" si="37"/>
        <v>-0.31083333333333335</v>
      </c>
    </row>
    <row r="62" spans="1:26" s="27" customFormat="1" outlineLevel="1" collapsed="1" x14ac:dyDescent="0.25">
      <c r="A62" s="25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0</v>
      </c>
      <c r="I62" s="1"/>
      <c r="J62" s="5">
        <f t="shared" si="31"/>
        <v>0</v>
      </c>
      <c r="K62" s="1"/>
      <c r="L62" s="1">
        <f t="shared" si="32"/>
        <v>0</v>
      </c>
      <c r="M62" s="1"/>
      <c r="N62" s="5">
        <f t="shared" si="33"/>
        <v>0</v>
      </c>
      <c r="O62" s="13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45277</v>
      </c>
      <c r="U62" s="1"/>
      <c r="V62" s="5">
        <f t="shared" si="35"/>
        <v>8.0000212028744036E-2</v>
      </c>
      <c r="W62" s="1"/>
      <c r="X62" s="1">
        <f t="shared" si="36"/>
        <v>-45277</v>
      </c>
      <c r="Y62" s="1"/>
      <c r="Z62" s="5">
        <f t="shared" si="37"/>
        <v>-1</v>
      </c>
    </row>
    <row r="63" spans="1:26" s="24" customFormat="1" hidden="1" outlineLevel="2" x14ac:dyDescent="0.25">
      <c r="A63" s="26"/>
      <c r="B63" s="11" t="str">
        <f>CONCATENATE("          ", "6387", " - ", "COMMISSION DUE HOUSING")</f>
        <v xml:space="preserve">          6387 - COMMISSION DUE HOUSING</v>
      </c>
      <c r="C63" s="11"/>
      <c r="D63" s="6"/>
      <c r="E63" s="2"/>
      <c r="F63" s="7">
        <f t="shared" si="30"/>
        <v>0</v>
      </c>
      <c r="G63" s="2"/>
      <c r="H63" s="6"/>
      <c r="I63" s="2"/>
      <c r="J63" s="7">
        <f t="shared" si="31"/>
        <v>0</v>
      </c>
      <c r="K63" s="2"/>
      <c r="L63" s="6">
        <f t="shared" si="32"/>
        <v>0</v>
      </c>
      <c r="M63" s="2"/>
      <c r="N63" s="7">
        <f t="shared" si="33"/>
        <v>0</v>
      </c>
      <c r="O63" s="11"/>
      <c r="P63" s="6"/>
      <c r="Q63" s="2"/>
      <c r="R63" s="7">
        <f t="shared" si="34"/>
        <v>0</v>
      </c>
      <c r="S63" s="2"/>
      <c r="T63" s="6">
        <v>45277</v>
      </c>
      <c r="U63" s="2"/>
      <c r="V63" s="7">
        <f t="shared" si="35"/>
        <v>8.0000212028744036E-2</v>
      </c>
      <c r="W63" s="2"/>
      <c r="X63" s="6">
        <f t="shared" si="36"/>
        <v>-45277</v>
      </c>
      <c r="Y63" s="2"/>
      <c r="Z63" s="7">
        <f t="shared" si="37"/>
        <v>-1</v>
      </c>
    </row>
    <row r="64" spans="1:26" s="27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71.86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0</v>
      </c>
      <c r="K64" s="1"/>
      <c r="L64" s="1">
        <f t="shared" si="32"/>
        <v>51.86</v>
      </c>
      <c r="M64" s="1"/>
      <c r="N64" s="5">
        <f t="shared" si="33"/>
        <v>2.593</v>
      </c>
      <c r="O64" s="13"/>
      <c r="P64" s="1">
        <f>SUM(OSRRefP22_12x_0)</f>
        <v>288.85000000000002</v>
      </c>
      <c r="Q64" s="1"/>
      <c r="R64" s="5">
        <f t="shared" si="34"/>
        <v>0</v>
      </c>
      <c r="S64" s="1"/>
      <c r="T64" s="1">
        <f>SUM(OSRRefT22_12x_0)</f>
        <v>240</v>
      </c>
      <c r="U64" s="1"/>
      <c r="V64" s="5">
        <f t="shared" si="35"/>
        <v>4.2405748806013135E-4</v>
      </c>
      <c r="W64" s="1"/>
      <c r="X64" s="1">
        <f t="shared" si="36"/>
        <v>48.850000000000023</v>
      </c>
      <c r="Y64" s="1"/>
      <c r="Z64" s="5">
        <f t="shared" si="37"/>
        <v>0.20354166666666676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6">
        <v>71.86</v>
      </c>
      <c r="E65" s="2"/>
      <c r="F65" s="7">
        <f t="shared" si="30"/>
        <v>0</v>
      </c>
      <c r="G65" s="2"/>
      <c r="H65" s="6">
        <v>20</v>
      </c>
      <c r="I65" s="2"/>
      <c r="J65" s="7">
        <f t="shared" si="31"/>
        <v>0</v>
      </c>
      <c r="K65" s="2"/>
      <c r="L65" s="6">
        <f t="shared" si="32"/>
        <v>51.86</v>
      </c>
      <c r="M65" s="2"/>
      <c r="N65" s="7">
        <f t="shared" si="33"/>
        <v>2.593</v>
      </c>
      <c r="O65" s="11"/>
      <c r="P65" s="6">
        <v>288.85000000000002</v>
      </c>
      <c r="Q65" s="2"/>
      <c r="R65" s="7">
        <f t="shared" si="34"/>
        <v>0</v>
      </c>
      <c r="S65" s="2"/>
      <c r="T65" s="6">
        <v>240</v>
      </c>
      <c r="U65" s="2"/>
      <c r="V65" s="7">
        <f t="shared" si="35"/>
        <v>4.2405748806013135E-4</v>
      </c>
      <c r="W65" s="2"/>
      <c r="X65" s="6">
        <f t="shared" si="36"/>
        <v>48.850000000000023</v>
      </c>
      <c r="Y65" s="2"/>
      <c r="Z65" s="7">
        <f t="shared" si="37"/>
        <v>0.20354166666666676</v>
      </c>
    </row>
    <row r="66" spans="1:26" s="27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SUM(OSRRefD22_13x_0)</f>
        <v>669.64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0</v>
      </c>
      <c r="K66" s="1"/>
      <c r="L66" s="1">
        <f t="shared" si="32"/>
        <v>-5832.36</v>
      </c>
      <c r="M66" s="1"/>
      <c r="N66" s="5">
        <f t="shared" si="33"/>
        <v>-0.8970101507228545</v>
      </c>
      <c r="O66" s="13"/>
      <c r="P66" s="1">
        <f>SUM(OSRRefP22_13x_0)</f>
        <v>8035.68</v>
      </c>
      <c r="Q66" s="1"/>
      <c r="R66" s="5">
        <f t="shared" si="34"/>
        <v>0</v>
      </c>
      <c r="S66" s="1"/>
      <c r="T66" s="1">
        <f>SUM(OSRRefT22_13x_0)</f>
        <v>76494</v>
      </c>
      <c r="U66" s="1"/>
      <c r="V66" s="5">
        <f t="shared" si="35"/>
        <v>0.13515772288196537</v>
      </c>
      <c r="W66" s="1"/>
      <c r="X66" s="1">
        <f t="shared" si="36"/>
        <v>-68458.320000000007</v>
      </c>
      <c r="Y66" s="1"/>
      <c r="Z66" s="5">
        <f t="shared" si="37"/>
        <v>-0.89495019217193517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669.64</v>
      </c>
      <c r="E67" s="2"/>
      <c r="F67" s="7">
        <f t="shared" si="30"/>
        <v>0</v>
      </c>
      <c r="G67" s="2"/>
      <c r="H67" s="6">
        <v>850</v>
      </c>
      <c r="I67" s="2"/>
      <c r="J67" s="7">
        <f t="shared" si="31"/>
        <v>0</v>
      </c>
      <c r="K67" s="2"/>
      <c r="L67" s="6">
        <f t="shared" si="32"/>
        <v>-180.36</v>
      </c>
      <c r="M67" s="2"/>
      <c r="N67" s="7">
        <f t="shared" si="33"/>
        <v>-0.21218823529411765</v>
      </c>
      <c r="O67" s="11"/>
      <c r="P67" s="6">
        <v>7437.81</v>
      </c>
      <c r="Q67" s="2"/>
      <c r="R67" s="7">
        <f t="shared" si="34"/>
        <v>0</v>
      </c>
      <c r="S67" s="2"/>
      <c r="T67" s="6">
        <v>10200</v>
      </c>
      <c r="U67" s="2"/>
      <c r="V67" s="7">
        <f t="shared" si="35"/>
        <v>1.8022443242555582E-2</v>
      </c>
      <c r="W67" s="2"/>
      <c r="X67" s="6">
        <f t="shared" si="36"/>
        <v>-2762.1899999999996</v>
      </c>
      <c r="Y67" s="2"/>
      <c r="Z67" s="7">
        <f t="shared" si="37"/>
        <v>-0.27080294117647052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30"/>
        <v>0</v>
      </c>
      <c r="G68" s="2"/>
      <c r="H68" s="6">
        <v>4152</v>
      </c>
      <c r="I68" s="2"/>
      <c r="J68" s="7">
        <f t="shared" si="31"/>
        <v>0</v>
      </c>
      <c r="K68" s="2"/>
      <c r="L68" s="6">
        <f t="shared" si="32"/>
        <v>-4152</v>
      </c>
      <c r="M68" s="2"/>
      <c r="N68" s="7">
        <f t="shared" si="33"/>
        <v>-1</v>
      </c>
      <c r="O68" s="11"/>
      <c r="P68" s="6"/>
      <c r="Q68" s="2"/>
      <c r="R68" s="7">
        <f t="shared" si="34"/>
        <v>0</v>
      </c>
      <c r="S68" s="2"/>
      <c r="T68" s="6">
        <v>48294</v>
      </c>
      <c r="U68" s="2"/>
      <c r="V68" s="7">
        <f t="shared" si="35"/>
        <v>8.5330968034899937E-2</v>
      </c>
      <c r="W68" s="2"/>
      <c r="X68" s="6">
        <f t="shared" si="36"/>
        <v>-48294</v>
      </c>
      <c r="Y68" s="2"/>
      <c r="Z68" s="7">
        <f t="shared" si="37"/>
        <v>-1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30"/>
        <v>0</v>
      </c>
      <c r="G69" s="2"/>
      <c r="H69" s="6">
        <v>1500</v>
      </c>
      <c r="I69" s="2"/>
      <c r="J69" s="7">
        <f t="shared" si="31"/>
        <v>0</v>
      </c>
      <c r="K69" s="2"/>
      <c r="L69" s="6">
        <f t="shared" si="32"/>
        <v>-1500</v>
      </c>
      <c r="M69" s="2"/>
      <c r="N69" s="7">
        <f t="shared" si="33"/>
        <v>-1</v>
      </c>
      <c r="O69" s="11"/>
      <c r="P69" s="6">
        <v>597.87</v>
      </c>
      <c r="Q69" s="2"/>
      <c r="R69" s="7">
        <f t="shared" si="34"/>
        <v>0</v>
      </c>
      <c r="S69" s="2"/>
      <c r="T69" s="6">
        <v>18000</v>
      </c>
      <c r="U69" s="2"/>
      <c r="V69" s="7">
        <f t="shared" si="35"/>
        <v>3.1804311604509854E-2</v>
      </c>
      <c r="W69" s="2"/>
      <c r="X69" s="6">
        <f t="shared" si="36"/>
        <v>-17402.13</v>
      </c>
      <c r="Y69" s="2"/>
      <c r="Z69" s="7">
        <f t="shared" si="37"/>
        <v>-0.96678500000000001</v>
      </c>
    </row>
    <row r="70" spans="1:26" s="27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1199.82</v>
      </c>
      <c r="E70" s="1"/>
      <c r="F70" s="5">
        <f t="shared" ref="F70:F77" si="38">IF(D$12=0,0,D70/D$12)</f>
        <v>0</v>
      </c>
      <c r="G70" s="1"/>
      <c r="H70" s="1">
        <f>SUM(OSRRefH22_14x_0)</f>
        <v>0</v>
      </c>
      <c r="I70" s="1"/>
      <c r="J70" s="5">
        <f t="shared" ref="J70:J77" si="39">IF(H$12=0,0,H70/H$12)</f>
        <v>0</v>
      </c>
      <c r="K70" s="1"/>
      <c r="L70" s="1">
        <f t="shared" ref="L70:L77" si="40">+D70-H70</f>
        <v>1199.82</v>
      </c>
      <c r="M70" s="1"/>
      <c r="N70" s="5">
        <f t="shared" ref="N70:N77" si="41">IF(H70=0,0,L70/H70)</f>
        <v>0</v>
      </c>
      <c r="O70" s="13"/>
      <c r="P70" s="1">
        <f>SUM(OSRRefP22_14x_0)</f>
        <v>1296.52</v>
      </c>
      <c r="Q70" s="1"/>
      <c r="R70" s="5">
        <f t="shared" ref="R70:R77" si="42">IF(P$12=0,0,P70/P$12)</f>
        <v>0</v>
      </c>
      <c r="S70" s="1"/>
      <c r="T70" s="1">
        <f>SUM(OSRRefT22_14x_0)</f>
        <v>58560</v>
      </c>
      <c r="U70" s="1"/>
      <c r="V70" s="5">
        <f t="shared" ref="V70:V77" si="43">IF(T$12=0,0,T70/T$12)</f>
        <v>0.10347002708667205</v>
      </c>
      <c r="W70" s="1"/>
      <c r="X70" s="1">
        <f t="shared" ref="X70:X77" si="44">+P70-T70</f>
        <v>-57263.48</v>
      </c>
      <c r="Y70" s="1"/>
      <c r="Z70" s="5">
        <f t="shared" ref="Z70:Z77" si="45">IF(T70=0,0,X70/T70)</f>
        <v>-0.97785997267759572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38"/>
        <v>0</v>
      </c>
      <c r="G71" s="2"/>
      <c r="H71" s="6"/>
      <c r="I71" s="2"/>
      <c r="J71" s="7">
        <f t="shared" si="39"/>
        <v>0</v>
      </c>
      <c r="K71" s="2"/>
      <c r="L71" s="6">
        <f t="shared" si="40"/>
        <v>0</v>
      </c>
      <c r="M71" s="2"/>
      <c r="N71" s="7">
        <f t="shared" si="41"/>
        <v>0</v>
      </c>
      <c r="O71" s="11"/>
      <c r="P71" s="6"/>
      <c r="Q71" s="2"/>
      <c r="R71" s="7">
        <f t="shared" si="42"/>
        <v>0</v>
      </c>
      <c r="S71" s="2"/>
      <c r="T71" s="6">
        <v>30000</v>
      </c>
      <c r="U71" s="2"/>
      <c r="V71" s="7">
        <f t="shared" si="43"/>
        <v>5.3007186007516416E-2</v>
      </c>
      <c r="W71" s="2"/>
      <c r="X71" s="6">
        <f t="shared" si="44"/>
        <v>-30000</v>
      </c>
      <c r="Y71" s="2"/>
      <c r="Z71" s="7">
        <f t="shared" si="45"/>
        <v>-1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/>
      <c r="Q72" s="2"/>
      <c r="R72" s="7">
        <f t="shared" si="42"/>
        <v>0</v>
      </c>
      <c r="S72" s="2"/>
      <c r="T72" s="6">
        <v>21000</v>
      </c>
      <c r="U72" s="2"/>
      <c r="V72" s="7">
        <f t="shared" si="43"/>
        <v>3.7105030205261492E-2</v>
      </c>
      <c r="W72" s="2"/>
      <c r="X72" s="6">
        <f t="shared" si="44"/>
        <v>-21000</v>
      </c>
      <c r="Y72" s="2"/>
      <c r="Z72" s="7">
        <f t="shared" si="45"/>
        <v>-1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>
        <v>1199.82</v>
      </c>
      <c r="E73" s="2"/>
      <c r="F73" s="7">
        <f t="shared" si="38"/>
        <v>0</v>
      </c>
      <c r="G73" s="2"/>
      <c r="H73" s="6"/>
      <c r="I73" s="2"/>
      <c r="J73" s="7">
        <f t="shared" si="39"/>
        <v>0</v>
      </c>
      <c r="K73" s="2"/>
      <c r="L73" s="6">
        <f t="shared" si="40"/>
        <v>1199.82</v>
      </c>
      <c r="M73" s="2"/>
      <c r="N73" s="7">
        <f t="shared" si="41"/>
        <v>0</v>
      </c>
      <c r="O73" s="11"/>
      <c r="P73" s="6">
        <v>1199.82</v>
      </c>
      <c r="Q73" s="2"/>
      <c r="R73" s="7">
        <f t="shared" si="42"/>
        <v>0</v>
      </c>
      <c r="S73" s="2"/>
      <c r="T73" s="6">
        <v>3000</v>
      </c>
      <c r="U73" s="2"/>
      <c r="V73" s="7">
        <f t="shared" si="43"/>
        <v>5.3007186007516423E-3</v>
      </c>
      <c r="W73" s="2"/>
      <c r="X73" s="6">
        <f t="shared" si="44"/>
        <v>-1800.18</v>
      </c>
      <c r="Y73" s="2"/>
      <c r="Z73" s="7">
        <f t="shared" si="45"/>
        <v>-0.60006000000000004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38"/>
        <v>0</v>
      </c>
      <c r="G74" s="2"/>
      <c r="H74" s="6"/>
      <c r="I74" s="2"/>
      <c r="J74" s="7">
        <f t="shared" si="39"/>
        <v>0</v>
      </c>
      <c r="K74" s="2"/>
      <c r="L74" s="6">
        <f t="shared" si="40"/>
        <v>0</v>
      </c>
      <c r="M74" s="2"/>
      <c r="N74" s="7">
        <f t="shared" si="41"/>
        <v>0</v>
      </c>
      <c r="O74" s="11"/>
      <c r="P74" s="6">
        <v>96.7</v>
      </c>
      <c r="Q74" s="2"/>
      <c r="R74" s="7">
        <f t="shared" si="42"/>
        <v>0</v>
      </c>
      <c r="S74" s="2"/>
      <c r="T74" s="6">
        <v>2500</v>
      </c>
      <c r="U74" s="2"/>
      <c r="V74" s="7">
        <f t="shared" si="43"/>
        <v>4.4172655006263686E-3</v>
      </c>
      <c r="W74" s="2"/>
      <c r="X74" s="6">
        <f t="shared" si="44"/>
        <v>-2403.3000000000002</v>
      </c>
      <c r="Y74" s="2"/>
      <c r="Z74" s="7">
        <f t="shared" si="45"/>
        <v>-0.96132000000000006</v>
      </c>
    </row>
    <row r="75" spans="1:26" s="24" customFormat="1" hidden="1" outlineLevel="2" x14ac:dyDescent="0.25">
      <c r="A75" s="26"/>
      <c r="B75" s="11" t="str">
        <f>CONCATENATE("          ", "6244", " - ", "SAFETY SUPPLY EXPENSE")</f>
        <v xml:space="preserve">          6244 - SAFETY SUPPLY EXPENSE</v>
      </c>
      <c r="C75" s="11"/>
      <c r="D75" s="6"/>
      <c r="E75" s="2"/>
      <c r="F75" s="7">
        <f t="shared" si="38"/>
        <v>0</v>
      </c>
      <c r="G75" s="2"/>
      <c r="H75" s="6"/>
      <c r="I75" s="2"/>
      <c r="J75" s="7">
        <f t="shared" si="39"/>
        <v>0</v>
      </c>
      <c r="K75" s="2"/>
      <c r="L75" s="6">
        <f t="shared" si="40"/>
        <v>0</v>
      </c>
      <c r="M75" s="2"/>
      <c r="N75" s="7">
        <f t="shared" si="41"/>
        <v>0</v>
      </c>
      <c r="O75" s="11"/>
      <c r="P75" s="6"/>
      <c r="Q75" s="2"/>
      <c r="R75" s="7">
        <f t="shared" si="42"/>
        <v>0</v>
      </c>
      <c r="S75" s="2"/>
      <c r="T75" s="6">
        <v>60</v>
      </c>
      <c r="U75" s="2"/>
      <c r="V75" s="7">
        <f t="shared" si="43"/>
        <v>1.0601437201503284E-4</v>
      </c>
      <c r="W75" s="2"/>
      <c r="X75" s="6">
        <f t="shared" si="44"/>
        <v>-60</v>
      </c>
      <c r="Y75" s="2"/>
      <c r="Z75" s="7">
        <f t="shared" si="45"/>
        <v>-1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8"/>
        <v>0</v>
      </c>
      <c r="G76" s="2"/>
      <c r="H76" s="6"/>
      <c r="I76" s="2"/>
      <c r="J76" s="7">
        <f t="shared" si="39"/>
        <v>0</v>
      </c>
      <c r="K76" s="2"/>
      <c r="L76" s="6">
        <f t="shared" si="40"/>
        <v>0</v>
      </c>
      <c r="M76" s="2"/>
      <c r="N76" s="7">
        <f t="shared" si="41"/>
        <v>0</v>
      </c>
      <c r="O76" s="11"/>
      <c r="P76" s="6"/>
      <c r="Q76" s="2"/>
      <c r="R76" s="7">
        <f t="shared" si="42"/>
        <v>0</v>
      </c>
      <c r="S76" s="2"/>
      <c r="T76" s="6">
        <v>500</v>
      </c>
      <c r="U76" s="2"/>
      <c r="V76" s="7">
        <f t="shared" si="43"/>
        <v>8.834531001252736E-4</v>
      </c>
      <c r="W76" s="2"/>
      <c r="X76" s="6">
        <f t="shared" si="44"/>
        <v>-500</v>
      </c>
      <c r="Y76" s="2"/>
      <c r="Z76" s="7">
        <f t="shared" si="45"/>
        <v>-1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38"/>
        <v>0</v>
      </c>
      <c r="G77" s="2"/>
      <c r="H77" s="6"/>
      <c r="I77" s="2"/>
      <c r="J77" s="7">
        <f t="shared" si="39"/>
        <v>0</v>
      </c>
      <c r="K77" s="2"/>
      <c r="L77" s="6">
        <f t="shared" si="40"/>
        <v>0</v>
      </c>
      <c r="M77" s="2"/>
      <c r="N77" s="7">
        <f t="shared" si="41"/>
        <v>0</v>
      </c>
      <c r="O77" s="11"/>
      <c r="P77" s="6"/>
      <c r="Q77" s="2"/>
      <c r="R77" s="7">
        <f t="shared" si="42"/>
        <v>0</v>
      </c>
      <c r="S77" s="2"/>
      <c r="T77" s="6">
        <v>1500</v>
      </c>
      <c r="U77" s="2"/>
      <c r="V77" s="7">
        <f t="shared" si="43"/>
        <v>2.6503593003758211E-3</v>
      </c>
      <c r="W77" s="2"/>
      <c r="X77" s="6">
        <f t="shared" si="44"/>
        <v>-1500</v>
      </c>
      <c r="Y77" s="2"/>
      <c r="Z77" s="7">
        <f t="shared" si="45"/>
        <v>-1</v>
      </c>
    </row>
    <row r="78" spans="1:26" s="27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150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0</v>
      </c>
      <c r="K78" s="1"/>
      <c r="L78" s="1">
        <f t="shared" ref="L78:L80" si="48">+D78-H78</f>
        <v>10</v>
      </c>
      <c r="M78" s="1"/>
      <c r="N78" s="5">
        <f t="shared" ref="N78:N80" si="49">IF(H78=0,0,L78/H78)</f>
        <v>7.1428571428571425E-2</v>
      </c>
      <c r="O78" s="13"/>
      <c r="P78" s="1">
        <f>SUM(OSRRefP22_15x_0)</f>
        <v>804.63</v>
      </c>
      <c r="Q78" s="1"/>
      <c r="R78" s="5">
        <f t="shared" ref="R78:R80" si="50">IF(P$12=0,0,P78/P$12)</f>
        <v>0</v>
      </c>
      <c r="S78" s="1"/>
      <c r="T78" s="1">
        <f>SUM(OSRRefT22_15x_0)</f>
        <v>1680</v>
      </c>
      <c r="U78" s="1"/>
      <c r="V78" s="5">
        <f t="shared" ref="V78:V80" si="51">IF(T$12=0,0,T78/T$12)</f>
        <v>2.9684024164209196E-3</v>
      </c>
      <c r="W78" s="1"/>
      <c r="X78" s="1">
        <f t="shared" ref="X78:X80" si="52">+P78-T78</f>
        <v>-875.37</v>
      </c>
      <c r="Y78" s="1"/>
      <c r="Z78" s="5">
        <f t="shared" ref="Z78:Z80" si="53">IF(T78=0,0,X78/T78)</f>
        <v>-0.52105357142857145</v>
      </c>
    </row>
    <row r="79" spans="1:26" s="24" customFormat="1" hidden="1" outlineLevel="2" x14ac:dyDescent="0.25">
      <c r="A79" s="26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46"/>
        <v>0</v>
      </c>
      <c r="G79" s="2"/>
      <c r="H79" s="6">
        <v>140</v>
      </c>
      <c r="I79" s="2"/>
      <c r="J79" s="7">
        <f t="shared" si="47"/>
        <v>0</v>
      </c>
      <c r="K79" s="2"/>
      <c r="L79" s="6">
        <f t="shared" si="48"/>
        <v>-140</v>
      </c>
      <c r="M79" s="2"/>
      <c r="N79" s="7">
        <f t="shared" si="49"/>
        <v>-1</v>
      </c>
      <c r="O79" s="11"/>
      <c r="P79" s="6"/>
      <c r="Q79" s="2"/>
      <c r="R79" s="7">
        <f t="shared" si="50"/>
        <v>0</v>
      </c>
      <c r="S79" s="2"/>
      <c r="T79" s="6">
        <v>1680</v>
      </c>
      <c r="U79" s="2"/>
      <c r="V79" s="7">
        <f t="shared" si="51"/>
        <v>2.9684024164209196E-3</v>
      </c>
      <c r="W79" s="2"/>
      <c r="X79" s="6">
        <f t="shared" si="52"/>
        <v>-1680</v>
      </c>
      <c r="Y79" s="2"/>
      <c r="Z79" s="7">
        <f t="shared" si="53"/>
        <v>-1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150</v>
      </c>
      <c r="E80" s="2"/>
      <c r="F80" s="7">
        <f t="shared" si="46"/>
        <v>0</v>
      </c>
      <c r="G80" s="2"/>
      <c r="H80" s="6"/>
      <c r="I80" s="2"/>
      <c r="J80" s="7">
        <f t="shared" si="47"/>
        <v>0</v>
      </c>
      <c r="K80" s="2"/>
      <c r="L80" s="6">
        <f t="shared" si="48"/>
        <v>150</v>
      </c>
      <c r="M80" s="2"/>
      <c r="N80" s="7">
        <f t="shared" si="49"/>
        <v>0</v>
      </c>
      <c r="O80" s="11"/>
      <c r="P80" s="6">
        <v>804.63</v>
      </c>
      <c r="Q80" s="2"/>
      <c r="R80" s="7">
        <f t="shared" si="50"/>
        <v>0</v>
      </c>
      <c r="S80" s="2"/>
      <c r="T80" s="6"/>
      <c r="U80" s="2"/>
      <c r="V80" s="7">
        <f t="shared" si="51"/>
        <v>0</v>
      </c>
      <c r="W80" s="2"/>
      <c r="X80" s="6">
        <f t="shared" si="52"/>
        <v>804.63</v>
      </c>
      <c r="Y80" s="2"/>
      <c r="Z80" s="7">
        <f t="shared" si="53"/>
        <v>0</v>
      </c>
    </row>
    <row r="81" spans="1:26" s="27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0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3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2400</v>
      </c>
      <c r="U81" s="1"/>
      <c r="V81" s="5">
        <f t="shared" ref="V81:V82" si="59">IF(T$12=0,0,T81/T$12)</f>
        <v>4.2405748806013136E-3</v>
      </c>
      <c r="W81" s="1"/>
      <c r="X81" s="1">
        <f t="shared" ref="X81:X82" si="60">+P81-T81</f>
        <v>-2400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4"/>
        <v>0</v>
      </c>
      <c r="G82" s="2"/>
      <c r="H82" s="6">
        <v>200</v>
      </c>
      <c r="I82" s="2"/>
      <c r="J82" s="7">
        <f t="shared" si="55"/>
        <v>0</v>
      </c>
      <c r="K82" s="2"/>
      <c r="L82" s="6">
        <f t="shared" si="56"/>
        <v>-200</v>
      </c>
      <c r="M82" s="2"/>
      <c r="N82" s="7">
        <f t="shared" si="57"/>
        <v>-1</v>
      </c>
      <c r="O82" s="11"/>
      <c r="P82" s="6"/>
      <c r="Q82" s="2"/>
      <c r="R82" s="7">
        <f t="shared" si="58"/>
        <v>0</v>
      </c>
      <c r="S82" s="2"/>
      <c r="T82" s="6">
        <v>2400</v>
      </c>
      <c r="U82" s="2"/>
      <c r="V82" s="7">
        <f t="shared" si="59"/>
        <v>4.2405748806013136E-3</v>
      </c>
      <c r="W82" s="2"/>
      <c r="X82" s="6">
        <f t="shared" si="60"/>
        <v>-2400</v>
      </c>
      <c r="Y82" s="2"/>
      <c r="Z82" s="7">
        <f t="shared" si="61"/>
        <v>-1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0">
        <f>+D19-D21+D84</f>
        <v>-38835.090000000004</v>
      </c>
      <c r="E86" s="14"/>
      <c r="F86" s="22">
        <f>IF(D$12=0,0,D86/D$12)</f>
        <v>0</v>
      </c>
      <c r="G86" s="14"/>
      <c r="H86" s="20">
        <f>+H19-H21+H84</f>
        <v>-65883.590795587661</v>
      </c>
      <c r="I86" s="14"/>
      <c r="J86" s="22">
        <f>IF(H$12=0,0,H86/H$12)</f>
        <v>0</v>
      </c>
      <c r="K86" s="16"/>
      <c r="L86" s="20">
        <f>+D86-H86</f>
        <v>27048.500795587657</v>
      </c>
      <c r="M86" s="16"/>
      <c r="N86" s="22">
        <f>IF(H86=0,0,L86/H86)</f>
        <v>-0.41054988759658106</v>
      </c>
      <c r="O86" s="29"/>
      <c r="P86" s="20">
        <f>+P19-P21+P84</f>
        <v>-487946.78</v>
      </c>
      <c r="Q86" s="14"/>
      <c r="R86" s="22">
        <f>IF(P$12=0,0,P86/P$12)</f>
        <v>0</v>
      </c>
      <c r="S86" s="14"/>
      <c r="T86" s="20">
        <f>+T19-T21+T84</f>
        <v>-670755.25549889007</v>
      </c>
      <c r="U86" s="14"/>
      <c r="V86" s="22">
        <f>IF(T$12=0,0,T86/T$12)</f>
        <v>-1.1851616197916288</v>
      </c>
      <c r="W86" s="16"/>
      <c r="X86" s="20">
        <f>+P86-T86</f>
        <v>182808.47549889004</v>
      </c>
      <c r="Y86" s="16"/>
      <c r="Z86" s="22">
        <f>IF(T86=0,0,X86/T86)</f>
        <v>-0.27254124958427933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-8850</v>
      </c>
      <c r="I88" s="4"/>
      <c r="J88" s="12">
        <f>IF(H$12=0,0,H88/H$12)</f>
        <v>0</v>
      </c>
      <c r="K88" s="4"/>
      <c r="L88" s="4">
        <f>+D88-H88</f>
        <v>8850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95634</v>
      </c>
      <c r="U88" s="4"/>
      <c r="V88" s="12">
        <f>IF(T$12=0,0,T88/T$12)</f>
        <v>0.16897630755476084</v>
      </c>
      <c r="W88" s="4"/>
      <c r="X88" s="4">
        <f>+P88-T88</f>
        <v>-95634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4">
        <f>+D86-D88</f>
        <v>-38835.090000000004</v>
      </c>
      <c r="E90" s="14"/>
      <c r="F90" s="35">
        <f>IF(D$12=0,0,D90/D$12)</f>
        <v>0</v>
      </c>
      <c r="G90" s="14"/>
      <c r="H90" s="34">
        <f>+H86-H88</f>
        <v>-57033.590795587661</v>
      </c>
      <c r="I90" s="14"/>
      <c r="J90" s="35">
        <f>IF(H$12=0,0,H90/H$12)</f>
        <v>0</v>
      </c>
      <c r="K90" s="16"/>
      <c r="L90" s="34">
        <f>D90-H90</f>
        <v>18198.500795587657</v>
      </c>
      <c r="M90" s="16"/>
      <c r="N90" s="35">
        <f>IF(H90=0,0,L90/H90)</f>
        <v>-0.31908390374388917</v>
      </c>
      <c r="O90" s="29"/>
      <c r="P90" s="34">
        <f>+P86-P88</f>
        <v>-487946.78</v>
      </c>
      <c r="Q90" s="14"/>
      <c r="R90" s="35">
        <f>IF(P$12=0,0,P90/P$12)</f>
        <v>0</v>
      </c>
      <c r="S90" s="14"/>
      <c r="T90" s="34">
        <f>+T86-T88</f>
        <v>-766389.25549889007</v>
      </c>
      <c r="U90" s="14"/>
      <c r="V90" s="35">
        <f>IF(T$12=0,0,T90/T$12)</f>
        <v>-1.3541379273463896</v>
      </c>
      <c r="W90" s="16"/>
      <c r="X90" s="34">
        <f>P90-T90</f>
        <v>278442.47549889004</v>
      </c>
      <c r="Y90" s="16"/>
      <c r="Z90" s="35">
        <f>IF(T90=0,0,X90/T90)</f>
        <v>-0.36331730057676065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3">
        <f>SUM(D90:D92)</f>
        <v>-38835.090000000004</v>
      </c>
      <c r="E93" s="14"/>
      <c r="F93" s="31">
        <f>IF(D$12=0,0,D93/D$12)</f>
        <v>0</v>
      </c>
      <c r="G93" s="14"/>
      <c r="H93" s="33">
        <f>SUM(H90:H92)</f>
        <v>-57033.590795587661</v>
      </c>
      <c r="I93" s="14"/>
      <c r="J93" s="31">
        <f>IF(H$12=0,0,H93/H$12)</f>
        <v>0</v>
      </c>
      <c r="K93" s="16"/>
      <c r="L93" s="33">
        <f>+D93-H93</f>
        <v>18198.500795587657</v>
      </c>
      <c r="M93" s="16"/>
      <c r="N93" s="31">
        <f>IF(H93=0,0,L93/H93)</f>
        <v>-0.31908390374388917</v>
      </c>
      <c r="O93" s="29"/>
      <c r="P93" s="33">
        <f>SUM(P90:P92)</f>
        <v>-487946.78</v>
      </c>
      <c r="Q93" s="14"/>
      <c r="R93" s="31">
        <f>IF(P$12=0,0,P93/P$12)</f>
        <v>0</v>
      </c>
      <c r="S93" s="14"/>
      <c r="T93" s="33">
        <f>SUM(T90:T92)</f>
        <v>-766389.25549889007</v>
      </c>
      <c r="U93" s="14"/>
      <c r="V93" s="31">
        <f>IF(T$12=0,0,T93/T$12)</f>
        <v>-1.3541379273463896</v>
      </c>
      <c r="W93" s="16"/>
      <c r="X93" s="33">
        <f>+P93-T93</f>
        <v>278442.47549889004</v>
      </c>
      <c r="Y93" s="16"/>
      <c r="Z93" s="31">
        <f>IF(T93=0,0,X93/T93)</f>
        <v>-0.36331730057676065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6">
        <v>44454.686112384261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5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24975</v>
      </c>
      <c r="E12" s="4"/>
      <c r="F12" s="12"/>
      <c r="G12" s="4"/>
      <c r="H12" s="4">
        <f>SUM(OSRRefH13x_0)</f>
        <v>44084</v>
      </c>
      <c r="I12" s="4"/>
      <c r="J12" s="12"/>
      <c r="K12" s="4"/>
      <c r="L12" s="4">
        <f t="shared" ref="L12:L14" si="0">+D12-H12</f>
        <v>-19109</v>
      </c>
      <c r="M12" s="4"/>
      <c r="N12" s="12">
        <f t="shared" ref="N12:N14" si="1">IF(H12=0,0,L12/H12)</f>
        <v>-0.4334679248707014</v>
      </c>
      <c r="O12" s="10"/>
      <c r="P12" s="4">
        <f>SUM(OSRRefP13x_0)</f>
        <v>542161</v>
      </c>
      <c r="Q12" s="4"/>
      <c r="R12" s="12"/>
      <c r="S12" s="4"/>
      <c r="T12" s="4">
        <f>SUM(OSRRefT13x_0)</f>
        <v>600566</v>
      </c>
      <c r="U12" s="4"/>
      <c r="V12" s="12"/>
      <c r="W12" s="4"/>
      <c r="X12" s="4">
        <f t="shared" ref="X12:X14" si="2">+P12-T12</f>
        <v>-58405</v>
      </c>
      <c r="Y12" s="4"/>
      <c r="Z12" s="12">
        <f t="shared" ref="Z12:Z14" si="3">IF(T12=0,0,X12/T12)</f>
        <v>-9.7249927568327205E-2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1243</v>
      </c>
      <c r="I13" s="2"/>
      <c r="J13" s="19"/>
      <c r="K13" s="2"/>
      <c r="L13" s="2">
        <f t="shared" si="0"/>
        <v>-1243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1243</v>
      </c>
      <c r="U13" s="2"/>
      <c r="V13" s="19"/>
      <c r="W13" s="2"/>
      <c r="X13" s="2">
        <f t="shared" si="2"/>
        <v>-1243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--24975</f>
        <v>24975</v>
      </c>
      <c r="E14" s="2"/>
      <c r="F14" s="19"/>
      <c r="G14" s="2"/>
      <c r="H14" s="2">
        <v>42841</v>
      </c>
      <c r="I14" s="2"/>
      <c r="J14" s="19"/>
      <c r="K14" s="2"/>
      <c r="L14" s="2">
        <f t="shared" si="0"/>
        <v>-17866</v>
      </c>
      <c r="M14" s="2"/>
      <c r="N14" s="19">
        <f t="shared" si="1"/>
        <v>-0.41703041478957076</v>
      </c>
      <c r="O14" s="11"/>
      <c r="P14" s="2">
        <f>--542161</f>
        <v>542161</v>
      </c>
      <c r="Q14" s="2"/>
      <c r="R14" s="19"/>
      <c r="S14" s="2"/>
      <c r="T14" s="2">
        <v>599323</v>
      </c>
      <c r="U14" s="2"/>
      <c r="V14" s="19"/>
      <c r="W14" s="2"/>
      <c r="X14" s="2">
        <f t="shared" si="2"/>
        <v>-57162</v>
      </c>
      <c r="Y14" s="2"/>
      <c r="Z14" s="19">
        <f t="shared" si="3"/>
        <v>-9.5377617745356011E-2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257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D12-D16</f>
        <v>24975</v>
      </c>
      <c r="E18" s="14"/>
      <c r="F18" s="22">
        <f>IF(D$12=0,0,D18/D$12)</f>
        <v>1</v>
      </c>
      <c r="G18" s="14"/>
      <c r="H18" s="20">
        <f>H12-H16</f>
        <v>44084</v>
      </c>
      <c r="I18" s="14"/>
      <c r="J18" s="22">
        <f>IF(H$12=0,0,H18/H$12)</f>
        <v>1</v>
      </c>
      <c r="K18" s="16"/>
      <c r="L18" s="20">
        <f>+D18-H18</f>
        <v>-19109</v>
      </c>
      <c r="M18" s="16"/>
      <c r="N18" s="22">
        <f>IF(H18=0,0,L18/H18)</f>
        <v>-0.4334679248707014</v>
      </c>
      <c r="O18" s="29"/>
      <c r="P18" s="20">
        <f>P12-P16</f>
        <v>542161</v>
      </c>
      <c r="Q18" s="14"/>
      <c r="R18" s="22">
        <f>IF(P$12=0,0,P18/P$12)</f>
        <v>1</v>
      </c>
      <c r="S18" s="14"/>
      <c r="T18" s="20">
        <f>T12-T16</f>
        <v>600566</v>
      </c>
      <c r="U18" s="14"/>
      <c r="V18" s="22">
        <f>IF(T$12=0,0,T18/T$12)</f>
        <v>1</v>
      </c>
      <c r="W18" s="16"/>
      <c r="X18" s="20">
        <f>+P18-T18</f>
        <v>-58405</v>
      </c>
      <c r="Y18" s="16"/>
      <c r="Z18" s="22">
        <f>IF(T18=0,0,X18/T18)</f>
        <v>-9.7249927568327205E-2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>
        <f>SUM(OSRRefD22x_0)</f>
        <v>17149.86</v>
      </c>
      <c r="E20" s="21"/>
      <c r="F20" s="30">
        <f t="shared" ref="F20:F31" si="4">IF(D$12=0,0,D20/D$12)</f>
        <v>0.68668108108108106</v>
      </c>
      <c r="G20" s="21"/>
      <c r="H20" s="21">
        <f>SUM(OSRRefH22x_0)</f>
        <v>38922.340180865387</v>
      </c>
      <c r="I20" s="21"/>
      <c r="J20" s="30">
        <f t="shared" ref="J20:J31" si="5">IF(H$12=0,0,H20/H$12)</f>
        <v>0.88291307914130723</v>
      </c>
      <c r="K20" s="4"/>
      <c r="L20" s="21">
        <f t="shared" ref="L20:L31" si="6">+D20-H20</f>
        <v>-21772.480180865387</v>
      </c>
      <c r="M20" s="4"/>
      <c r="N20" s="30">
        <f t="shared" ref="N20:N31" si="7">IF(H20=0,0,L20/H20)</f>
        <v>-0.55938260854029931</v>
      </c>
      <c r="O20" s="10"/>
      <c r="P20" s="21">
        <f>SUM(OSRRefP22x_0)</f>
        <v>436927.95000000007</v>
      </c>
      <c r="Q20" s="21"/>
      <c r="R20" s="30">
        <f t="shared" ref="R20:R31" si="8">IF(P$12=0,0,P20/P$12)</f>
        <v>0.80590073797266881</v>
      </c>
      <c r="S20" s="21"/>
      <c r="T20" s="21">
        <f>SUM(OSRRefT22x_0)</f>
        <v>544454.31009659998</v>
      </c>
      <c r="U20" s="21"/>
      <c r="V20" s="30">
        <f t="shared" ref="V20:V31" si="9">IF(T$12=0,0,T20/T$12)</f>
        <v>0.90656865373098039</v>
      </c>
      <c r="W20" s="4"/>
      <c r="X20" s="21">
        <f t="shared" ref="X20:X31" si="10">+P20-T20</f>
        <v>-107526.36009659991</v>
      </c>
      <c r="Y20" s="4"/>
      <c r="Z20" s="30">
        <f t="shared" ref="Z20:Z31" si="11">IF(T20=0,0,X20/T20)</f>
        <v>-0.19749381739217384</v>
      </c>
    </row>
    <row r="21" spans="1:26" s="27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5094.6000000000013</v>
      </c>
      <c r="E21" s="1"/>
      <c r="F21" s="5">
        <f t="shared" si="4"/>
        <v>0.20398798798798803</v>
      </c>
      <c r="G21" s="1"/>
      <c r="H21" s="1">
        <f>SUM(OSRRefH22_0x_0)</f>
        <v>4946.0766616346173</v>
      </c>
      <c r="I21" s="1"/>
      <c r="J21" s="5">
        <f t="shared" si="5"/>
        <v>0.11219663963421235</v>
      </c>
      <c r="K21" s="1"/>
      <c r="L21" s="1">
        <f t="shared" si="6"/>
        <v>148.52333836538401</v>
      </c>
      <c r="M21" s="1"/>
      <c r="N21" s="5">
        <f t="shared" si="7"/>
        <v>3.0028515230554248E-2</v>
      </c>
      <c r="O21" s="13"/>
      <c r="P21" s="1">
        <f>SUM(OSRRefP22_0x_0)</f>
        <v>51863.28</v>
      </c>
      <c r="Q21" s="1"/>
      <c r="R21" s="5">
        <f t="shared" si="8"/>
        <v>9.5660292791255735E-2</v>
      </c>
      <c r="S21" s="1"/>
      <c r="T21" s="1">
        <f>SUM(OSRRefT22_0x_0)</f>
        <v>49993.9769466</v>
      </c>
      <c r="U21" s="1"/>
      <c r="V21" s="5">
        <f t="shared" si="9"/>
        <v>8.3244767347135873E-2</v>
      </c>
      <c r="W21" s="1"/>
      <c r="X21" s="1">
        <f t="shared" si="10"/>
        <v>1869.303053399999</v>
      </c>
      <c r="Y21" s="1"/>
      <c r="Z21" s="5">
        <f t="shared" si="11"/>
        <v>3.7390565175414135E-2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>
        <v>984.04</v>
      </c>
      <c r="E22" s="2"/>
      <c r="F22" s="7">
        <f t="shared" si="4"/>
        <v>3.9401001001001003E-2</v>
      </c>
      <c r="G22" s="2"/>
      <c r="H22" s="6">
        <v>1727.33140298077</v>
      </c>
      <c r="I22" s="2"/>
      <c r="J22" s="7">
        <f t="shared" si="5"/>
        <v>3.9182728495163098E-2</v>
      </c>
      <c r="K22" s="2"/>
      <c r="L22" s="6">
        <f t="shared" si="6"/>
        <v>-743.29140298077004</v>
      </c>
      <c r="M22" s="2"/>
      <c r="N22" s="7">
        <f t="shared" si="7"/>
        <v>-0.43031198396446041</v>
      </c>
      <c r="O22" s="11"/>
      <c r="P22" s="6">
        <v>12230.81</v>
      </c>
      <c r="Q22" s="2"/>
      <c r="R22" s="7">
        <f t="shared" si="8"/>
        <v>2.2559368895955261E-2</v>
      </c>
      <c r="S22" s="2"/>
      <c r="T22" s="6">
        <v>12209.8311471</v>
      </c>
      <c r="U22" s="2"/>
      <c r="V22" s="7">
        <f t="shared" si="9"/>
        <v>2.0330540102336796E-2</v>
      </c>
      <c r="W22" s="2"/>
      <c r="X22" s="6">
        <f t="shared" si="10"/>
        <v>20.978852899999765</v>
      </c>
      <c r="Y22" s="2"/>
      <c r="Z22" s="7">
        <f t="shared" si="11"/>
        <v>1.7181935316920847E-3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6">
        <v>81.56</v>
      </c>
      <c r="E23" s="2"/>
      <c r="F23" s="7">
        <f t="shared" si="4"/>
        <v>3.2656656656656659E-3</v>
      </c>
      <c r="G23" s="2"/>
      <c r="H23" s="6">
        <v>417.55691826923101</v>
      </c>
      <c r="I23" s="2"/>
      <c r="J23" s="7">
        <f t="shared" si="5"/>
        <v>9.4718473430095047E-3</v>
      </c>
      <c r="K23" s="2"/>
      <c r="L23" s="6">
        <f t="shared" si="6"/>
        <v>-335.996918269231</v>
      </c>
      <c r="M23" s="2"/>
      <c r="N23" s="7">
        <f t="shared" si="7"/>
        <v>-0.80467333570219524</v>
      </c>
      <c r="O23" s="11"/>
      <c r="P23" s="6">
        <v>975.2</v>
      </c>
      <c r="Q23" s="2"/>
      <c r="R23" s="7">
        <f t="shared" si="8"/>
        <v>1.7987276842118855E-3</v>
      </c>
      <c r="S23" s="2"/>
      <c r="T23" s="6">
        <v>4226.4830824999999</v>
      </c>
      <c r="U23" s="2"/>
      <c r="V23" s="7">
        <f t="shared" si="9"/>
        <v>7.0374997627238303E-3</v>
      </c>
      <c r="W23" s="2"/>
      <c r="X23" s="6">
        <f t="shared" si="10"/>
        <v>-3251.2830825000001</v>
      </c>
      <c r="Y23" s="2"/>
      <c r="Z23" s="7">
        <f t="shared" si="11"/>
        <v>-0.76926442600992007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6">
        <v>1207.95</v>
      </c>
      <c r="E24" s="2"/>
      <c r="F24" s="7">
        <f t="shared" si="4"/>
        <v>4.8366366366366369E-2</v>
      </c>
      <c r="G24" s="2"/>
      <c r="H24" s="6">
        <v>1025</v>
      </c>
      <c r="I24" s="2"/>
      <c r="J24" s="7">
        <f t="shared" si="5"/>
        <v>2.3251066146447692E-2</v>
      </c>
      <c r="K24" s="2"/>
      <c r="L24" s="6">
        <f t="shared" si="6"/>
        <v>182.95000000000005</v>
      </c>
      <c r="M24" s="2"/>
      <c r="N24" s="7">
        <f t="shared" si="7"/>
        <v>0.17848780487804883</v>
      </c>
      <c r="O24" s="11"/>
      <c r="P24" s="6">
        <v>14650.7</v>
      </c>
      <c r="Q24" s="2"/>
      <c r="R24" s="7">
        <f t="shared" si="8"/>
        <v>2.7022784744752944E-2</v>
      </c>
      <c r="S24" s="2"/>
      <c r="T24" s="6">
        <v>12632.5</v>
      </c>
      <c r="U24" s="2"/>
      <c r="V24" s="7">
        <f t="shared" si="9"/>
        <v>2.1034324287422197E-2</v>
      </c>
      <c r="W24" s="2"/>
      <c r="X24" s="6">
        <f t="shared" si="10"/>
        <v>2018.2000000000007</v>
      </c>
      <c r="Y24" s="2"/>
      <c r="Z24" s="7">
        <f t="shared" si="11"/>
        <v>0.15976251731644572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6">
        <v>33.54</v>
      </c>
      <c r="E25" s="2"/>
      <c r="F25" s="7">
        <f t="shared" si="4"/>
        <v>1.3429429429429429E-3</v>
      </c>
      <c r="G25" s="2"/>
      <c r="H25" s="6">
        <v>58.683675000000001</v>
      </c>
      <c r="I25" s="2"/>
      <c r="J25" s="7">
        <f t="shared" si="5"/>
        <v>1.3311785455040377E-3</v>
      </c>
      <c r="K25" s="2"/>
      <c r="L25" s="6">
        <f t="shared" si="6"/>
        <v>-25.143675000000002</v>
      </c>
      <c r="M25" s="2"/>
      <c r="N25" s="7">
        <f t="shared" si="7"/>
        <v>-0.42846115210064811</v>
      </c>
      <c r="O25" s="11"/>
      <c r="P25" s="6">
        <v>437.82</v>
      </c>
      <c r="Q25" s="2"/>
      <c r="R25" s="7">
        <f t="shared" si="8"/>
        <v>8.0754609793031958E-4</v>
      </c>
      <c r="S25" s="2"/>
      <c r="T25" s="6">
        <v>593.99221699999998</v>
      </c>
      <c r="U25" s="2"/>
      <c r="V25" s="7">
        <f t="shared" si="9"/>
        <v>9.890540207071329E-4</v>
      </c>
      <c r="W25" s="2"/>
      <c r="X25" s="6">
        <f t="shared" si="10"/>
        <v>-156.17221699999999</v>
      </c>
      <c r="Y25" s="2"/>
      <c r="Z25" s="7">
        <f t="shared" si="11"/>
        <v>-0.26291963519111228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6">
        <v>1013.88</v>
      </c>
      <c r="E26" s="2"/>
      <c r="F26" s="7">
        <f t="shared" si="4"/>
        <v>4.0595795795795794E-2</v>
      </c>
      <c r="G26" s="2"/>
      <c r="H26" s="6">
        <v>560.123953846154</v>
      </c>
      <c r="I26" s="2"/>
      <c r="J26" s="7">
        <f t="shared" si="5"/>
        <v>1.2705833269352916E-2</v>
      </c>
      <c r="K26" s="2"/>
      <c r="L26" s="6">
        <f t="shared" si="6"/>
        <v>453.756046153846</v>
      </c>
      <c r="M26" s="2"/>
      <c r="N26" s="7">
        <f t="shared" si="7"/>
        <v>0.81009934147268503</v>
      </c>
      <c r="O26" s="11"/>
      <c r="P26" s="6">
        <v>9355.51</v>
      </c>
      <c r="Q26" s="2"/>
      <c r="R26" s="7">
        <f t="shared" si="8"/>
        <v>1.7255962712183281E-2</v>
      </c>
      <c r="S26" s="2"/>
      <c r="T26" s="6">
        <v>7526.9586499999996</v>
      </c>
      <c r="U26" s="2"/>
      <c r="V26" s="7">
        <f t="shared" si="9"/>
        <v>1.2533108184612516E-2</v>
      </c>
      <c r="W26" s="2"/>
      <c r="X26" s="6">
        <f t="shared" si="10"/>
        <v>1828.5513500000006</v>
      </c>
      <c r="Y26" s="2"/>
      <c r="Z26" s="7">
        <f t="shared" si="11"/>
        <v>0.24293362499075249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4"/>
        <v>0</v>
      </c>
      <c r="G27" s="2"/>
      <c r="H27" s="6">
        <v>0</v>
      </c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0</v>
      </c>
      <c r="U27" s="2"/>
      <c r="V27" s="7">
        <f t="shared" si="9"/>
        <v>0</v>
      </c>
      <c r="W27" s="2"/>
      <c r="X27" s="6">
        <f t="shared" si="10"/>
        <v>0</v>
      </c>
      <c r="Y27" s="2"/>
      <c r="Z27" s="7">
        <f t="shared" si="11"/>
        <v>0</v>
      </c>
    </row>
    <row r="28" spans="1:26" s="24" customFormat="1" hidden="1" outlineLevel="2" x14ac:dyDescent="0.25">
      <c r="A28" s="26"/>
      <c r="B28" s="11" t="str">
        <f>CONCATENATE("          ", "6117", " - ", "RETIREMENT STAFF HOURLY")</f>
        <v xml:space="preserve">          6117 - RETIREMENT STAFF HOURLY</v>
      </c>
      <c r="C28" s="11"/>
      <c r="D28" s="6">
        <v>96.01</v>
      </c>
      <c r="E28" s="2"/>
      <c r="F28" s="7">
        <f t="shared" si="4"/>
        <v>3.8442442442442443E-3</v>
      </c>
      <c r="G28" s="2"/>
      <c r="H28" s="6"/>
      <c r="I28" s="2"/>
      <c r="J28" s="7">
        <f t="shared" si="5"/>
        <v>0</v>
      </c>
      <c r="K28" s="2"/>
      <c r="L28" s="6">
        <f t="shared" si="6"/>
        <v>96.01</v>
      </c>
      <c r="M28" s="2"/>
      <c r="N28" s="7">
        <f t="shared" si="7"/>
        <v>0</v>
      </c>
      <c r="O28" s="11"/>
      <c r="P28" s="6">
        <v>1083.72</v>
      </c>
      <c r="Q28" s="2"/>
      <c r="R28" s="7">
        <f t="shared" si="8"/>
        <v>1.9988896287265225E-3</v>
      </c>
      <c r="S28" s="2"/>
      <c r="T28" s="6"/>
      <c r="U28" s="2"/>
      <c r="V28" s="7">
        <f t="shared" si="9"/>
        <v>0</v>
      </c>
      <c r="W28" s="2"/>
      <c r="X28" s="6">
        <f t="shared" si="10"/>
        <v>1083.72</v>
      </c>
      <c r="Y28" s="2"/>
      <c r="Z28" s="7">
        <f t="shared" si="1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1040.1500000000001</v>
      </c>
      <c r="E29" s="2"/>
      <c r="F29" s="7">
        <f t="shared" si="4"/>
        <v>4.1647647647647654E-2</v>
      </c>
      <c r="G29" s="2"/>
      <c r="H29" s="6">
        <v>195.39207692307701</v>
      </c>
      <c r="I29" s="2"/>
      <c r="J29" s="7">
        <f t="shared" si="5"/>
        <v>4.4322674195417158E-3</v>
      </c>
      <c r="K29" s="2"/>
      <c r="L29" s="6">
        <f t="shared" si="6"/>
        <v>844.75792307692313</v>
      </c>
      <c r="M29" s="2"/>
      <c r="N29" s="7">
        <f t="shared" si="7"/>
        <v>4.3233990670435007</v>
      </c>
      <c r="O29" s="11"/>
      <c r="P29" s="6">
        <v>7280.39</v>
      </c>
      <c r="Q29" s="2"/>
      <c r="R29" s="7">
        <f t="shared" si="8"/>
        <v>1.3428464976270886E-2</v>
      </c>
      <c r="S29" s="2"/>
      <c r="T29" s="6">
        <v>2625.68325</v>
      </c>
      <c r="U29" s="2"/>
      <c r="V29" s="7">
        <f t="shared" si="9"/>
        <v>4.3720144830043661E-3</v>
      </c>
      <c r="W29" s="2"/>
      <c r="X29" s="6">
        <f t="shared" si="10"/>
        <v>4654.7067500000003</v>
      </c>
      <c r="Y29" s="2"/>
      <c r="Z29" s="7">
        <f t="shared" si="11"/>
        <v>1.7727601948940339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637.47</v>
      </c>
      <c r="E30" s="2"/>
      <c r="F30" s="7">
        <f t="shared" si="4"/>
        <v>2.5524324324324325E-2</v>
      </c>
      <c r="G30" s="2"/>
      <c r="H30" s="6">
        <v>611.98863461538497</v>
      </c>
      <c r="I30" s="2"/>
      <c r="J30" s="7">
        <f t="shared" si="5"/>
        <v>1.388232997494295E-2</v>
      </c>
      <c r="K30" s="2"/>
      <c r="L30" s="6">
        <f t="shared" si="6"/>
        <v>25.48136538461506</v>
      </c>
      <c r="M30" s="2"/>
      <c r="N30" s="7">
        <f t="shared" si="7"/>
        <v>4.1636991184696222E-2</v>
      </c>
      <c r="O30" s="11"/>
      <c r="P30" s="6">
        <v>4228.6000000000004</v>
      </c>
      <c r="Q30" s="2"/>
      <c r="R30" s="7">
        <f t="shared" si="8"/>
        <v>7.7995281844323002E-3</v>
      </c>
      <c r="S30" s="2"/>
      <c r="T30" s="6">
        <v>5978.5285999999996</v>
      </c>
      <c r="U30" s="2"/>
      <c r="V30" s="7">
        <f t="shared" si="9"/>
        <v>9.954823616388539E-3</v>
      </c>
      <c r="W30" s="2"/>
      <c r="X30" s="6">
        <f t="shared" si="10"/>
        <v>-1749.9285999999993</v>
      </c>
      <c r="Y30" s="2"/>
      <c r="Z30" s="7">
        <f t="shared" si="11"/>
        <v>-0.29270222107827659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4"/>
        <v>0</v>
      </c>
      <c r="G31" s="2"/>
      <c r="H31" s="6">
        <v>350</v>
      </c>
      <c r="I31" s="2"/>
      <c r="J31" s="7">
        <f t="shared" si="5"/>
        <v>7.9393884402504302E-3</v>
      </c>
      <c r="K31" s="2"/>
      <c r="L31" s="6">
        <f t="shared" si="6"/>
        <v>-350</v>
      </c>
      <c r="M31" s="2"/>
      <c r="N31" s="7">
        <f t="shared" si="7"/>
        <v>-1</v>
      </c>
      <c r="O31" s="11"/>
      <c r="P31" s="6">
        <v>1620.53</v>
      </c>
      <c r="Q31" s="2"/>
      <c r="R31" s="7">
        <f t="shared" si="8"/>
        <v>2.9890198667923366E-3</v>
      </c>
      <c r="S31" s="2"/>
      <c r="T31" s="6">
        <v>4200</v>
      </c>
      <c r="U31" s="2"/>
      <c r="V31" s="7">
        <f t="shared" si="9"/>
        <v>6.9934028899404895E-3</v>
      </c>
      <c r="W31" s="2"/>
      <c r="X31" s="6">
        <f t="shared" si="10"/>
        <v>-2579.4700000000003</v>
      </c>
      <c r="Y31" s="2"/>
      <c r="Z31" s="7">
        <f t="shared" si="11"/>
        <v>-0.61415952380952388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12043.56</v>
      </c>
      <c r="E32" s="1"/>
      <c r="F32" s="5">
        <f t="shared" ref="F32:F42" si="12">IF(D$12=0,0,D32/D$12)</f>
        <v>0.48222462462462462</v>
      </c>
      <c r="G32" s="1"/>
      <c r="H32" s="1">
        <f>SUM(OSRRefH22_1x_0)</f>
        <v>21763.263519230772</v>
      </c>
      <c r="I32" s="1"/>
      <c r="J32" s="5">
        <f t="shared" ref="J32:J42" si="13">IF(H$12=0,0,H32/H$12)</f>
        <v>0.49367715087629915</v>
      </c>
      <c r="K32" s="1"/>
      <c r="L32" s="1">
        <f t="shared" ref="L32:L42" si="14">+D32-H32</f>
        <v>-9719.7035192307721</v>
      </c>
      <c r="M32" s="1"/>
      <c r="N32" s="5">
        <f t="shared" ref="N32:N42" si="15">IF(H32=0,0,L32/H32)</f>
        <v>-0.44661056971727175</v>
      </c>
      <c r="O32" s="13"/>
      <c r="P32" s="1">
        <f>SUM(OSRRefP22_1x_0)</f>
        <v>164212.04</v>
      </c>
      <c r="Q32" s="1"/>
      <c r="R32" s="5">
        <f t="shared" ref="R32:R42" si="16">IF(P$12=0,0,P32/P$12)</f>
        <v>0.30288427238403354</v>
      </c>
      <c r="S32" s="1"/>
      <c r="T32" s="1">
        <f>SUM(OSRRefT22_1x_0)</f>
        <v>219854.33315000002</v>
      </c>
      <c r="U32" s="1"/>
      <c r="V32" s="5">
        <f t="shared" ref="V32:V42" si="17">IF(T$12=0,0,T32/T$12)</f>
        <v>0.36607855448027365</v>
      </c>
      <c r="W32" s="1"/>
      <c r="X32" s="1">
        <f t="shared" ref="X32:X42" si="18">+P32-T32</f>
        <v>-55642.293150000012</v>
      </c>
      <c r="Y32" s="1"/>
      <c r="Z32" s="5">
        <f t="shared" ref="Z32:Z42" si="19">IF(T32=0,0,X32/T32)</f>
        <v>-0.25308708885913539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>
        <v>3583.28</v>
      </c>
      <c r="E33" s="2"/>
      <c r="F33" s="7">
        <f t="shared" si="12"/>
        <v>0.14347467467467467</v>
      </c>
      <c r="G33" s="2"/>
      <c r="H33" s="6">
        <v>4019.23076923077</v>
      </c>
      <c r="I33" s="2"/>
      <c r="J33" s="7">
        <f t="shared" si="13"/>
        <v>9.1172098022656065E-2</v>
      </c>
      <c r="K33" s="2"/>
      <c r="L33" s="6">
        <f t="shared" si="14"/>
        <v>-435.95076923076977</v>
      </c>
      <c r="M33" s="2"/>
      <c r="N33" s="7">
        <f t="shared" si="15"/>
        <v>-0.1084662200956939</v>
      </c>
      <c r="O33" s="11"/>
      <c r="P33" s="6">
        <v>51528.44</v>
      </c>
      <c r="Q33" s="2"/>
      <c r="R33" s="7">
        <f t="shared" si="16"/>
        <v>9.5042690270971175E-2</v>
      </c>
      <c r="S33" s="2"/>
      <c r="T33" s="6">
        <v>52250</v>
      </c>
      <c r="U33" s="2"/>
      <c r="V33" s="7">
        <f t="shared" si="17"/>
        <v>8.7001262142712046E-2</v>
      </c>
      <c r="W33" s="2"/>
      <c r="X33" s="6">
        <f t="shared" si="18"/>
        <v>-721.55999999999767</v>
      </c>
      <c r="Y33" s="2"/>
      <c r="Z33" s="7">
        <f t="shared" si="19"/>
        <v>-1.3809760765550195E-2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>
        <v>2582.3000000000002</v>
      </c>
      <c r="E34" s="2"/>
      <c r="F34" s="7">
        <f t="shared" si="12"/>
        <v>0.1033953953953954</v>
      </c>
      <c r="G34" s="2"/>
      <c r="H34" s="6">
        <v>2168.1849999999999</v>
      </c>
      <c r="I34" s="2"/>
      <c r="J34" s="7">
        <f t="shared" si="13"/>
        <v>4.9183036929498228E-2</v>
      </c>
      <c r="K34" s="2"/>
      <c r="L34" s="6">
        <f t="shared" si="14"/>
        <v>414.11500000000024</v>
      </c>
      <c r="M34" s="2"/>
      <c r="N34" s="7">
        <f t="shared" si="15"/>
        <v>0.1909961557708407</v>
      </c>
      <c r="O34" s="11"/>
      <c r="P34" s="6">
        <v>28372.28</v>
      </c>
      <c r="Q34" s="2"/>
      <c r="R34" s="7">
        <f t="shared" si="16"/>
        <v>5.2331835008420008E-2</v>
      </c>
      <c r="S34" s="2"/>
      <c r="T34" s="6">
        <v>30896.63625</v>
      </c>
      <c r="U34" s="2"/>
      <c r="V34" s="7">
        <f t="shared" si="17"/>
        <v>5.1445863152426212E-2</v>
      </c>
      <c r="W34" s="2"/>
      <c r="X34" s="6">
        <f t="shared" si="18"/>
        <v>-2524.3562500000007</v>
      </c>
      <c r="Y34" s="2"/>
      <c r="Z34" s="7">
        <f t="shared" si="19"/>
        <v>-8.1703271177295256E-2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12"/>
        <v>0</v>
      </c>
      <c r="G36" s="2"/>
      <c r="H36" s="6">
        <v>5410.8540000000003</v>
      </c>
      <c r="I36" s="2"/>
      <c r="J36" s="7">
        <f t="shared" si="13"/>
        <v>0.12273963342709374</v>
      </c>
      <c r="K36" s="2"/>
      <c r="L36" s="6">
        <f t="shared" si="14"/>
        <v>-5410.8540000000003</v>
      </c>
      <c r="M36" s="2"/>
      <c r="N36" s="7">
        <f t="shared" si="15"/>
        <v>-1</v>
      </c>
      <c r="O36" s="11"/>
      <c r="P36" s="6"/>
      <c r="Q36" s="2"/>
      <c r="R36" s="7">
        <f t="shared" si="16"/>
        <v>0</v>
      </c>
      <c r="S36" s="2"/>
      <c r="T36" s="6">
        <v>38742.6924</v>
      </c>
      <c r="U36" s="2"/>
      <c r="V36" s="7">
        <f t="shared" si="17"/>
        <v>6.4510299284341766E-2</v>
      </c>
      <c r="W36" s="2"/>
      <c r="X36" s="6">
        <f t="shared" si="18"/>
        <v>-38742.6924</v>
      </c>
      <c r="Y36" s="2"/>
      <c r="Z36" s="7">
        <f t="shared" si="19"/>
        <v>-1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5877.98</v>
      </c>
      <c r="E37" s="2"/>
      <c r="F37" s="7">
        <f t="shared" si="12"/>
        <v>0.23535455455455453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5877.98</v>
      </c>
      <c r="M37" s="2"/>
      <c r="N37" s="7">
        <f t="shared" si="15"/>
        <v>0</v>
      </c>
      <c r="O37" s="11"/>
      <c r="P37" s="6">
        <v>76121.66</v>
      </c>
      <c r="Q37" s="2"/>
      <c r="R37" s="7">
        <f t="shared" si="16"/>
        <v>0.1404041603877815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76121.66</v>
      </c>
      <c r="Y37" s="2"/>
      <c r="Z37" s="7">
        <f t="shared" si="1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12"/>
        <v>0</v>
      </c>
      <c r="G39" s="2"/>
      <c r="H39" s="6">
        <v>10164.99375</v>
      </c>
      <c r="I39" s="2"/>
      <c r="J39" s="7">
        <f t="shared" si="13"/>
        <v>0.23058238249705107</v>
      </c>
      <c r="K39" s="2"/>
      <c r="L39" s="6">
        <f t="shared" si="14"/>
        <v>-10164.99375</v>
      </c>
      <c r="M39" s="2"/>
      <c r="N39" s="7">
        <f t="shared" si="15"/>
        <v>-1</v>
      </c>
      <c r="O39" s="11"/>
      <c r="P39" s="6">
        <v>4277.78</v>
      </c>
      <c r="Q39" s="2"/>
      <c r="R39" s="7">
        <f t="shared" si="16"/>
        <v>7.8902392462755523E-3</v>
      </c>
      <c r="S39" s="2"/>
      <c r="T39" s="6">
        <v>31116.993750000001</v>
      </c>
      <c r="U39" s="2"/>
      <c r="V39" s="7">
        <f t="shared" si="17"/>
        <v>5.1812779527978609E-2</v>
      </c>
      <c r="W39" s="2"/>
      <c r="X39" s="6">
        <f t="shared" si="18"/>
        <v>-26839.213750000003</v>
      </c>
      <c r="Y39" s="2"/>
      <c r="Z39" s="7">
        <f t="shared" si="19"/>
        <v>-0.86252592283276086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>
        <v>3911.88</v>
      </c>
      <c r="Q40" s="2"/>
      <c r="R40" s="7">
        <f t="shared" si="16"/>
        <v>7.2153474705853064E-3</v>
      </c>
      <c r="S40" s="2"/>
      <c r="T40" s="6">
        <v>66848.010750000001</v>
      </c>
      <c r="U40" s="2"/>
      <c r="V40" s="7">
        <f t="shared" si="17"/>
        <v>0.11130835037281497</v>
      </c>
      <c r="W40" s="2"/>
      <c r="X40" s="6">
        <f t="shared" si="18"/>
        <v>-62936.130750000004</v>
      </c>
      <c r="Y40" s="2"/>
      <c r="Z40" s="7">
        <f t="shared" si="19"/>
        <v>-0.94148098116741641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1" si="20">IF(D$12=0,0,D43/D$12)</f>
        <v>0</v>
      </c>
      <c r="G43" s="1"/>
      <c r="H43" s="1">
        <f>SUM(OSRRefH22_2x_0)</f>
        <v>100</v>
      </c>
      <c r="I43" s="1"/>
      <c r="J43" s="5">
        <f t="shared" ref="J43:J51" si="21">IF(H$12=0,0,H43/H$12)</f>
        <v>2.2683966972144088E-3</v>
      </c>
      <c r="K43" s="1"/>
      <c r="L43" s="1">
        <f t="shared" ref="L43:L51" si="22">+D43-H43</f>
        <v>-100</v>
      </c>
      <c r="M43" s="1"/>
      <c r="N43" s="5">
        <f t="shared" ref="N43:N51" si="23">IF(H43=0,0,L43/H43)</f>
        <v>-1</v>
      </c>
      <c r="O43" s="13"/>
      <c r="P43" s="1">
        <f>SUM(OSRRefP22_2x_0)</f>
        <v>0</v>
      </c>
      <c r="Q43" s="1"/>
      <c r="R43" s="5">
        <f t="shared" ref="R43:R51" si="24">IF(P$12=0,0,P43/P$12)</f>
        <v>0</v>
      </c>
      <c r="S43" s="1"/>
      <c r="T43" s="1">
        <f>SUM(OSRRefT22_2x_0)</f>
        <v>1200</v>
      </c>
      <c r="U43" s="1"/>
      <c r="V43" s="5">
        <f t="shared" ref="V43:V51" si="25">IF(T$12=0,0,T43/T$12)</f>
        <v>1.9981151114115683E-3</v>
      </c>
      <c r="W43" s="1"/>
      <c r="X43" s="1">
        <f t="shared" ref="X43:X51" si="26">+P43-T43</f>
        <v>-1200</v>
      </c>
      <c r="Y43" s="1"/>
      <c r="Z43" s="5">
        <f t="shared" ref="Z43:Z51" si="27">IF(T43=0,0,X43/T43)</f>
        <v>-1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0"/>
        <v>0</v>
      </c>
      <c r="G44" s="2"/>
      <c r="H44" s="6">
        <v>100</v>
      </c>
      <c r="I44" s="2"/>
      <c r="J44" s="7">
        <f t="shared" si="21"/>
        <v>2.2683966972144088E-3</v>
      </c>
      <c r="K44" s="2"/>
      <c r="L44" s="6">
        <f t="shared" si="22"/>
        <v>-100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1200</v>
      </c>
      <c r="U44" s="2"/>
      <c r="V44" s="7">
        <f t="shared" si="25"/>
        <v>1.9981151114115683E-3</v>
      </c>
      <c r="W44" s="2"/>
      <c r="X44" s="6">
        <f t="shared" si="26"/>
        <v>-1200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-5189.17</v>
      </c>
      <c r="E45" s="1"/>
      <c r="F45" s="5">
        <f t="shared" si="20"/>
        <v>-0.20777457457457457</v>
      </c>
      <c r="G45" s="1"/>
      <c r="H45" s="1">
        <f>SUM(OSRRefH22_3x_0)</f>
        <v>2000</v>
      </c>
      <c r="I45" s="1"/>
      <c r="J45" s="5">
        <f t="shared" si="21"/>
        <v>4.5367933944288175E-2</v>
      </c>
      <c r="K45" s="1"/>
      <c r="L45" s="1">
        <f t="shared" si="22"/>
        <v>-7189.17</v>
      </c>
      <c r="M45" s="1"/>
      <c r="N45" s="5">
        <f t="shared" si="23"/>
        <v>-3.5945849999999999</v>
      </c>
      <c r="O45" s="13"/>
      <c r="P45" s="1">
        <f>SUM(OSRRefP22_3x_0)</f>
        <v>872.08</v>
      </c>
      <c r="Q45" s="1"/>
      <c r="R45" s="5">
        <f t="shared" si="24"/>
        <v>1.6085258806885778E-3</v>
      </c>
      <c r="S45" s="1"/>
      <c r="T45" s="1">
        <f>SUM(OSRRefT22_3x_0)</f>
        <v>21700</v>
      </c>
      <c r="U45" s="1"/>
      <c r="V45" s="5">
        <f t="shared" si="25"/>
        <v>3.6132581598025862E-2</v>
      </c>
      <c r="W45" s="1"/>
      <c r="X45" s="1">
        <f t="shared" si="26"/>
        <v>-20827.919999999998</v>
      </c>
      <c r="Y45" s="1"/>
      <c r="Z45" s="5">
        <f t="shared" si="27"/>
        <v>-0.95981198156682024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-5189.17</v>
      </c>
      <c r="E46" s="2"/>
      <c r="F46" s="7">
        <f t="shared" si="20"/>
        <v>-0.20777457457457457</v>
      </c>
      <c r="G46" s="2"/>
      <c r="H46" s="6">
        <v>2000</v>
      </c>
      <c r="I46" s="2"/>
      <c r="J46" s="7">
        <f t="shared" si="21"/>
        <v>4.5367933944288175E-2</v>
      </c>
      <c r="K46" s="2"/>
      <c r="L46" s="6">
        <f t="shared" si="22"/>
        <v>-7189.17</v>
      </c>
      <c r="M46" s="2"/>
      <c r="N46" s="7">
        <f t="shared" si="23"/>
        <v>-3.5945849999999999</v>
      </c>
      <c r="O46" s="11"/>
      <c r="P46" s="6">
        <v>872.08</v>
      </c>
      <c r="Q46" s="2"/>
      <c r="R46" s="7">
        <f t="shared" si="24"/>
        <v>1.6085258806885778E-3</v>
      </c>
      <c r="S46" s="2"/>
      <c r="T46" s="6">
        <v>21700</v>
      </c>
      <c r="U46" s="2"/>
      <c r="V46" s="7">
        <f t="shared" si="25"/>
        <v>3.6132581598025862E-2</v>
      </c>
      <c r="W46" s="2"/>
      <c r="X46" s="6">
        <f t="shared" si="26"/>
        <v>-20827.919999999998</v>
      </c>
      <c r="Y46" s="2"/>
      <c r="Z46" s="7">
        <f t="shared" si="27"/>
        <v>-0.95981198156682024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si="20"/>
        <v>0</v>
      </c>
      <c r="G47" s="1"/>
      <c r="H47" s="1">
        <f>SUM(OSRRefH22_4x_0)</f>
        <v>20</v>
      </c>
      <c r="I47" s="1"/>
      <c r="J47" s="5">
        <f t="shared" si="21"/>
        <v>4.5367933944288175E-4</v>
      </c>
      <c r="K47" s="1"/>
      <c r="L47" s="1">
        <f t="shared" si="22"/>
        <v>-20</v>
      </c>
      <c r="M47" s="1"/>
      <c r="N47" s="5">
        <f t="shared" si="23"/>
        <v>-1</v>
      </c>
      <c r="O47" s="13"/>
      <c r="P47" s="1">
        <f>SUM(OSRRefP22_4x_0)</f>
        <v>0</v>
      </c>
      <c r="Q47" s="1"/>
      <c r="R47" s="5">
        <f t="shared" si="24"/>
        <v>0</v>
      </c>
      <c r="S47" s="1"/>
      <c r="T47" s="1">
        <f>SUM(OSRRefT22_4x_0)</f>
        <v>240</v>
      </c>
      <c r="U47" s="1"/>
      <c r="V47" s="5">
        <f t="shared" si="25"/>
        <v>3.9962302228231368E-4</v>
      </c>
      <c r="W47" s="1"/>
      <c r="X47" s="1">
        <f t="shared" si="26"/>
        <v>-240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0"/>
        <v>0</v>
      </c>
      <c r="G48" s="2"/>
      <c r="H48" s="6">
        <v>20</v>
      </c>
      <c r="I48" s="2"/>
      <c r="J48" s="7">
        <f t="shared" si="21"/>
        <v>4.5367933944288175E-4</v>
      </c>
      <c r="K48" s="2"/>
      <c r="L48" s="6">
        <f t="shared" si="22"/>
        <v>-20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240</v>
      </c>
      <c r="U48" s="2"/>
      <c r="V48" s="7">
        <f t="shared" si="25"/>
        <v>3.9962302228231368E-4</v>
      </c>
      <c r="W48" s="2"/>
      <c r="X48" s="6">
        <f t="shared" si="26"/>
        <v>-240</v>
      </c>
      <c r="Y48" s="2"/>
      <c r="Z48" s="7">
        <f t="shared" si="27"/>
        <v>-1</v>
      </c>
    </row>
    <row r="49" spans="1:26" s="27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SUM(OSRRefD22_5x_0)</f>
        <v>0</v>
      </c>
      <c r="E49" s="1"/>
      <c r="F49" s="5">
        <f t="shared" si="20"/>
        <v>0</v>
      </c>
      <c r="G49" s="1"/>
      <c r="H49" s="1">
        <f>SUM(OSRRefH22_5x_0)</f>
        <v>10</v>
      </c>
      <c r="I49" s="1"/>
      <c r="J49" s="5">
        <f t="shared" si="21"/>
        <v>2.2683966972144088E-4</v>
      </c>
      <c r="K49" s="1"/>
      <c r="L49" s="1">
        <f t="shared" si="22"/>
        <v>-10</v>
      </c>
      <c r="M49" s="1"/>
      <c r="N49" s="5">
        <f t="shared" si="23"/>
        <v>-1</v>
      </c>
      <c r="O49" s="13"/>
      <c r="P49" s="1">
        <f>SUM(OSRRefP22_5x_0)</f>
        <v>2.12</v>
      </c>
      <c r="Q49" s="1"/>
      <c r="R49" s="5">
        <f t="shared" si="24"/>
        <v>3.9102775743736642E-6</v>
      </c>
      <c r="S49" s="1"/>
      <c r="T49" s="1">
        <f>SUM(OSRRefT22_5x_0)</f>
        <v>120</v>
      </c>
      <c r="U49" s="1"/>
      <c r="V49" s="5">
        <f t="shared" si="25"/>
        <v>1.9981151114115684E-4</v>
      </c>
      <c r="W49" s="1"/>
      <c r="X49" s="1">
        <f t="shared" si="26"/>
        <v>-117.88</v>
      </c>
      <c r="Y49" s="1"/>
      <c r="Z49" s="5">
        <f t="shared" si="27"/>
        <v>-0.98233333333333328</v>
      </c>
    </row>
    <row r="50" spans="1:26" s="24" customFormat="1" hidden="1" outlineLevel="2" x14ac:dyDescent="0.25">
      <c r="A50" s="26"/>
      <c r="B50" s="11" t="str">
        <f>CONCATENATE("          ", "6305", " - ", "FREIGHT OUT")</f>
        <v xml:space="preserve">          6305 - FREIGHT OUT</v>
      </c>
      <c r="C50" s="11"/>
      <c r="D50" s="6"/>
      <c r="E50" s="2"/>
      <c r="F50" s="7">
        <f t="shared" si="20"/>
        <v>0</v>
      </c>
      <c r="G50" s="2"/>
      <c r="H50" s="6"/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>
        <v>1.62</v>
      </c>
      <c r="Q50" s="2"/>
      <c r="R50" s="7">
        <f t="shared" si="24"/>
        <v>2.9880422973987433E-6</v>
      </c>
      <c r="S50" s="2"/>
      <c r="T50" s="6"/>
      <c r="U50" s="2"/>
      <c r="V50" s="7">
        <f t="shared" si="25"/>
        <v>0</v>
      </c>
      <c r="W50" s="2"/>
      <c r="X50" s="6">
        <f t="shared" si="26"/>
        <v>1.62</v>
      </c>
      <c r="Y50" s="2"/>
      <c r="Z50" s="7">
        <f t="shared" si="27"/>
        <v>0</v>
      </c>
    </row>
    <row r="51" spans="1:26" s="24" customFormat="1" hidden="1" outlineLevel="2" x14ac:dyDescent="0.25">
      <c r="A51" s="26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0"/>
        <v>0</v>
      </c>
      <c r="G51" s="2"/>
      <c r="H51" s="6">
        <v>10</v>
      </c>
      <c r="I51" s="2"/>
      <c r="J51" s="7">
        <f t="shared" si="21"/>
        <v>2.2683966972144088E-4</v>
      </c>
      <c r="K51" s="2"/>
      <c r="L51" s="6">
        <f t="shared" si="22"/>
        <v>-10</v>
      </c>
      <c r="M51" s="2"/>
      <c r="N51" s="7">
        <f t="shared" si="23"/>
        <v>-1</v>
      </c>
      <c r="O51" s="11"/>
      <c r="P51" s="6">
        <v>0.5</v>
      </c>
      <c r="Q51" s="2"/>
      <c r="R51" s="7">
        <f t="shared" si="24"/>
        <v>9.2223527697492073E-7</v>
      </c>
      <c r="S51" s="2"/>
      <c r="T51" s="6">
        <v>120</v>
      </c>
      <c r="U51" s="2"/>
      <c r="V51" s="7">
        <f t="shared" si="25"/>
        <v>1.9981151114115684E-4</v>
      </c>
      <c r="W51" s="2"/>
      <c r="X51" s="6">
        <f t="shared" si="26"/>
        <v>-119.5</v>
      </c>
      <c r="Y51" s="2"/>
      <c r="Z51" s="7">
        <f t="shared" si="27"/>
        <v>-0.99583333333333335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SUM(OSRRefD22_6x_0)</f>
        <v>0</v>
      </c>
      <c r="E52" s="1"/>
      <c r="F52" s="5">
        <f t="shared" ref="F52:F62" si="28">IF(D$12=0,0,D52/D$12)</f>
        <v>0</v>
      </c>
      <c r="G52" s="1"/>
      <c r="H52" s="1">
        <f>SUM(OSRRefH22_6x_0)</f>
        <v>50</v>
      </c>
      <c r="I52" s="1"/>
      <c r="J52" s="5">
        <f t="shared" ref="J52:J62" si="29">IF(H$12=0,0,H52/H$12)</f>
        <v>1.1341983486072044E-3</v>
      </c>
      <c r="K52" s="1"/>
      <c r="L52" s="1">
        <f t="shared" ref="L52:L62" si="30">+D52-H52</f>
        <v>-50</v>
      </c>
      <c r="M52" s="1"/>
      <c r="N52" s="5">
        <f t="shared" ref="N52:N62" si="31">IF(H52=0,0,L52/H52)</f>
        <v>-1</v>
      </c>
      <c r="O52" s="13"/>
      <c r="P52" s="1">
        <f>SUM(OSRRefP22_6x_0)</f>
        <v>0</v>
      </c>
      <c r="Q52" s="1"/>
      <c r="R52" s="5">
        <f t="shared" ref="R52:R62" si="32">IF(P$12=0,0,P52/P$12)</f>
        <v>0</v>
      </c>
      <c r="S52" s="1"/>
      <c r="T52" s="1">
        <f>SUM(OSRRefT22_6x_0)</f>
        <v>600</v>
      </c>
      <c r="U52" s="1"/>
      <c r="V52" s="5">
        <f t="shared" ref="V52:V62" si="33">IF(T$12=0,0,T52/T$12)</f>
        <v>9.9905755570578415E-4</v>
      </c>
      <c r="W52" s="1"/>
      <c r="X52" s="1">
        <f t="shared" ref="X52:X62" si="34">+P52-T52</f>
        <v>-600</v>
      </c>
      <c r="Y52" s="1"/>
      <c r="Z52" s="5">
        <f t="shared" ref="Z52:Z62" si="35">IF(T52=0,0,X52/T52)</f>
        <v>-1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8"/>
        <v>0</v>
      </c>
      <c r="G53" s="2"/>
      <c r="H53" s="6">
        <v>50</v>
      </c>
      <c r="I53" s="2"/>
      <c r="J53" s="7">
        <f t="shared" si="29"/>
        <v>1.1341983486072044E-3</v>
      </c>
      <c r="K53" s="2"/>
      <c r="L53" s="6">
        <f t="shared" si="30"/>
        <v>-50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600</v>
      </c>
      <c r="U53" s="2"/>
      <c r="V53" s="7">
        <f t="shared" si="33"/>
        <v>9.9905755570578415E-4</v>
      </c>
      <c r="W53" s="2"/>
      <c r="X53" s="6">
        <f t="shared" si="34"/>
        <v>-600</v>
      </c>
      <c r="Y53" s="2"/>
      <c r="Z53" s="7">
        <f t="shared" si="35"/>
        <v>-1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SUM(OSRRefD22_7x_0)</f>
        <v>62.28</v>
      </c>
      <c r="E54" s="1"/>
      <c r="F54" s="5">
        <f t="shared" si="28"/>
        <v>2.4936936936936936E-3</v>
      </c>
      <c r="G54" s="1"/>
      <c r="H54" s="1">
        <f>SUM(OSRRefH22_7x_0)</f>
        <v>33</v>
      </c>
      <c r="I54" s="1"/>
      <c r="J54" s="5">
        <f t="shared" si="29"/>
        <v>7.4857091008075495E-4</v>
      </c>
      <c r="K54" s="1"/>
      <c r="L54" s="1">
        <f t="shared" si="30"/>
        <v>29.28</v>
      </c>
      <c r="M54" s="1"/>
      <c r="N54" s="5">
        <f t="shared" si="31"/>
        <v>0.88727272727272732</v>
      </c>
      <c r="O54" s="13"/>
      <c r="P54" s="1">
        <f>SUM(OSRRefP22_7x_0)</f>
        <v>381.39</v>
      </c>
      <c r="Q54" s="1"/>
      <c r="R54" s="5">
        <f t="shared" si="32"/>
        <v>7.0346262457092999E-4</v>
      </c>
      <c r="S54" s="1"/>
      <c r="T54" s="1">
        <f>SUM(OSRRefT22_7x_0)</f>
        <v>396</v>
      </c>
      <c r="U54" s="1"/>
      <c r="V54" s="5">
        <f t="shared" si="33"/>
        <v>6.5937798676581755E-4</v>
      </c>
      <c r="W54" s="1"/>
      <c r="X54" s="1">
        <f t="shared" si="34"/>
        <v>-14.610000000000014</v>
      </c>
      <c r="Y54" s="1"/>
      <c r="Z54" s="5">
        <f t="shared" si="35"/>
        <v>-3.689393939393943E-2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62.28</v>
      </c>
      <c r="E55" s="2"/>
      <c r="F55" s="7">
        <f t="shared" si="28"/>
        <v>2.4936936936936936E-3</v>
      </c>
      <c r="G55" s="2"/>
      <c r="H55" s="6">
        <v>33</v>
      </c>
      <c r="I55" s="2"/>
      <c r="J55" s="7">
        <f t="shared" si="29"/>
        <v>7.4857091008075495E-4</v>
      </c>
      <c r="K55" s="2"/>
      <c r="L55" s="6">
        <f t="shared" si="30"/>
        <v>29.28</v>
      </c>
      <c r="M55" s="2"/>
      <c r="N55" s="7">
        <f t="shared" si="31"/>
        <v>0.88727272727272732</v>
      </c>
      <c r="O55" s="11"/>
      <c r="P55" s="6">
        <v>381.39</v>
      </c>
      <c r="Q55" s="2"/>
      <c r="R55" s="7">
        <f t="shared" si="32"/>
        <v>7.0346262457092999E-4</v>
      </c>
      <c r="S55" s="2"/>
      <c r="T55" s="6">
        <v>396</v>
      </c>
      <c r="U55" s="2"/>
      <c r="V55" s="7">
        <f t="shared" si="33"/>
        <v>6.5937798676581755E-4</v>
      </c>
      <c r="W55" s="2"/>
      <c r="X55" s="6">
        <f t="shared" si="34"/>
        <v>-14.610000000000014</v>
      </c>
      <c r="Y55" s="2"/>
      <c r="Z55" s="7">
        <f t="shared" si="35"/>
        <v>-3.689393939393943E-2</v>
      </c>
    </row>
    <row r="56" spans="1:26" s="27" customFormat="1" outlineLevel="1" collapsed="1" x14ac:dyDescent="0.25">
      <c r="A56" s="25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800</v>
      </c>
      <c r="E56" s="1"/>
      <c r="F56" s="5">
        <f t="shared" si="28"/>
        <v>3.2032032032032032E-2</v>
      </c>
      <c r="G56" s="1"/>
      <c r="H56" s="1">
        <f>SUM(OSRRefH22_8x_0)</f>
        <v>800</v>
      </c>
      <c r="I56" s="1"/>
      <c r="J56" s="5">
        <f t="shared" si="29"/>
        <v>1.8147173577715271E-2</v>
      </c>
      <c r="K56" s="1"/>
      <c r="L56" s="1">
        <f t="shared" si="30"/>
        <v>0</v>
      </c>
      <c r="M56" s="1"/>
      <c r="N56" s="5">
        <f t="shared" si="31"/>
        <v>0</v>
      </c>
      <c r="O56" s="13"/>
      <c r="P56" s="1">
        <f>SUM(OSRRefP22_8x_0)</f>
        <v>9600</v>
      </c>
      <c r="Q56" s="1"/>
      <c r="R56" s="5">
        <f t="shared" si="32"/>
        <v>1.7706917317918479E-2</v>
      </c>
      <c r="S56" s="1"/>
      <c r="T56" s="1">
        <f>SUM(OSRRefT22_8x_0)</f>
        <v>9600</v>
      </c>
      <c r="U56" s="1"/>
      <c r="V56" s="5">
        <f t="shared" si="33"/>
        <v>1.5984920891292546E-2</v>
      </c>
      <c r="W56" s="1"/>
      <c r="X56" s="1">
        <f t="shared" si="34"/>
        <v>0</v>
      </c>
      <c r="Y56" s="1"/>
      <c r="Z56" s="5">
        <f t="shared" si="35"/>
        <v>0</v>
      </c>
    </row>
    <row r="57" spans="1:26" s="24" customFormat="1" hidden="1" outlineLevel="2" x14ac:dyDescent="0.25">
      <c r="A57" s="26"/>
      <c r="B57" s="11" t="str">
        <f>CONCATENATE("          ", "6273", " - ", "RENT")</f>
        <v xml:space="preserve">          6273 - RENT</v>
      </c>
      <c r="C57" s="11"/>
      <c r="D57" s="6">
        <v>800</v>
      </c>
      <c r="E57" s="2"/>
      <c r="F57" s="7">
        <f t="shared" si="28"/>
        <v>3.2032032032032032E-2</v>
      </c>
      <c r="G57" s="2"/>
      <c r="H57" s="6">
        <v>800</v>
      </c>
      <c r="I57" s="2"/>
      <c r="J57" s="7">
        <f t="shared" si="29"/>
        <v>1.8147173577715271E-2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9600</v>
      </c>
      <c r="Q57" s="2"/>
      <c r="R57" s="7">
        <f t="shared" si="32"/>
        <v>1.7706917317918479E-2</v>
      </c>
      <c r="S57" s="2"/>
      <c r="T57" s="6">
        <v>9600</v>
      </c>
      <c r="U57" s="2"/>
      <c r="V57" s="7">
        <f t="shared" si="33"/>
        <v>1.5984920891292546E-2</v>
      </c>
      <c r="W57" s="2"/>
      <c r="X57" s="6">
        <f t="shared" si="34"/>
        <v>0</v>
      </c>
      <c r="Y57" s="2"/>
      <c r="Z57" s="7">
        <f t="shared" si="35"/>
        <v>0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1500</v>
      </c>
      <c r="I58" s="1"/>
      <c r="J58" s="5">
        <f t="shared" si="29"/>
        <v>3.4025950458216131E-2</v>
      </c>
      <c r="K58" s="1"/>
      <c r="L58" s="1">
        <f t="shared" si="30"/>
        <v>-1500</v>
      </c>
      <c r="M58" s="1"/>
      <c r="N58" s="5">
        <f t="shared" si="31"/>
        <v>-1</v>
      </c>
      <c r="O58" s="13"/>
      <c r="P58" s="1">
        <f>SUM(OSRRefP22_9x_0)</f>
        <v>154932.13</v>
      </c>
      <c r="Q58" s="1"/>
      <c r="R58" s="5">
        <f t="shared" si="32"/>
        <v>0.28576775164572887</v>
      </c>
      <c r="S58" s="1"/>
      <c r="T58" s="1">
        <f>SUM(OSRRefT22_9x_0)</f>
        <v>143000</v>
      </c>
      <c r="U58" s="1"/>
      <c r="V58" s="5">
        <f t="shared" si="33"/>
        <v>0.23810871744321191</v>
      </c>
      <c r="W58" s="1"/>
      <c r="X58" s="1">
        <f t="shared" si="34"/>
        <v>11932.130000000005</v>
      </c>
      <c r="Y58" s="1"/>
      <c r="Z58" s="5">
        <f t="shared" si="35"/>
        <v>8.3441468531468568E-2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5436</v>
      </c>
      <c r="Q59" s="2"/>
      <c r="R59" s="7">
        <f t="shared" si="32"/>
        <v>1.0026541931271338E-2</v>
      </c>
      <c r="S59" s="2"/>
      <c r="T59" s="6">
        <v>125000</v>
      </c>
      <c r="U59" s="2"/>
      <c r="V59" s="7">
        <f t="shared" si="33"/>
        <v>0.20813699077203837</v>
      </c>
      <c r="W59" s="2"/>
      <c r="X59" s="6">
        <f t="shared" si="34"/>
        <v>-119564</v>
      </c>
      <c r="Y59" s="2"/>
      <c r="Z59" s="7">
        <f t="shared" si="35"/>
        <v>-0.95651200000000003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28"/>
        <v>0</v>
      </c>
      <c r="G60" s="2"/>
      <c r="H60" s="6">
        <v>1500</v>
      </c>
      <c r="I60" s="2"/>
      <c r="J60" s="7">
        <f t="shared" si="29"/>
        <v>3.4025950458216131E-2</v>
      </c>
      <c r="K60" s="2"/>
      <c r="L60" s="6">
        <f t="shared" si="30"/>
        <v>-1500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18000</v>
      </c>
      <c r="U60" s="2"/>
      <c r="V60" s="7">
        <f t="shared" si="33"/>
        <v>2.9971726671173527E-2</v>
      </c>
      <c r="W60" s="2"/>
      <c r="X60" s="6">
        <f t="shared" si="34"/>
        <v>-18000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142934.13</v>
      </c>
      <c r="Q61" s="2"/>
      <c r="R61" s="7">
        <f t="shared" si="32"/>
        <v>0.26363779393943865</v>
      </c>
      <c r="S61" s="2"/>
      <c r="T61" s="6"/>
      <c r="U61" s="2"/>
      <c r="V61" s="7">
        <f t="shared" si="33"/>
        <v>0</v>
      </c>
      <c r="W61" s="2"/>
      <c r="X61" s="6">
        <f t="shared" si="34"/>
        <v>142934.13</v>
      </c>
      <c r="Y61" s="2"/>
      <c r="Z61" s="7">
        <f t="shared" si="35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6562</v>
      </c>
      <c r="Q62" s="2"/>
      <c r="R62" s="7">
        <f t="shared" si="32"/>
        <v>1.2103415775018859E-2</v>
      </c>
      <c r="S62" s="2"/>
      <c r="T62" s="6"/>
      <c r="U62" s="2"/>
      <c r="V62" s="7">
        <f t="shared" si="33"/>
        <v>0</v>
      </c>
      <c r="W62" s="2"/>
      <c r="X62" s="6">
        <f t="shared" si="34"/>
        <v>6562</v>
      </c>
      <c r="Y62" s="2"/>
      <c r="Z62" s="7">
        <f t="shared" si="35"/>
        <v>0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7" si="36">IF(D$12=0,0,D63/D$12)</f>
        <v>0</v>
      </c>
      <c r="G63" s="1"/>
      <c r="H63" s="1">
        <f>SUM(OSRRefH22_10x_0)</f>
        <v>0</v>
      </c>
      <c r="I63" s="1"/>
      <c r="J63" s="5">
        <f t="shared" ref="J63:J67" si="37">IF(H$12=0,0,H63/H$12)</f>
        <v>0</v>
      </c>
      <c r="K63" s="1"/>
      <c r="L63" s="1">
        <f t="shared" ref="L63:L67" si="38">+D63-H63</f>
        <v>0</v>
      </c>
      <c r="M63" s="1"/>
      <c r="N63" s="5">
        <f t="shared" ref="N63:N67" si="39">IF(H63=0,0,L63/H63)</f>
        <v>0</v>
      </c>
      <c r="O63" s="13"/>
      <c r="P63" s="1">
        <f>SUM(OSRRefP22_10x_0)</f>
        <v>0</v>
      </c>
      <c r="Q63" s="1"/>
      <c r="R63" s="5">
        <f t="shared" ref="R63:R67" si="40">IF(P$12=0,0,P63/P$12)</f>
        <v>0</v>
      </c>
      <c r="S63" s="1"/>
      <c r="T63" s="1">
        <f>SUM(OSRRefT22_10x_0)</f>
        <v>850</v>
      </c>
      <c r="U63" s="1"/>
      <c r="V63" s="5">
        <f t="shared" ref="V63:V67" si="41">IF(T$12=0,0,T63/T$12)</f>
        <v>1.4153315372498611E-3</v>
      </c>
      <c r="W63" s="1"/>
      <c r="X63" s="1">
        <f t="shared" ref="X63:X67" si="42">+P63-T63</f>
        <v>-850</v>
      </c>
      <c r="Y63" s="1"/>
      <c r="Z63" s="5">
        <f t="shared" ref="Z63:Z67" si="43">IF(T63=0,0,X63/T63)</f>
        <v>-1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850</v>
      </c>
      <c r="U64" s="2"/>
      <c r="V64" s="7">
        <f t="shared" si="41"/>
        <v>1.4153315372498611E-3</v>
      </c>
      <c r="W64" s="2"/>
      <c r="X64" s="6">
        <f t="shared" si="42"/>
        <v>-850</v>
      </c>
      <c r="Y64" s="2"/>
      <c r="Z64" s="7">
        <f t="shared" si="43"/>
        <v>-1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SUM(OSRRefD22_11x_0)</f>
        <v>4251.9399999999996</v>
      </c>
      <c r="E65" s="1"/>
      <c r="F65" s="5">
        <f t="shared" si="36"/>
        <v>0.17024784784784783</v>
      </c>
      <c r="G65" s="1"/>
      <c r="H65" s="1">
        <f>SUM(OSRRefH22_11x_0)</f>
        <v>7000</v>
      </c>
      <c r="I65" s="1"/>
      <c r="J65" s="5">
        <f t="shared" si="37"/>
        <v>0.15878776880500861</v>
      </c>
      <c r="K65" s="1"/>
      <c r="L65" s="1">
        <f t="shared" si="38"/>
        <v>-2748.0600000000004</v>
      </c>
      <c r="M65" s="1"/>
      <c r="N65" s="5">
        <f t="shared" si="39"/>
        <v>-0.39258000000000004</v>
      </c>
      <c r="O65" s="13"/>
      <c r="P65" s="1">
        <f>SUM(OSRRefP22_11x_0)</f>
        <v>53091.53</v>
      </c>
      <c r="Q65" s="1"/>
      <c r="R65" s="5">
        <f t="shared" si="40"/>
        <v>9.792576374914462E-2</v>
      </c>
      <c r="S65" s="1"/>
      <c r="T65" s="1">
        <f>SUM(OSRRefT22_11x_0)</f>
        <v>84000</v>
      </c>
      <c r="U65" s="1"/>
      <c r="V65" s="5">
        <f t="shared" si="41"/>
        <v>0.13986805779880979</v>
      </c>
      <c r="W65" s="1"/>
      <c r="X65" s="1">
        <f t="shared" si="42"/>
        <v>-30908.47</v>
      </c>
      <c r="Y65" s="1"/>
      <c r="Z65" s="5">
        <f t="shared" si="43"/>
        <v>-0.36795797619047621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36"/>
        <v>0</v>
      </c>
      <c r="G66" s="2"/>
      <c r="H66" s="6">
        <v>7000</v>
      </c>
      <c r="I66" s="2"/>
      <c r="J66" s="7">
        <f t="shared" si="37"/>
        <v>0.15878776880500861</v>
      </c>
      <c r="K66" s="2"/>
      <c r="L66" s="6">
        <f t="shared" si="38"/>
        <v>-7000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84000</v>
      </c>
      <c r="U66" s="2"/>
      <c r="V66" s="7">
        <f t="shared" si="41"/>
        <v>0.13986805779880979</v>
      </c>
      <c r="W66" s="2"/>
      <c r="X66" s="6">
        <f t="shared" si="42"/>
        <v>-84000</v>
      </c>
      <c r="Y66" s="2"/>
      <c r="Z66" s="7">
        <f t="shared" si="43"/>
        <v>-1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6">
        <v>4251.9399999999996</v>
      </c>
      <c r="E67" s="2"/>
      <c r="F67" s="7">
        <f t="shared" si="36"/>
        <v>0.17024784784784783</v>
      </c>
      <c r="G67" s="2"/>
      <c r="H67" s="6"/>
      <c r="I67" s="2"/>
      <c r="J67" s="7">
        <f t="shared" si="37"/>
        <v>0</v>
      </c>
      <c r="K67" s="2"/>
      <c r="L67" s="6">
        <f t="shared" si="38"/>
        <v>4251.9399999999996</v>
      </c>
      <c r="M67" s="2"/>
      <c r="N67" s="7">
        <f t="shared" si="39"/>
        <v>0</v>
      </c>
      <c r="O67" s="11"/>
      <c r="P67" s="6">
        <v>53091.53</v>
      </c>
      <c r="Q67" s="2"/>
      <c r="R67" s="7">
        <f t="shared" si="40"/>
        <v>9.792576374914462E-2</v>
      </c>
      <c r="S67" s="2"/>
      <c r="T67" s="6"/>
      <c r="U67" s="2"/>
      <c r="V67" s="7">
        <f t="shared" si="41"/>
        <v>0</v>
      </c>
      <c r="W67" s="2"/>
      <c r="X67" s="6">
        <f t="shared" si="42"/>
        <v>53091.53</v>
      </c>
      <c r="Y67" s="2"/>
      <c r="Z67" s="7">
        <f t="shared" si="43"/>
        <v>0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SUM(OSRRefD22_12x_0)</f>
        <v>86.65</v>
      </c>
      <c r="E68" s="1"/>
      <c r="F68" s="5">
        <f t="shared" ref="F68:F71" si="44">IF(D$12=0,0,D68/D$12)</f>
        <v>3.4694694694694696E-3</v>
      </c>
      <c r="G68" s="1"/>
      <c r="H68" s="1">
        <f>SUM(OSRRefH22_12x_0)</f>
        <v>700</v>
      </c>
      <c r="I68" s="1"/>
      <c r="J68" s="5">
        <f t="shared" ref="J68:J71" si="45">IF(H$12=0,0,H68/H$12)</f>
        <v>1.587877688050086E-2</v>
      </c>
      <c r="K68" s="1"/>
      <c r="L68" s="1">
        <f t="shared" ref="L68:L71" si="46">+D68-H68</f>
        <v>-613.35</v>
      </c>
      <c r="M68" s="1"/>
      <c r="N68" s="5">
        <f t="shared" ref="N68:N71" si="47">IF(H68=0,0,L68/H68)</f>
        <v>-0.87621428571428572</v>
      </c>
      <c r="O68" s="13"/>
      <c r="P68" s="1">
        <f>SUM(OSRRefP22_12x_0)</f>
        <v>1973.38</v>
      </c>
      <c r="Q68" s="1"/>
      <c r="R68" s="5">
        <f t="shared" ref="R68:R71" si="48">IF(P$12=0,0,P68/P$12)</f>
        <v>3.6398413017535384E-3</v>
      </c>
      <c r="S68" s="1"/>
      <c r="T68" s="1">
        <f>SUM(OSRRefT22_12x_0)</f>
        <v>8400</v>
      </c>
      <c r="U68" s="1"/>
      <c r="V68" s="5">
        <f t="shared" ref="V68:V71" si="49">IF(T$12=0,0,T68/T$12)</f>
        <v>1.3986805779880979E-2</v>
      </c>
      <c r="W68" s="1"/>
      <c r="X68" s="1">
        <f t="shared" ref="X68:X71" si="50">+P68-T68</f>
        <v>-6426.62</v>
      </c>
      <c r="Y68" s="1"/>
      <c r="Z68" s="5">
        <f t="shared" ref="Z68:Z71" si="51">IF(T68=0,0,X68/T68)</f>
        <v>-0.76507380952380954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86.65</v>
      </c>
      <c r="E69" s="2"/>
      <c r="F69" s="7">
        <f t="shared" si="44"/>
        <v>3.4694694694694696E-3</v>
      </c>
      <c r="G69" s="2"/>
      <c r="H69" s="6">
        <v>700</v>
      </c>
      <c r="I69" s="2"/>
      <c r="J69" s="7">
        <f t="shared" si="45"/>
        <v>1.587877688050086E-2</v>
      </c>
      <c r="K69" s="2"/>
      <c r="L69" s="6">
        <f t="shared" si="46"/>
        <v>-613.35</v>
      </c>
      <c r="M69" s="2"/>
      <c r="N69" s="7">
        <f t="shared" si="47"/>
        <v>-0.87621428571428572</v>
      </c>
      <c r="O69" s="11"/>
      <c r="P69" s="6">
        <v>1973.38</v>
      </c>
      <c r="Q69" s="2"/>
      <c r="R69" s="7">
        <f t="shared" si="48"/>
        <v>3.6398413017535384E-3</v>
      </c>
      <c r="S69" s="2"/>
      <c r="T69" s="6">
        <v>8400</v>
      </c>
      <c r="U69" s="2"/>
      <c r="V69" s="7">
        <f t="shared" si="49"/>
        <v>1.3986805779880979E-2</v>
      </c>
      <c r="W69" s="2"/>
      <c r="X69" s="6">
        <f t="shared" si="50"/>
        <v>-6426.62</v>
      </c>
      <c r="Y69" s="2"/>
      <c r="Z69" s="7">
        <f t="shared" si="51"/>
        <v>-0.76507380952380954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SUM(OSRRefD22_13x_0)</f>
        <v>0</v>
      </c>
      <c r="E70" s="1"/>
      <c r="F70" s="5">
        <f t="shared" si="44"/>
        <v>0</v>
      </c>
      <c r="G70" s="1"/>
      <c r="H70" s="1">
        <f>SUM(OSRRefH22_13x_0)</f>
        <v>0</v>
      </c>
      <c r="I70" s="1"/>
      <c r="J70" s="5">
        <f t="shared" si="45"/>
        <v>0</v>
      </c>
      <c r="K70" s="1"/>
      <c r="L70" s="1">
        <f t="shared" si="46"/>
        <v>0</v>
      </c>
      <c r="M70" s="1"/>
      <c r="N70" s="5">
        <f t="shared" si="47"/>
        <v>0</v>
      </c>
      <c r="O70" s="13"/>
      <c r="P70" s="1">
        <f>SUM(OSRRefP22_13x_0)</f>
        <v>0</v>
      </c>
      <c r="Q70" s="1"/>
      <c r="R70" s="5">
        <f t="shared" si="48"/>
        <v>0</v>
      </c>
      <c r="S70" s="1"/>
      <c r="T70" s="1">
        <f>SUM(OSRRefT22_13x_0)</f>
        <v>4500</v>
      </c>
      <c r="U70" s="1"/>
      <c r="V70" s="5">
        <f t="shared" si="49"/>
        <v>7.4929316677933818E-3</v>
      </c>
      <c r="W70" s="1"/>
      <c r="X70" s="1">
        <f t="shared" si="50"/>
        <v>-4500</v>
      </c>
      <c r="Y70" s="1"/>
      <c r="Z70" s="5">
        <f t="shared" si="51"/>
        <v>-1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4500</v>
      </c>
      <c r="U71" s="2"/>
      <c r="V71" s="7">
        <f t="shared" si="49"/>
        <v>7.4929316677933818E-3</v>
      </c>
      <c r="W71" s="2"/>
      <c r="X71" s="6">
        <f t="shared" si="50"/>
        <v>-4500</v>
      </c>
      <c r="Y71" s="2"/>
      <c r="Z71" s="7">
        <f t="shared" si="51"/>
        <v>-1</v>
      </c>
    </row>
    <row r="72" spans="1:26" s="61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293</v>
      </c>
      <c r="C73" s="10"/>
      <c r="D73" s="4">
        <f>SUM(OSRRefD25x_0)</f>
        <v>2753.29</v>
      </c>
      <c r="E73" s="4"/>
      <c r="F73" s="12">
        <f t="shared" ref="F73:F74" si="52">IF(D$12=0,0,D73/D$12)</f>
        <v>0.11024184184184184</v>
      </c>
      <c r="G73" s="4"/>
      <c r="H73" s="4">
        <f>SUM(OSRRefH25x_0)</f>
        <v>2500</v>
      </c>
      <c r="I73" s="4"/>
      <c r="J73" s="12">
        <f t="shared" ref="J73:J74" si="53">IF(H$12=0,0,H73/H$12)</f>
        <v>5.6709917430360218E-2</v>
      </c>
      <c r="K73" s="4"/>
      <c r="L73" s="4">
        <f t="shared" ref="L73:L74" si="54">+D73-H73</f>
        <v>253.28999999999996</v>
      </c>
      <c r="M73" s="4"/>
      <c r="N73" s="12">
        <f t="shared" ref="N73:N74" si="55">IF(H73=0,0,L73/H73)</f>
        <v>0.10131599999999999</v>
      </c>
      <c r="O73" s="10"/>
      <c r="P73" s="4">
        <f>SUM(OSRRefP25x_0)</f>
        <v>5251.64</v>
      </c>
      <c r="Q73" s="4"/>
      <c r="R73" s="12">
        <f t="shared" ref="R73:R74" si="56">IF(P$12=0,0,P73/P$12)</f>
        <v>9.6864953399451465E-3</v>
      </c>
      <c r="S73" s="4"/>
      <c r="T73" s="4">
        <f>SUM(OSRRefT25x_0)</f>
        <v>35650</v>
      </c>
      <c r="U73" s="4"/>
      <c r="V73" s="12">
        <f t="shared" ref="V73:V74" si="57">IF(T$12=0,0,T73/T$12)</f>
        <v>5.9360669768185347E-2</v>
      </c>
      <c r="W73" s="4"/>
      <c r="X73" s="4">
        <f t="shared" ref="X73:X74" si="58">+P73-T73</f>
        <v>-30398.36</v>
      </c>
      <c r="Y73" s="4"/>
      <c r="Z73" s="12">
        <f t="shared" ref="Z73:Z74" si="59">IF(T73=0,0,X73/T73)</f>
        <v>-0.85268892005610097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--2753.29</f>
        <v>2753.29</v>
      </c>
      <c r="E74" s="2"/>
      <c r="F74" s="19">
        <f t="shared" si="52"/>
        <v>0.11024184184184184</v>
      </c>
      <c r="G74" s="2"/>
      <c r="H74" s="2">
        <v>2500</v>
      </c>
      <c r="I74" s="2"/>
      <c r="J74" s="19">
        <f t="shared" si="53"/>
        <v>5.6709917430360218E-2</v>
      </c>
      <c r="K74" s="2"/>
      <c r="L74" s="2">
        <f t="shared" si="54"/>
        <v>253.28999999999996</v>
      </c>
      <c r="M74" s="2"/>
      <c r="N74" s="19">
        <f t="shared" si="55"/>
        <v>0.10131599999999999</v>
      </c>
      <c r="O74" s="11"/>
      <c r="P74" s="2">
        <f>--5251.64</f>
        <v>5251.64</v>
      </c>
      <c r="Q74" s="2"/>
      <c r="R74" s="19">
        <f t="shared" si="56"/>
        <v>9.6864953399451465E-3</v>
      </c>
      <c r="S74" s="2"/>
      <c r="T74" s="2">
        <v>35650</v>
      </c>
      <c r="U74" s="2"/>
      <c r="V74" s="19">
        <f t="shared" si="57"/>
        <v>5.9360669768185347E-2</v>
      </c>
      <c r="W74" s="2"/>
      <c r="X74" s="2">
        <f t="shared" si="58"/>
        <v>-30398.36</v>
      </c>
      <c r="Y74" s="2"/>
      <c r="Z74" s="19">
        <f t="shared" si="59"/>
        <v>-0.85268892005610097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277</v>
      </c>
      <c r="C76" s="28"/>
      <c r="D76" s="20">
        <f>+D18-D20+D73</f>
        <v>10578.43</v>
      </c>
      <c r="E76" s="14"/>
      <c r="F76" s="22">
        <f>IF(D$12=0,0,D76/D$12)</f>
        <v>0.42356076076076077</v>
      </c>
      <c r="G76" s="14"/>
      <c r="H76" s="20">
        <f>+H18-H20+H73</f>
        <v>7661.6598191346129</v>
      </c>
      <c r="I76" s="14"/>
      <c r="J76" s="22">
        <f>IF(H$12=0,0,H76/H$12)</f>
        <v>0.17379683828905301</v>
      </c>
      <c r="K76" s="16"/>
      <c r="L76" s="20">
        <f>+D76-H76</f>
        <v>2916.7701808653874</v>
      </c>
      <c r="M76" s="16"/>
      <c r="N76" s="22">
        <f>IF(H76=0,0,L76/H76)</f>
        <v>0.38069690507282761</v>
      </c>
      <c r="O76" s="29"/>
      <c r="P76" s="20">
        <f>+P18-P20+P73</f>
        <v>110484.68999999993</v>
      </c>
      <c r="Q76" s="14"/>
      <c r="R76" s="22">
        <f>IF(P$12=0,0,P76/P$12)</f>
        <v>0.20378575736727639</v>
      </c>
      <c r="S76" s="14"/>
      <c r="T76" s="20">
        <f>+T18-T20+T73</f>
        <v>91761.689903400023</v>
      </c>
      <c r="U76" s="14"/>
      <c r="V76" s="22">
        <f>IF(T$12=0,0,T76/T$12)</f>
        <v>0.15279201603720494</v>
      </c>
      <c r="W76" s="16"/>
      <c r="X76" s="20">
        <f>+P76-T76</f>
        <v>18723.000096599906</v>
      </c>
      <c r="Y76" s="16"/>
      <c r="Z76" s="22">
        <f>IF(T76=0,0,X76/T76)</f>
        <v>0.20403939940851251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128</v>
      </c>
      <c r="C78" s="10"/>
      <c r="D78" s="4">
        <v>39549.519999999997</v>
      </c>
      <c r="E78" s="4"/>
      <c r="F78" s="12">
        <f>IF(D$12=0,0,D78/D$12)</f>
        <v>1.5835643643643642</v>
      </c>
      <c r="G78" s="4"/>
      <c r="H78" s="4">
        <v>-1463</v>
      </c>
      <c r="I78" s="4"/>
      <c r="J78" s="12">
        <f>IF(H$12=0,0,H78/H$12)</f>
        <v>-3.3186643680246798E-2</v>
      </c>
      <c r="K78" s="4"/>
      <c r="L78" s="4">
        <f>+D78-H78</f>
        <v>41012.519999999997</v>
      </c>
      <c r="M78" s="4"/>
      <c r="N78" s="12">
        <f>IF(H78=0,0,L78/H78)</f>
        <v>-28.033164730006835</v>
      </c>
      <c r="O78" s="10"/>
      <c r="P78" s="4">
        <v>150067.26</v>
      </c>
      <c r="Q78" s="4"/>
      <c r="R78" s="12">
        <f>IF(P$12=0,0,P78/P$12)</f>
        <v>0.27679464218193489</v>
      </c>
      <c r="S78" s="4"/>
      <c r="T78" s="4">
        <v>101273</v>
      </c>
      <c r="U78" s="4"/>
      <c r="V78" s="12">
        <f>IF(T$12=0,0,T78/T$12)</f>
        <v>0.16862925973165313</v>
      </c>
      <c r="W78" s="4"/>
      <c r="X78" s="4">
        <f>+P78-T78</f>
        <v>48794.260000000009</v>
      </c>
      <c r="Y78" s="4"/>
      <c r="Z78" s="12">
        <f>IF(T78=0,0,X78/T78)</f>
        <v>0.48180916927512774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126</v>
      </c>
      <c r="C80" s="28"/>
      <c r="D80" s="34">
        <f>+D76-D78</f>
        <v>-28971.089999999997</v>
      </c>
      <c r="E80" s="14"/>
      <c r="F80" s="35">
        <f>IF(D$12=0,0,D80/D$12)</f>
        <v>-1.1600036036036034</v>
      </c>
      <c r="G80" s="14"/>
      <c r="H80" s="34">
        <f>+H76-H78</f>
        <v>9124.6598191346129</v>
      </c>
      <c r="I80" s="14"/>
      <c r="J80" s="35">
        <f>IF(H$12=0,0,H80/H$12)</f>
        <v>0.2069834819692998</v>
      </c>
      <c r="K80" s="16"/>
      <c r="L80" s="34">
        <f>D80-H80</f>
        <v>-38095.749819134609</v>
      </c>
      <c r="M80" s="16"/>
      <c r="N80" s="35">
        <f>IF(H80=0,0,L80/H80)</f>
        <v>-4.1750323381094141</v>
      </c>
      <c r="O80" s="29"/>
      <c r="P80" s="34">
        <f>+P76-P78</f>
        <v>-39582.57000000008</v>
      </c>
      <c r="Q80" s="14"/>
      <c r="R80" s="35">
        <f>IF(P$12=0,0,P80/P$12)</f>
        <v>-7.3008884814658517E-2</v>
      </c>
      <c r="S80" s="14"/>
      <c r="T80" s="34">
        <f>+T76-T78</f>
        <v>-9511.3100965999765</v>
      </c>
      <c r="U80" s="14"/>
      <c r="V80" s="35">
        <f>IF(T$12=0,0,T80/T$12)</f>
        <v>-1.5837243694448198E-2</v>
      </c>
      <c r="W80" s="16"/>
      <c r="X80" s="34">
        <f>P80-T80</f>
        <v>-30071.259903400103</v>
      </c>
      <c r="Y80" s="16"/>
      <c r="Z80" s="35">
        <f>IF(T80=0,0,X80/T80)</f>
        <v>3.1616317413675459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294</v>
      </c>
      <c r="C83" s="28"/>
      <c r="D83" s="33">
        <f>SUM(D80:D82)</f>
        <v>-28971.089999999997</v>
      </c>
      <c r="E83" s="14"/>
      <c r="F83" s="31">
        <f>IF(D$12=0,0,D83/D$12)</f>
        <v>-1.1600036036036034</v>
      </c>
      <c r="G83" s="14"/>
      <c r="H83" s="33">
        <f>SUM(H80:H82)</f>
        <v>9124.6598191346129</v>
      </c>
      <c r="I83" s="14"/>
      <c r="J83" s="31">
        <f>IF(H$12=0,0,H83/H$12)</f>
        <v>0.2069834819692998</v>
      </c>
      <c r="K83" s="16"/>
      <c r="L83" s="33">
        <f>+D83-H83</f>
        <v>-38095.749819134609</v>
      </c>
      <c r="M83" s="16"/>
      <c r="N83" s="31">
        <f>IF(H83=0,0,L83/H83)</f>
        <v>-4.1750323381094141</v>
      </c>
      <c r="O83" s="29"/>
      <c r="P83" s="33">
        <f>SUM(P80:P82)</f>
        <v>-39582.57000000008</v>
      </c>
      <c r="Q83" s="14"/>
      <c r="R83" s="31">
        <f>IF(P$12=0,0,P83/P$12)</f>
        <v>-7.3008884814658517E-2</v>
      </c>
      <c r="S83" s="14"/>
      <c r="T83" s="33">
        <f>SUM(T80:T82)</f>
        <v>-9511.3100965999765</v>
      </c>
      <c r="U83" s="14"/>
      <c r="V83" s="31">
        <f>IF(T$12=0,0,T83/T$12)</f>
        <v>-1.5837243694448198E-2</v>
      </c>
      <c r="W83" s="16"/>
      <c r="X83" s="33">
        <f>+P83-T83</f>
        <v>-30071.259903400103</v>
      </c>
      <c r="Y83" s="16"/>
      <c r="Z83" s="31">
        <f>IF(T83=0,0,X83/T83)</f>
        <v>3.1616317413675459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>
        <v>44454.686086111113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5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str">
        <f>CONCATENATE("Period ",RIGHT(202112,2),", ",2021)</f>
        <v>Period 12, 2021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44377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24975</v>
      </c>
      <c r="E12" s="4"/>
      <c r="F12" s="12"/>
      <c r="G12" s="4"/>
      <c r="H12" s="4">
        <f>SUM(OSRRefH13x_0)</f>
        <v>44084</v>
      </c>
      <c r="I12" s="4"/>
      <c r="J12" s="12"/>
      <c r="K12" s="4"/>
      <c r="L12" s="4">
        <f t="shared" ref="L12:L14" si="0">+D12-H12</f>
        <v>-19109</v>
      </c>
      <c r="M12" s="4"/>
      <c r="N12" s="12">
        <f t="shared" ref="N12:N14" si="1">IF(H12=0,0,L12/H12)</f>
        <v>-0.4334679248707014</v>
      </c>
      <c r="O12" s="10"/>
      <c r="P12" s="4">
        <f>SUM(OSRRefP13x_0)</f>
        <v>542161</v>
      </c>
      <c r="Q12" s="4"/>
      <c r="R12" s="12"/>
      <c r="S12" s="4"/>
      <c r="T12" s="4">
        <f>SUM(OSRRefT13x_0)</f>
        <v>600566</v>
      </c>
      <c r="U12" s="4"/>
      <c r="V12" s="12"/>
      <c r="W12" s="4"/>
      <c r="X12" s="4">
        <f t="shared" ref="X12:X14" si="2">+P12-T12</f>
        <v>-58405</v>
      </c>
      <c r="Y12" s="4"/>
      <c r="Z12" s="12">
        <f t="shared" ref="Z12:Z14" si="3">IF(T12=0,0,X12/T12)</f>
        <v>-9.7249927568327205E-2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1243</v>
      </c>
      <c r="I13" s="2"/>
      <c r="J13" s="19"/>
      <c r="K13" s="2"/>
      <c r="L13" s="2">
        <f t="shared" si="0"/>
        <v>-1243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1243</v>
      </c>
      <c r="U13" s="2"/>
      <c r="V13" s="19"/>
      <c r="W13" s="2"/>
      <c r="X13" s="2">
        <f t="shared" si="2"/>
        <v>-1243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--24975</f>
        <v>24975</v>
      </c>
      <c r="E14" s="2"/>
      <c r="F14" s="19"/>
      <c r="G14" s="2"/>
      <c r="H14" s="2">
        <v>42841</v>
      </c>
      <c r="I14" s="2"/>
      <c r="J14" s="19"/>
      <c r="K14" s="2"/>
      <c r="L14" s="2">
        <f t="shared" si="0"/>
        <v>-17866</v>
      </c>
      <c r="M14" s="2"/>
      <c r="N14" s="19">
        <f t="shared" si="1"/>
        <v>-0.41703041478957076</v>
      </c>
      <c r="O14" s="11"/>
      <c r="P14" s="2">
        <f>--542161</f>
        <v>542161</v>
      </c>
      <c r="Q14" s="2"/>
      <c r="R14" s="19"/>
      <c r="S14" s="2"/>
      <c r="T14" s="2">
        <v>599323</v>
      </c>
      <c r="U14" s="2"/>
      <c r="V14" s="19"/>
      <c r="W14" s="2"/>
      <c r="X14" s="2">
        <f t="shared" si="2"/>
        <v>-57162</v>
      </c>
      <c r="Y14" s="2"/>
      <c r="Z14" s="19">
        <f t="shared" si="3"/>
        <v>-9.5377617745356011E-2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257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D12-D16</f>
        <v>24975</v>
      </c>
      <c r="E18" s="14"/>
      <c r="F18" s="22">
        <f>IF(D$12=0,0,D18/D$12)</f>
        <v>1</v>
      </c>
      <c r="G18" s="14"/>
      <c r="H18" s="20">
        <f>H12-H16</f>
        <v>44084</v>
      </c>
      <c r="I18" s="14"/>
      <c r="J18" s="22">
        <f>IF(H$12=0,0,H18/H$12)</f>
        <v>1</v>
      </c>
      <c r="K18" s="16"/>
      <c r="L18" s="20">
        <f>+D18-H18</f>
        <v>-19109</v>
      </c>
      <c r="M18" s="16"/>
      <c r="N18" s="22">
        <f>IF(H18=0,0,L18/H18)</f>
        <v>-0.4334679248707014</v>
      </c>
      <c r="O18" s="29"/>
      <c r="P18" s="20">
        <f>P12-P16</f>
        <v>542161</v>
      </c>
      <c r="Q18" s="14"/>
      <c r="R18" s="22">
        <f>IF(P$12=0,0,P18/P$12)</f>
        <v>1</v>
      </c>
      <c r="S18" s="14"/>
      <c r="T18" s="20">
        <f>T12-T16</f>
        <v>600566</v>
      </c>
      <c r="U18" s="14"/>
      <c r="V18" s="22">
        <f>IF(T$12=0,0,T18/T$12)</f>
        <v>1</v>
      </c>
      <c r="W18" s="16"/>
      <c r="X18" s="20">
        <f>+P18-T18</f>
        <v>-58405</v>
      </c>
      <c r="Y18" s="16"/>
      <c r="Z18" s="22">
        <f>IF(T18=0,0,X18/T18)</f>
        <v>-9.7249927568327205E-2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>
        <f>SUM(OSRRefD22x_0)</f>
        <v>17149.86</v>
      </c>
      <c r="E20" s="21"/>
      <c r="F20" s="30">
        <f t="shared" ref="F20:F31" si="4">IF(D$12=0,0,D20/D$12)</f>
        <v>0.68668108108108106</v>
      </c>
      <c r="G20" s="21"/>
      <c r="H20" s="21">
        <f>SUM(OSRRefH22x_0)</f>
        <v>38922.340180865387</v>
      </c>
      <c r="I20" s="21"/>
      <c r="J20" s="30">
        <f t="shared" ref="J20:J31" si="5">IF(H$12=0,0,H20/H$12)</f>
        <v>0.88291307914130723</v>
      </c>
      <c r="K20" s="4"/>
      <c r="L20" s="21">
        <f t="shared" ref="L20:L31" si="6">+D20-H20</f>
        <v>-21772.480180865387</v>
      </c>
      <c r="M20" s="4"/>
      <c r="N20" s="30">
        <f t="shared" ref="N20:N31" si="7">IF(H20=0,0,L20/H20)</f>
        <v>-0.55938260854029931</v>
      </c>
      <c r="O20" s="10"/>
      <c r="P20" s="21">
        <f>SUM(OSRRefP22x_0)</f>
        <v>436927.95000000007</v>
      </c>
      <c r="Q20" s="21"/>
      <c r="R20" s="30">
        <f t="shared" ref="R20:R31" si="8">IF(P$12=0,0,P20/P$12)</f>
        <v>0.80590073797266881</v>
      </c>
      <c r="S20" s="21"/>
      <c r="T20" s="21">
        <f>SUM(OSRRefT22x_0)</f>
        <v>544454.31009659998</v>
      </c>
      <c r="U20" s="21"/>
      <c r="V20" s="30">
        <f t="shared" ref="V20:V31" si="9">IF(T$12=0,0,T20/T$12)</f>
        <v>0.90656865373098039</v>
      </c>
      <c r="W20" s="4"/>
      <c r="X20" s="21">
        <f t="shared" ref="X20:X31" si="10">+P20-T20</f>
        <v>-107526.36009659991</v>
      </c>
      <c r="Y20" s="4"/>
      <c r="Z20" s="30">
        <f t="shared" ref="Z20:Z31" si="11">IF(T20=0,0,X20/T20)</f>
        <v>-0.19749381739217384</v>
      </c>
    </row>
    <row r="21" spans="1:26" s="27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5094.6000000000013</v>
      </c>
      <c r="E21" s="1"/>
      <c r="F21" s="5">
        <f t="shared" si="4"/>
        <v>0.20398798798798803</v>
      </c>
      <c r="G21" s="1"/>
      <c r="H21" s="1">
        <f>SUM(OSRRefH22_0x_0)</f>
        <v>4946.0766616346173</v>
      </c>
      <c r="I21" s="1"/>
      <c r="J21" s="5">
        <f t="shared" si="5"/>
        <v>0.11219663963421235</v>
      </c>
      <c r="K21" s="1"/>
      <c r="L21" s="1">
        <f t="shared" si="6"/>
        <v>148.52333836538401</v>
      </c>
      <c r="M21" s="1"/>
      <c r="N21" s="5">
        <f t="shared" si="7"/>
        <v>3.0028515230554248E-2</v>
      </c>
      <c r="O21" s="13"/>
      <c r="P21" s="1">
        <f>SUM(OSRRefP22_0x_0)</f>
        <v>51863.28</v>
      </c>
      <c r="Q21" s="1"/>
      <c r="R21" s="5">
        <f t="shared" si="8"/>
        <v>9.5660292791255735E-2</v>
      </c>
      <c r="S21" s="1"/>
      <c r="T21" s="1">
        <f>SUM(OSRRefT22_0x_0)</f>
        <v>49993.9769466</v>
      </c>
      <c r="U21" s="1"/>
      <c r="V21" s="5">
        <f t="shared" si="9"/>
        <v>8.3244767347135873E-2</v>
      </c>
      <c r="W21" s="1"/>
      <c r="X21" s="1">
        <f t="shared" si="10"/>
        <v>1869.303053399999</v>
      </c>
      <c r="Y21" s="1"/>
      <c r="Z21" s="5">
        <f t="shared" si="11"/>
        <v>3.7390565175414135E-2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>
        <v>984.04</v>
      </c>
      <c r="E22" s="2"/>
      <c r="F22" s="7">
        <f t="shared" si="4"/>
        <v>3.9401001001001003E-2</v>
      </c>
      <c r="G22" s="2"/>
      <c r="H22" s="6">
        <v>1727.33140298077</v>
      </c>
      <c r="I22" s="2"/>
      <c r="J22" s="7">
        <f t="shared" si="5"/>
        <v>3.9182728495163098E-2</v>
      </c>
      <c r="K22" s="2"/>
      <c r="L22" s="6">
        <f t="shared" si="6"/>
        <v>-743.29140298077004</v>
      </c>
      <c r="M22" s="2"/>
      <c r="N22" s="7">
        <f t="shared" si="7"/>
        <v>-0.43031198396446041</v>
      </c>
      <c r="O22" s="11"/>
      <c r="P22" s="6">
        <v>12230.81</v>
      </c>
      <c r="Q22" s="2"/>
      <c r="R22" s="7">
        <f t="shared" si="8"/>
        <v>2.2559368895955261E-2</v>
      </c>
      <c r="S22" s="2"/>
      <c r="T22" s="6">
        <v>12209.8311471</v>
      </c>
      <c r="U22" s="2"/>
      <c r="V22" s="7">
        <f t="shared" si="9"/>
        <v>2.0330540102336796E-2</v>
      </c>
      <c r="W22" s="2"/>
      <c r="X22" s="6">
        <f t="shared" si="10"/>
        <v>20.978852899999765</v>
      </c>
      <c r="Y22" s="2"/>
      <c r="Z22" s="7">
        <f t="shared" si="11"/>
        <v>1.7181935316920847E-3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6">
        <v>81.56</v>
      </c>
      <c r="E23" s="2"/>
      <c r="F23" s="7">
        <f t="shared" si="4"/>
        <v>3.2656656656656659E-3</v>
      </c>
      <c r="G23" s="2"/>
      <c r="H23" s="6">
        <v>417.55691826923101</v>
      </c>
      <c r="I23" s="2"/>
      <c r="J23" s="7">
        <f t="shared" si="5"/>
        <v>9.4718473430095047E-3</v>
      </c>
      <c r="K23" s="2"/>
      <c r="L23" s="6">
        <f t="shared" si="6"/>
        <v>-335.996918269231</v>
      </c>
      <c r="M23" s="2"/>
      <c r="N23" s="7">
        <f t="shared" si="7"/>
        <v>-0.80467333570219524</v>
      </c>
      <c r="O23" s="11"/>
      <c r="P23" s="6">
        <v>975.2</v>
      </c>
      <c r="Q23" s="2"/>
      <c r="R23" s="7">
        <f t="shared" si="8"/>
        <v>1.7987276842118855E-3</v>
      </c>
      <c r="S23" s="2"/>
      <c r="T23" s="6">
        <v>4226.4830824999999</v>
      </c>
      <c r="U23" s="2"/>
      <c r="V23" s="7">
        <f t="shared" si="9"/>
        <v>7.0374997627238303E-3</v>
      </c>
      <c r="W23" s="2"/>
      <c r="X23" s="6">
        <f t="shared" si="10"/>
        <v>-3251.2830825000001</v>
      </c>
      <c r="Y23" s="2"/>
      <c r="Z23" s="7">
        <f t="shared" si="11"/>
        <v>-0.76926442600992007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6">
        <v>1207.95</v>
      </c>
      <c r="E24" s="2"/>
      <c r="F24" s="7">
        <f t="shared" si="4"/>
        <v>4.8366366366366369E-2</v>
      </c>
      <c r="G24" s="2"/>
      <c r="H24" s="6">
        <v>1025</v>
      </c>
      <c r="I24" s="2"/>
      <c r="J24" s="7">
        <f t="shared" si="5"/>
        <v>2.3251066146447692E-2</v>
      </c>
      <c r="K24" s="2"/>
      <c r="L24" s="6">
        <f t="shared" si="6"/>
        <v>182.95000000000005</v>
      </c>
      <c r="M24" s="2"/>
      <c r="N24" s="7">
        <f t="shared" si="7"/>
        <v>0.17848780487804883</v>
      </c>
      <c r="O24" s="11"/>
      <c r="P24" s="6">
        <v>14650.7</v>
      </c>
      <c r="Q24" s="2"/>
      <c r="R24" s="7">
        <f t="shared" si="8"/>
        <v>2.7022784744752944E-2</v>
      </c>
      <c r="S24" s="2"/>
      <c r="T24" s="6">
        <v>12632.5</v>
      </c>
      <c r="U24" s="2"/>
      <c r="V24" s="7">
        <f t="shared" si="9"/>
        <v>2.1034324287422197E-2</v>
      </c>
      <c r="W24" s="2"/>
      <c r="X24" s="6">
        <f t="shared" si="10"/>
        <v>2018.2000000000007</v>
      </c>
      <c r="Y24" s="2"/>
      <c r="Z24" s="7">
        <f t="shared" si="11"/>
        <v>0.15976251731644572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6">
        <v>33.54</v>
      </c>
      <c r="E25" s="2"/>
      <c r="F25" s="7">
        <f t="shared" si="4"/>
        <v>1.3429429429429429E-3</v>
      </c>
      <c r="G25" s="2"/>
      <c r="H25" s="6">
        <v>58.683675000000001</v>
      </c>
      <c r="I25" s="2"/>
      <c r="J25" s="7">
        <f t="shared" si="5"/>
        <v>1.3311785455040377E-3</v>
      </c>
      <c r="K25" s="2"/>
      <c r="L25" s="6">
        <f t="shared" si="6"/>
        <v>-25.143675000000002</v>
      </c>
      <c r="M25" s="2"/>
      <c r="N25" s="7">
        <f t="shared" si="7"/>
        <v>-0.42846115210064811</v>
      </c>
      <c r="O25" s="11"/>
      <c r="P25" s="6">
        <v>437.82</v>
      </c>
      <c r="Q25" s="2"/>
      <c r="R25" s="7">
        <f t="shared" si="8"/>
        <v>8.0754609793031958E-4</v>
      </c>
      <c r="S25" s="2"/>
      <c r="T25" s="6">
        <v>593.99221699999998</v>
      </c>
      <c r="U25" s="2"/>
      <c r="V25" s="7">
        <f t="shared" si="9"/>
        <v>9.890540207071329E-4</v>
      </c>
      <c r="W25" s="2"/>
      <c r="X25" s="6">
        <f t="shared" si="10"/>
        <v>-156.17221699999999</v>
      </c>
      <c r="Y25" s="2"/>
      <c r="Z25" s="7">
        <f t="shared" si="11"/>
        <v>-0.26291963519111228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6">
        <v>1013.88</v>
      </c>
      <c r="E26" s="2"/>
      <c r="F26" s="7">
        <f t="shared" si="4"/>
        <v>4.0595795795795794E-2</v>
      </c>
      <c r="G26" s="2"/>
      <c r="H26" s="6">
        <v>560.123953846154</v>
      </c>
      <c r="I26" s="2"/>
      <c r="J26" s="7">
        <f t="shared" si="5"/>
        <v>1.2705833269352916E-2</v>
      </c>
      <c r="K26" s="2"/>
      <c r="L26" s="6">
        <f t="shared" si="6"/>
        <v>453.756046153846</v>
      </c>
      <c r="M26" s="2"/>
      <c r="N26" s="7">
        <f t="shared" si="7"/>
        <v>0.81009934147268503</v>
      </c>
      <c r="O26" s="11"/>
      <c r="P26" s="6">
        <v>9355.51</v>
      </c>
      <c r="Q26" s="2"/>
      <c r="R26" s="7">
        <f t="shared" si="8"/>
        <v>1.7255962712183281E-2</v>
      </c>
      <c r="S26" s="2"/>
      <c r="T26" s="6">
        <v>7526.9586499999996</v>
      </c>
      <c r="U26" s="2"/>
      <c r="V26" s="7">
        <f t="shared" si="9"/>
        <v>1.2533108184612516E-2</v>
      </c>
      <c r="W26" s="2"/>
      <c r="X26" s="6">
        <f t="shared" si="10"/>
        <v>1828.5513500000006</v>
      </c>
      <c r="Y26" s="2"/>
      <c r="Z26" s="7">
        <f t="shared" si="11"/>
        <v>0.24293362499075249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4"/>
        <v>0</v>
      </c>
      <c r="G27" s="2"/>
      <c r="H27" s="6">
        <v>0</v>
      </c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0</v>
      </c>
      <c r="U27" s="2"/>
      <c r="V27" s="7">
        <f t="shared" si="9"/>
        <v>0</v>
      </c>
      <c r="W27" s="2"/>
      <c r="X27" s="6">
        <f t="shared" si="10"/>
        <v>0</v>
      </c>
      <c r="Y27" s="2"/>
      <c r="Z27" s="7">
        <f t="shared" si="11"/>
        <v>0</v>
      </c>
    </row>
    <row r="28" spans="1:26" s="24" customFormat="1" hidden="1" outlineLevel="2" x14ac:dyDescent="0.25">
      <c r="A28" s="26"/>
      <c r="B28" s="11" t="str">
        <f>CONCATENATE("          ", "6117", " - ", "RETIREMENT STAFF HOURLY")</f>
        <v xml:space="preserve">          6117 - RETIREMENT STAFF HOURLY</v>
      </c>
      <c r="C28" s="11"/>
      <c r="D28" s="6">
        <v>96.01</v>
      </c>
      <c r="E28" s="2"/>
      <c r="F28" s="7">
        <f t="shared" si="4"/>
        <v>3.8442442442442443E-3</v>
      </c>
      <c r="G28" s="2"/>
      <c r="H28" s="6"/>
      <c r="I28" s="2"/>
      <c r="J28" s="7">
        <f t="shared" si="5"/>
        <v>0</v>
      </c>
      <c r="K28" s="2"/>
      <c r="L28" s="6">
        <f t="shared" si="6"/>
        <v>96.01</v>
      </c>
      <c r="M28" s="2"/>
      <c r="N28" s="7">
        <f t="shared" si="7"/>
        <v>0</v>
      </c>
      <c r="O28" s="11"/>
      <c r="P28" s="6">
        <v>1083.72</v>
      </c>
      <c r="Q28" s="2"/>
      <c r="R28" s="7">
        <f t="shared" si="8"/>
        <v>1.9988896287265225E-3</v>
      </c>
      <c r="S28" s="2"/>
      <c r="T28" s="6"/>
      <c r="U28" s="2"/>
      <c r="V28" s="7">
        <f t="shared" si="9"/>
        <v>0</v>
      </c>
      <c r="W28" s="2"/>
      <c r="X28" s="6">
        <f t="shared" si="10"/>
        <v>1083.72</v>
      </c>
      <c r="Y28" s="2"/>
      <c r="Z28" s="7">
        <f t="shared" si="1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1040.1500000000001</v>
      </c>
      <c r="E29" s="2"/>
      <c r="F29" s="7">
        <f t="shared" si="4"/>
        <v>4.1647647647647654E-2</v>
      </c>
      <c r="G29" s="2"/>
      <c r="H29" s="6">
        <v>195.39207692307701</v>
      </c>
      <c r="I29" s="2"/>
      <c r="J29" s="7">
        <f t="shared" si="5"/>
        <v>4.4322674195417158E-3</v>
      </c>
      <c r="K29" s="2"/>
      <c r="L29" s="6">
        <f t="shared" si="6"/>
        <v>844.75792307692313</v>
      </c>
      <c r="M29" s="2"/>
      <c r="N29" s="7">
        <f t="shared" si="7"/>
        <v>4.3233990670435007</v>
      </c>
      <c r="O29" s="11"/>
      <c r="P29" s="6">
        <v>7280.39</v>
      </c>
      <c r="Q29" s="2"/>
      <c r="R29" s="7">
        <f t="shared" si="8"/>
        <v>1.3428464976270886E-2</v>
      </c>
      <c r="S29" s="2"/>
      <c r="T29" s="6">
        <v>2625.68325</v>
      </c>
      <c r="U29" s="2"/>
      <c r="V29" s="7">
        <f t="shared" si="9"/>
        <v>4.3720144830043661E-3</v>
      </c>
      <c r="W29" s="2"/>
      <c r="X29" s="6">
        <f t="shared" si="10"/>
        <v>4654.7067500000003</v>
      </c>
      <c r="Y29" s="2"/>
      <c r="Z29" s="7">
        <f t="shared" si="11"/>
        <v>1.7727601948940339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637.47</v>
      </c>
      <c r="E30" s="2"/>
      <c r="F30" s="7">
        <f t="shared" si="4"/>
        <v>2.5524324324324325E-2</v>
      </c>
      <c r="G30" s="2"/>
      <c r="H30" s="6">
        <v>611.98863461538497</v>
      </c>
      <c r="I30" s="2"/>
      <c r="J30" s="7">
        <f t="shared" si="5"/>
        <v>1.388232997494295E-2</v>
      </c>
      <c r="K30" s="2"/>
      <c r="L30" s="6">
        <f t="shared" si="6"/>
        <v>25.48136538461506</v>
      </c>
      <c r="M30" s="2"/>
      <c r="N30" s="7">
        <f t="shared" si="7"/>
        <v>4.1636991184696222E-2</v>
      </c>
      <c r="O30" s="11"/>
      <c r="P30" s="6">
        <v>4228.6000000000004</v>
      </c>
      <c r="Q30" s="2"/>
      <c r="R30" s="7">
        <f t="shared" si="8"/>
        <v>7.7995281844323002E-3</v>
      </c>
      <c r="S30" s="2"/>
      <c r="T30" s="6">
        <v>5978.5285999999996</v>
      </c>
      <c r="U30" s="2"/>
      <c r="V30" s="7">
        <f t="shared" si="9"/>
        <v>9.954823616388539E-3</v>
      </c>
      <c r="W30" s="2"/>
      <c r="X30" s="6">
        <f t="shared" si="10"/>
        <v>-1749.9285999999993</v>
      </c>
      <c r="Y30" s="2"/>
      <c r="Z30" s="7">
        <f t="shared" si="11"/>
        <v>-0.29270222107827659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4"/>
        <v>0</v>
      </c>
      <c r="G31" s="2"/>
      <c r="H31" s="6">
        <v>350</v>
      </c>
      <c r="I31" s="2"/>
      <c r="J31" s="7">
        <f t="shared" si="5"/>
        <v>7.9393884402504302E-3</v>
      </c>
      <c r="K31" s="2"/>
      <c r="L31" s="6">
        <f t="shared" si="6"/>
        <v>-350</v>
      </c>
      <c r="M31" s="2"/>
      <c r="N31" s="7">
        <f t="shared" si="7"/>
        <v>-1</v>
      </c>
      <c r="O31" s="11"/>
      <c r="P31" s="6">
        <v>1620.53</v>
      </c>
      <c r="Q31" s="2"/>
      <c r="R31" s="7">
        <f t="shared" si="8"/>
        <v>2.9890198667923366E-3</v>
      </c>
      <c r="S31" s="2"/>
      <c r="T31" s="6">
        <v>4200</v>
      </c>
      <c r="U31" s="2"/>
      <c r="V31" s="7">
        <f t="shared" si="9"/>
        <v>6.9934028899404895E-3</v>
      </c>
      <c r="W31" s="2"/>
      <c r="X31" s="6">
        <f t="shared" si="10"/>
        <v>-2579.4700000000003</v>
      </c>
      <c r="Y31" s="2"/>
      <c r="Z31" s="7">
        <f t="shared" si="11"/>
        <v>-0.61415952380952388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12043.56</v>
      </c>
      <c r="E32" s="1"/>
      <c r="F32" s="5">
        <f t="shared" ref="F32:F42" si="12">IF(D$12=0,0,D32/D$12)</f>
        <v>0.48222462462462462</v>
      </c>
      <c r="G32" s="1"/>
      <c r="H32" s="1">
        <f>SUM(OSRRefH22_1x_0)</f>
        <v>21763.263519230772</v>
      </c>
      <c r="I32" s="1"/>
      <c r="J32" s="5">
        <f t="shared" ref="J32:J42" si="13">IF(H$12=0,0,H32/H$12)</f>
        <v>0.49367715087629915</v>
      </c>
      <c r="K32" s="1"/>
      <c r="L32" s="1">
        <f t="shared" ref="L32:L42" si="14">+D32-H32</f>
        <v>-9719.7035192307721</v>
      </c>
      <c r="M32" s="1"/>
      <c r="N32" s="5">
        <f t="shared" ref="N32:N42" si="15">IF(H32=0,0,L32/H32)</f>
        <v>-0.44661056971727175</v>
      </c>
      <c r="O32" s="13"/>
      <c r="P32" s="1">
        <f>SUM(OSRRefP22_1x_0)</f>
        <v>164212.04</v>
      </c>
      <c r="Q32" s="1"/>
      <c r="R32" s="5">
        <f t="shared" ref="R32:R42" si="16">IF(P$12=0,0,P32/P$12)</f>
        <v>0.30288427238403354</v>
      </c>
      <c r="S32" s="1"/>
      <c r="T32" s="1">
        <f>SUM(OSRRefT22_1x_0)</f>
        <v>219854.33315000002</v>
      </c>
      <c r="U32" s="1"/>
      <c r="V32" s="5">
        <f t="shared" ref="V32:V42" si="17">IF(T$12=0,0,T32/T$12)</f>
        <v>0.36607855448027365</v>
      </c>
      <c r="W32" s="1"/>
      <c r="X32" s="1">
        <f t="shared" ref="X32:X42" si="18">+P32-T32</f>
        <v>-55642.293150000012</v>
      </c>
      <c r="Y32" s="1"/>
      <c r="Z32" s="5">
        <f t="shared" ref="Z32:Z42" si="19">IF(T32=0,0,X32/T32)</f>
        <v>-0.25308708885913539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>
        <v>3583.28</v>
      </c>
      <c r="E33" s="2"/>
      <c r="F33" s="7">
        <f t="shared" si="12"/>
        <v>0.14347467467467467</v>
      </c>
      <c r="G33" s="2"/>
      <c r="H33" s="6">
        <v>4019.23076923077</v>
      </c>
      <c r="I33" s="2"/>
      <c r="J33" s="7">
        <f t="shared" si="13"/>
        <v>9.1172098022656065E-2</v>
      </c>
      <c r="K33" s="2"/>
      <c r="L33" s="6">
        <f t="shared" si="14"/>
        <v>-435.95076923076977</v>
      </c>
      <c r="M33" s="2"/>
      <c r="N33" s="7">
        <f t="shared" si="15"/>
        <v>-0.1084662200956939</v>
      </c>
      <c r="O33" s="11"/>
      <c r="P33" s="6">
        <v>51528.44</v>
      </c>
      <c r="Q33" s="2"/>
      <c r="R33" s="7">
        <f t="shared" si="16"/>
        <v>9.5042690270971175E-2</v>
      </c>
      <c r="S33" s="2"/>
      <c r="T33" s="6">
        <v>52250</v>
      </c>
      <c r="U33" s="2"/>
      <c r="V33" s="7">
        <f t="shared" si="17"/>
        <v>8.7001262142712046E-2</v>
      </c>
      <c r="W33" s="2"/>
      <c r="X33" s="6">
        <f t="shared" si="18"/>
        <v>-721.55999999999767</v>
      </c>
      <c r="Y33" s="2"/>
      <c r="Z33" s="7">
        <f t="shared" si="19"/>
        <v>-1.3809760765550195E-2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>
        <v>2582.3000000000002</v>
      </c>
      <c r="E34" s="2"/>
      <c r="F34" s="7">
        <f t="shared" si="12"/>
        <v>0.1033953953953954</v>
      </c>
      <c r="G34" s="2"/>
      <c r="H34" s="6">
        <v>2168.1849999999999</v>
      </c>
      <c r="I34" s="2"/>
      <c r="J34" s="7">
        <f t="shared" si="13"/>
        <v>4.9183036929498228E-2</v>
      </c>
      <c r="K34" s="2"/>
      <c r="L34" s="6">
        <f t="shared" si="14"/>
        <v>414.11500000000024</v>
      </c>
      <c r="M34" s="2"/>
      <c r="N34" s="7">
        <f t="shared" si="15"/>
        <v>0.1909961557708407</v>
      </c>
      <c r="O34" s="11"/>
      <c r="P34" s="6">
        <v>28372.28</v>
      </c>
      <c r="Q34" s="2"/>
      <c r="R34" s="7">
        <f t="shared" si="16"/>
        <v>5.2331835008420008E-2</v>
      </c>
      <c r="S34" s="2"/>
      <c r="T34" s="6">
        <v>30896.63625</v>
      </c>
      <c r="U34" s="2"/>
      <c r="V34" s="7">
        <f t="shared" si="17"/>
        <v>5.1445863152426212E-2</v>
      </c>
      <c r="W34" s="2"/>
      <c r="X34" s="6">
        <f t="shared" si="18"/>
        <v>-2524.3562500000007</v>
      </c>
      <c r="Y34" s="2"/>
      <c r="Z34" s="7">
        <f t="shared" si="19"/>
        <v>-8.1703271177295256E-2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12"/>
        <v>0</v>
      </c>
      <c r="G36" s="2"/>
      <c r="H36" s="6">
        <v>5410.8540000000003</v>
      </c>
      <c r="I36" s="2"/>
      <c r="J36" s="7">
        <f t="shared" si="13"/>
        <v>0.12273963342709374</v>
      </c>
      <c r="K36" s="2"/>
      <c r="L36" s="6">
        <f t="shared" si="14"/>
        <v>-5410.8540000000003</v>
      </c>
      <c r="M36" s="2"/>
      <c r="N36" s="7">
        <f t="shared" si="15"/>
        <v>-1</v>
      </c>
      <c r="O36" s="11"/>
      <c r="P36" s="6"/>
      <c r="Q36" s="2"/>
      <c r="R36" s="7">
        <f t="shared" si="16"/>
        <v>0</v>
      </c>
      <c r="S36" s="2"/>
      <c r="T36" s="6">
        <v>38742.6924</v>
      </c>
      <c r="U36" s="2"/>
      <c r="V36" s="7">
        <f t="shared" si="17"/>
        <v>6.4510299284341766E-2</v>
      </c>
      <c r="W36" s="2"/>
      <c r="X36" s="6">
        <f t="shared" si="18"/>
        <v>-38742.6924</v>
      </c>
      <c r="Y36" s="2"/>
      <c r="Z36" s="7">
        <f t="shared" si="19"/>
        <v>-1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5877.98</v>
      </c>
      <c r="E37" s="2"/>
      <c r="F37" s="7">
        <f t="shared" si="12"/>
        <v>0.23535455455455453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5877.98</v>
      </c>
      <c r="M37" s="2"/>
      <c r="N37" s="7">
        <f t="shared" si="15"/>
        <v>0</v>
      </c>
      <c r="O37" s="11"/>
      <c r="P37" s="6">
        <v>76121.66</v>
      </c>
      <c r="Q37" s="2"/>
      <c r="R37" s="7">
        <f t="shared" si="16"/>
        <v>0.1404041603877815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76121.66</v>
      </c>
      <c r="Y37" s="2"/>
      <c r="Z37" s="7">
        <f t="shared" si="1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12"/>
        <v>0</v>
      </c>
      <c r="G39" s="2"/>
      <c r="H39" s="6">
        <v>10164.99375</v>
      </c>
      <c r="I39" s="2"/>
      <c r="J39" s="7">
        <f t="shared" si="13"/>
        <v>0.23058238249705107</v>
      </c>
      <c r="K39" s="2"/>
      <c r="L39" s="6">
        <f t="shared" si="14"/>
        <v>-10164.99375</v>
      </c>
      <c r="M39" s="2"/>
      <c r="N39" s="7">
        <f t="shared" si="15"/>
        <v>-1</v>
      </c>
      <c r="O39" s="11"/>
      <c r="P39" s="6">
        <v>4277.78</v>
      </c>
      <c r="Q39" s="2"/>
      <c r="R39" s="7">
        <f t="shared" si="16"/>
        <v>7.8902392462755523E-3</v>
      </c>
      <c r="S39" s="2"/>
      <c r="T39" s="6">
        <v>31116.993750000001</v>
      </c>
      <c r="U39" s="2"/>
      <c r="V39" s="7">
        <f t="shared" si="17"/>
        <v>5.1812779527978609E-2</v>
      </c>
      <c r="W39" s="2"/>
      <c r="X39" s="6">
        <f t="shared" si="18"/>
        <v>-26839.213750000003</v>
      </c>
      <c r="Y39" s="2"/>
      <c r="Z39" s="7">
        <f t="shared" si="19"/>
        <v>-0.86252592283276086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>
        <v>3911.88</v>
      </c>
      <c r="Q40" s="2"/>
      <c r="R40" s="7">
        <f t="shared" si="16"/>
        <v>7.2153474705853064E-3</v>
      </c>
      <c r="S40" s="2"/>
      <c r="T40" s="6">
        <v>66848.010750000001</v>
      </c>
      <c r="U40" s="2"/>
      <c r="V40" s="7">
        <f t="shared" si="17"/>
        <v>0.11130835037281497</v>
      </c>
      <c r="W40" s="2"/>
      <c r="X40" s="6">
        <f t="shared" si="18"/>
        <v>-62936.130750000004</v>
      </c>
      <c r="Y40" s="2"/>
      <c r="Z40" s="7">
        <f t="shared" si="19"/>
        <v>-0.94148098116741641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1" si="20">IF(D$12=0,0,D43/D$12)</f>
        <v>0</v>
      </c>
      <c r="G43" s="1"/>
      <c r="H43" s="1">
        <f>SUM(OSRRefH22_2x_0)</f>
        <v>100</v>
      </c>
      <c r="I43" s="1"/>
      <c r="J43" s="5">
        <f t="shared" ref="J43:J51" si="21">IF(H$12=0,0,H43/H$12)</f>
        <v>2.2683966972144088E-3</v>
      </c>
      <c r="K43" s="1"/>
      <c r="L43" s="1">
        <f t="shared" ref="L43:L51" si="22">+D43-H43</f>
        <v>-100</v>
      </c>
      <c r="M43" s="1"/>
      <c r="N43" s="5">
        <f t="shared" ref="N43:N51" si="23">IF(H43=0,0,L43/H43)</f>
        <v>-1</v>
      </c>
      <c r="O43" s="13"/>
      <c r="P43" s="1">
        <f>SUM(OSRRefP22_2x_0)</f>
        <v>0</v>
      </c>
      <c r="Q43" s="1"/>
      <c r="R43" s="5">
        <f t="shared" ref="R43:R51" si="24">IF(P$12=0,0,P43/P$12)</f>
        <v>0</v>
      </c>
      <c r="S43" s="1"/>
      <c r="T43" s="1">
        <f>SUM(OSRRefT22_2x_0)</f>
        <v>1200</v>
      </c>
      <c r="U43" s="1"/>
      <c r="V43" s="5">
        <f t="shared" ref="V43:V51" si="25">IF(T$12=0,0,T43/T$12)</f>
        <v>1.9981151114115683E-3</v>
      </c>
      <c r="W43" s="1"/>
      <c r="X43" s="1">
        <f t="shared" ref="X43:X51" si="26">+P43-T43</f>
        <v>-1200</v>
      </c>
      <c r="Y43" s="1"/>
      <c r="Z43" s="5">
        <f t="shared" ref="Z43:Z51" si="27">IF(T43=0,0,X43/T43)</f>
        <v>-1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0"/>
        <v>0</v>
      </c>
      <c r="G44" s="2"/>
      <c r="H44" s="6">
        <v>100</v>
      </c>
      <c r="I44" s="2"/>
      <c r="J44" s="7">
        <f t="shared" si="21"/>
        <v>2.2683966972144088E-3</v>
      </c>
      <c r="K44" s="2"/>
      <c r="L44" s="6">
        <f t="shared" si="22"/>
        <v>-100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1200</v>
      </c>
      <c r="U44" s="2"/>
      <c r="V44" s="7">
        <f t="shared" si="25"/>
        <v>1.9981151114115683E-3</v>
      </c>
      <c r="W44" s="2"/>
      <c r="X44" s="6">
        <f t="shared" si="26"/>
        <v>-1200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-5189.17</v>
      </c>
      <c r="E45" s="1"/>
      <c r="F45" s="5">
        <f t="shared" si="20"/>
        <v>-0.20777457457457457</v>
      </c>
      <c r="G45" s="1"/>
      <c r="H45" s="1">
        <f>SUM(OSRRefH22_3x_0)</f>
        <v>2000</v>
      </c>
      <c r="I45" s="1"/>
      <c r="J45" s="5">
        <f t="shared" si="21"/>
        <v>4.5367933944288175E-2</v>
      </c>
      <c r="K45" s="1"/>
      <c r="L45" s="1">
        <f t="shared" si="22"/>
        <v>-7189.17</v>
      </c>
      <c r="M45" s="1"/>
      <c r="N45" s="5">
        <f t="shared" si="23"/>
        <v>-3.5945849999999999</v>
      </c>
      <c r="O45" s="13"/>
      <c r="P45" s="1">
        <f>SUM(OSRRefP22_3x_0)</f>
        <v>872.08</v>
      </c>
      <c r="Q45" s="1"/>
      <c r="R45" s="5">
        <f t="shared" si="24"/>
        <v>1.6085258806885778E-3</v>
      </c>
      <c r="S45" s="1"/>
      <c r="T45" s="1">
        <f>SUM(OSRRefT22_3x_0)</f>
        <v>21700</v>
      </c>
      <c r="U45" s="1"/>
      <c r="V45" s="5">
        <f t="shared" si="25"/>
        <v>3.6132581598025862E-2</v>
      </c>
      <c r="W45" s="1"/>
      <c r="X45" s="1">
        <f t="shared" si="26"/>
        <v>-20827.919999999998</v>
      </c>
      <c r="Y45" s="1"/>
      <c r="Z45" s="5">
        <f t="shared" si="27"/>
        <v>-0.95981198156682024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-5189.17</v>
      </c>
      <c r="E46" s="2"/>
      <c r="F46" s="7">
        <f t="shared" si="20"/>
        <v>-0.20777457457457457</v>
      </c>
      <c r="G46" s="2"/>
      <c r="H46" s="6">
        <v>2000</v>
      </c>
      <c r="I46" s="2"/>
      <c r="J46" s="7">
        <f t="shared" si="21"/>
        <v>4.5367933944288175E-2</v>
      </c>
      <c r="K46" s="2"/>
      <c r="L46" s="6">
        <f t="shared" si="22"/>
        <v>-7189.17</v>
      </c>
      <c r="M46" s="2"/>
      <c r="N46" s="7">
        <f t="shared" si="23"/>
        <v>-3.5945849999999999</v>
      </c>
      <c r="O46" s="11"/>
      <c r="P46" s="6">
        <v>872.08</v>
      </c>
      <c r="Q46" s="2"/>
      <c r="R46" s="7">
        <f t="shared" si="24"/>
        <v>1.6085258806885778E-3</v>
      </c>
      <c r="S46" s="2"/>
      <c r="T46" s="6">
        <v>21700</v>
      </c>
      <c r="U46" s="2"/>
      <c r="V46" s="7">
        <f t="shared" si="25"/>
        <v>3.6132581598025862E-2</v>
      </c>
      <c r="W46" s="2"/>
      <c r="X46" s="6">
        <f t="shared" si="26"/>
        <v>-20827.919999999998</v>
      </c>
      <c r="Y46" s="2"/>
      <c r="Z46" s="7">
        <f t="shared" si="27"/>
        <v>-0.95981198156682024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si="20"/>
        <v>0</v>
      </c>
      <c r="G47" s="1"/>
      <c r="H47" s="1">
        <f>SUM(OSRRefH22_4x_0)</f>
        <v>20</v>
      </c>
      <c r="I47" s="1"/>
      <c r="J47" s="5">
        <f t="shared" si="21"/>
        <v>4.5367933944288175E-4</v>
      </c>
      <c r="K47" s="1"/>
      <c r="L47" s="1">
        <f t="shared" si="22"/>
        <v>-20</v>
      </c>
      <c r="M47" s="1"/>
      <c r="N47" s="5">
        <f t="shared" si="23"/>
        <v>-1</v>
      </c>
      <c r="O47" s="13"/>
      <c r="P47" s="1">
        <f>SUM(OSRRefP22_4x_0)</f>
        <v>0</v>
      </c>
      <c r="Q47" s="1"/>
      <c r="R47" s="5">
        <f t="shared" si="24"/>
        <v>0</v>
      </c>
      <c r="S47" s="1"/>
      <c r="T47" s="1">
        <f>SUM(OSRRefT22_4x_0)</f>
        <v>240</v>
      </c>
      <c r="U47" s="1"/>
      <c r="V47" s="5">
        <f t="shared" si="25"/>
        <v>3.9962302228231368E-4</v>
      </c>
      <c r="W47" s="1"/>
      <c r="X47" s="1">
        <f t="shared" si="26"/>
        <v>-240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0"/>
        <v>0</v>
      </c>
      <c r="G48" s="2"/>
      <c r="H48" s="6">
        <v>20</v>
      </c>
      <c r="I48" s="2"/>
      <c r="J48" s="7">
        <f t="shared" si="21"/>
        <v>4.5367933944288175E-4</v>
      </c>
      <c r="K48" s="2"/>
      <c r="L48" s="6">
        <f t="shared" si="22"/>
        <v>-20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240</v>
      </c>
      <c r="U48" s="2"/>
      <c r="V48" s="7">
        <f t="shared" si="25"/>
        <v>3.9962302228231368E-4</v>
      </c>
      <c r="W48" s="2"/>
      <c r="X48" s="6">
        <f t="shared" si="26"/>
        <v>-240</v>
      </c>
      <c r="Y48" s="2"/>
      <c r="Z48" s="7">
        <f t="shared" si="27"/>
        <v>-1</v>
      </c>
    </row>
    <row r="49" spans="1:26" s="27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SUM(OSRRefD22_5x_0)</f>
        <v>0</v>
      </c>
      <c r="E49" s="1"/>
      <c r="F49" s="5">
        <f t="shared" si="20"/>
        <v>0</v>
      </c>
      <c r="G49" s="1"/>
      <c r="H49" s="1">
        <f>SUM(OSRRefH22_5x_0)</f>
        <v>10</v>
      </c>
      <c r="I49" s="1"/>
      <c r="J49" s="5">
        <f t="shared" si="21"/>
        <v>2.2683966972144088E-4</v>
      </c>
      <c r="K49" s="1"/>
      <c r="L49" s="1">
        <f t="shared" si="22"/>
        <v>-10</v>
      </c>
      <c r="M49" s="1"/>
      <c r="N49" s="5">
        <f t="shared" si="23"/>
        <v>-1</v>
      </c>
      <c r="O49" s="13"/>
      <c r="P49" s="1">
        <f>SUM(OSRRefP22_5x_0)</f>
        <v>2.12</v>
      </c>
      <c r="Q49" s="1"/>
      <c r="R49" s="5">
        <f t="shared" si="24"/>
        <v>3.9102775743736642E-6</v>
      </c>
      <c r="S49" s="1"/>
      <c r="T49" s="1">
        <f>SUM(OSRRefT22_5x_0)</f>
        <v>120</v>
      </c>
      <c r="U49" s="1"/>
      <c r="V49" s="5">
        <f t="shared" si="25"/>
        <v>1.9981151114115684E-4</v>
      </c>
      <c r="W49" s="1"/>
      <c r="X49" s="1">
        <f t="shared" si="26"/>
        <v>-117.88</v>
      </c>
      <c r="Y49" s="1"/>
      <c r="Z49" s="5">
        <f t="shared" si="27"/>
        <v>-0.98233333333333328</v>
      </c>
    </row>
    <row r="50" spans="1:26" s="24" customFormat="1" hidden="1" outlineLevel="2" x14ac:dyDescent="0.25">
      <c r="A50" s="26"/>
      <c r="B50" s="11" t="str">
        <f>CONCATENATE("          ", "6305", " - ", "FREIGHT OUT")</f>
        <v xml:space="preserve">          6305 - FREIGHT OUT</v>
      </c>
      <c r="C50" s="11"/>
      <c r="D50" s="6"/>
      <c r="E50" s="2"/>
      <c r="F50" s="7">
        <f t="shared" si="20"/>
        <v>0</v>
      </c>
      <c r="G50" s="2"/>
      <c r="H50" s="6"/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>
        <v>1.62</v>
      </c>
      <c r="Q50" s="2"/>
      <c r="R50" s="7">
        <f t="shared" si="24"/>
        <v>2.9880422973987433E-6</v>
      </c>
      <c r="S50" s="2"/>
      <c r="T50" s="6"/>
      <c r="U50" s="2"/>
      <c r="V50" s="7">
        <f t="shared" si="25"/>
        <v>0</v>
      </c>
      <c r="W50" s="2"/>
      <c r="X50" s="6">
        <f t="shared" si="26"/>
        <v>1.62</v>
      </c>
      <c r="Y50" s="2"/>
      <c r="Z50" s="7">
        <f t="shared" si="27"/>
        <v>0</v>
      </c>
    </row>
    <row r="51" spans="1:26" s="24" customFormat="1" hidden="1" outlineLevel="2" x14ac:dyDescent="0.25">
      <c r="A51" s="26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0"/>
        <v>0</v>
      </c>
      <c r="G51" s="2"/>
      <c r="H51" s="6">
        <v>10</v>
      </c>
      <c r="I51" s="2"/>
      <c r="J51" s="7">
        <f t="shared" si="21"/>
        <v>2.2683966972144088E-4</v>
      </c>
      <c r="K51" s="2"/>
      <c r="L51" s="6">
        <f t="shared" si="22"/>
        <v>-10</v>
      </c>
      <c r="M51" s="2"/>
      <c r="N51" s="7">
        <f t="shared" si="23"/>
        <v>-1</v>
      </c>
      <c r="O51" s="11"/>
      <c r="P51" s="6">
        <v>0.5</v>
      </c>
      <c r="Q51" s="2"/>
      <c r="R51" s="7">
        <f t="shared" si="24"/>
        <v>9.2223527697492073E-7</v>
      </c>
      <c r="S51" s="2"/>
      <c r="T51" s="6">
        <v>120</v>
      </c>
      <c r="U51" s="2"/>
      <c r="V51" s="7">
        <f t="shared" si="25"/>
        <v>1.9981151114115684E-4</v>
      </c>
      <c r="W51" s="2"/>
      <c r="X51" s="6">
        <f t="shared" si="26"/>
        <v>-119.5</v>
      </c>
      <c r="Y51" s="2"/>
      <c r="Z51" s="7">
        <f t="shared" si="27"/>
        <v>-0.99583333333333335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SUM(OSRRefD22_6x_0)</f>
        <v>0</v>
      </c>
      <c r="E52" s="1"/>
      <c r="F52" s="5">
        <f t="shared" ref="F52:F62" si="28">IF(D$12=0,0,D52/D$12)</f>
        <v>0</v>
      </c>
      <c r="G52" s="1"/>
      <c r="H52" s="1">
        <f>SUM(OSRRefH22_6x_0)</f>
        <v>50</v>
      </c>
      <c r="I52" s="1"/>
      <c r="J52" s="5">
        <f t="shared" ref="J52:J62" si="29">IF(H$12=0,0,H52/H$12)</f>
        <v>1.1341983486072044E-3</v>
      </c>
      <c r="K52" s="1"/>
      <c r="L52" s="1">
        <f t="shared" ref="L52:L62" si="30">+D52-H52</f>
        <v>-50</v>
      </c>
      <c r="M52" s="1"/>
      <c r="N52" s="5">
        <f t="shared" ref="N52:N62" si="31">IF(H52=0,0,L52/H52)</f>
        <v>-1</v>
      </c>
      <c r="O52" s="13"/>
      <c r="P52" s="1">
        <f>SUM(OSRRefP22_6x_0)</f>
        <v>0</v>
      </c>
      <c r="Q52" s="1"/>
      <c r="R52" s="5">
        <f t="shared" ref="R52:R62" si="32">IF(P$12=0,0,P52/P$12)</f>
        <v>0</v>
      </c>
      <c r="S52" s="1"/>
      <c r="T52" s="1">
        <f>SUM(OSRRefT22_6x_0)</f>
        <v>600</v>
      </c>
      <c r="U52" s="1"/>
      <c r="V52" s="5">
        <f t="shared" ref="V52:V62" si="33">IF(T$12=0,0,T52/T$12)</f>
        <v>9.9905755570578415E-4</v>
      </c>
      <c r="W52" s="1"/>
      <c r="X52" s="1">
        <f t="shared" ref="X52:X62" si="34">+P52-T52</f>
        <v>-600</v>
      </c>
      <c r="Y52" s="1"/>
      <c r="Z52" s="5">
        <f t="shared" ref="Z52:Z62" si="35">IF(T52=0,0,X52/T52)</f>
        <v>-1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8"/>
        <v>0</v>
      </c>
      <c r="G53" s="2"/>
      <c r="H53" s="6">
        <v>50</v>
      </c>
      <c r="I53" s="2"/>
      <c r="J53" s="7">
        <f t="shared" si="29"/>
        <v>1.1341983486072044E-3</v>
      </c>
      <c r="K53" s="2"/>
      <c r="L53" s="6">
        <f t="shared" si="30"/>
        <v>-50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600</v>
      </c>
      <c r="U53" s="2"/>
      <c r="V53" s="7">
        <f t="shared" si="33"/>
        <v>9.9905755570578415E-4</v>
      </c>
      <c r="W53" s="2"/>
      <c r="X53" s="6">
        <f t="shared" si="34"/>
        <v>-600</v>
      </c>
      <c r="Y53" s="2"/>
      <c r="Z53" s="7">
        <f t="shared" si="35"/>
        <v>-1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SUM(OSRRefD22_7x_0)</f>
        <v>62.28</v>
      </c>
      <c r="E54" s="1"/>
      <c r="F54" s="5">
        <f t="shared" si="28"/>
        <v>2.4936936936936936E-3</v>
      </c>
      <c r="G54" s="1"/>
      <c r="H54" s="1">
        <f>SUM(OSRRefH22_7x_0)</f>
        <v>33</v>
      </c>
      <c r="I54" s="1"/>
      <c r="J54" s="5">
        <f t="shared" si="29"/>
        <v>7.4857091008075495E-4</v>
      </c>
      <c r="K54" s="1"/>
      <c r="L54" s="1">
        <f t="shared" si="30"/>
        <v>29.28</v>
      </c>
      <c r="M54" s="1"/>
      <c r="N54" s="5">
        <f t="shared" si="31"/>
        <v>0.88727272727272732</v>
      </c>
      <c r="O54" s="13"/>
      <c r="P54" s="1">
        <f>SUM(OSRRefP22_7x_0)</f>
        <v>381.39</v>
      </c>
      <c r="Q54" s="1"/>
      <c r="R54" s="5">
        <f t="shared" si="32"/>
        <v>7.0346262457092999E-4</v>
      </c>
      <c r="S54" s="1"/>
      <c r="T54" s="1">
        <f>SUM(OSRRefT22_7x_0)</f>
        <v>396</v>
      </c>
      <c r="U54" s="1"/>
      <c r="V54" s="5">
        <f t="shared" si="33"/>
        <v>6.5937798676581755E-4</v>
      </c>
      <c r="W54" s="1"/>
      <c r="X54" s="1">
        <f t="shared" si="34"/>
        <v>-14.610000000000014</v>
      </c>
      <c r="Y54" s="1"/>
      <c r="Z54" s="5">
        <f t="shared" si="35"/>
        <v>-3.689393939393943E-2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62.28</v>
      </c>
      <c r="E55" s="2"/>
      <c r="F55" s="7">
        <f t="shared" si="28"/>
        <v>2.4936936936936936E-3</v>
      </c>
      <c r="G55" s="2"/>
      <c r="H55" s="6">
        <v>33</v>
      </c>
      <c r="I55" s="2"/>
      <c r="J55" s="7">
        <f t="shared" si="29"/>
        <v>7.4857091008075495E-4</v>
      </c>
      <c r="K55" s="2"/>
      <c r="L55" s="6">
        <f t="shared" si="30"/>
        <v>29.28</v>
      </c>
      <c r="M55" s="2"/>
      <c r="N55" s="7">
        <f t="shared" si="31"/>
        <v>0.88727272727272732</v>
      </c>
      <c r="O55" s="11"/>
      <c r="P55" s="6">
        <v>381.39</v>
      </c>
      <c r="Q55" s="2"/>
      <c r="R55" s="7">
        <f t="shared" si="32"/>
        <v>7.0346262457092999E-4</v>
      </c>
      <c r="S55" s="2"/>
      <c r="T55" s="6">
        <v>396</v>
      </c>
      <c r="U55" s="2"/>
      <c r="V55" s="7">
        <f t="shared" si="33"/>
        <v>6.5937798676581755E-4</v>
      </c>
      <c r="W55" s="2"/>
      <c r="X55" s="6">
        <f t="shared" si="34"/>
        <v>-14.610000000000014</v>
      </c>
      <c r="Y55" s="2"/>
      <c r="Z55" s="7">
        <f t="shared" si="35"/>
        <v>-3.689393939393943E-2</v>
      </c>
    </row>
    <row r="56" spans="1:26" s="27" customFormat="1" outlineLevel="1" collapsed="1" x14ac:dyDescent="0.25">
      <c r="A56" s="25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800</v>
      </c>
      <c r="E56" s="1"/>
      <c r="F56" s="5">
        <f t="shared" si="28"/>
        <v>3.2032032032032032E-2</v>
      </c>
      <c r="G56" s="1"/>
      <c r="H56" s="1">
        <f>SUM(OSRRefH22_8x_0)</f>
        <v>800</v>
      </c>
      <c r="I56" s="1"/>
      <c r="J56" s="5">
        <f t="shared" si="29"/>
        <v>1.8147173577715271E-2</v>
      </c>
      <c r="K56" s="1"/>
      <c r="L56" s="1">
        <f t="shared" si="30"/>
        <v>0</v>
      </c>
      <c r="M56" s="1"/>
      <c r="N56" s="5">
        <f t="shared" si="31"/>
        <v>0</v>
      </c>
      <c r="O56" s="13"/>
      <c r="P56" s="1">
        <f>SUM(OSRRefP22_8x_0)</f>
        <v>9600</v>
      </c>
      <c r="Q56" s="1"/>
      <c r="R56" s="5">
        <f t="shared" si="32"/>
        <v>1.7706917317918479E-2</v>
      </c>
      <c r="S56" s="1"/>
      <c r="T56" s="1">
        <f>SUM(OSRRefT22_8x_0)</f>
        <v>9600</v>
      </c>
      <c r="U56" s="1"/>
      <c r="V56" s="5">
        <f t="shared" si="33"/>
        <v>1.5984920891292546E-2</v>
      </c>
      <c r="W56" s="1"/>
      <c r="X56" s="1">
        <f t="shared" si="34"/>
        <v>0</v>
      </c>
      <c r="Y56" s="1"/>
      <c r="Z56" s="5">
        <f t="shared" si="35"/>
        <v>0</v>
      </c>
    </row>
    <row r="57" spans="1:26" s="24" customFormat="1" hidden="1" outlineLevel="2" x14ac:dyDescent="0.25">
      <c r="A57" s="26"/>
      <c r="B57" s="11" t="str">
        <f>CONCATENATE("          ", "6273", " - ", "RENT")</f>
        <v xml:space="preserve">          6273 - RENT</v>
      </c>
      <c r="C57" s="11"/>
      <c r="D57" s="6">
        <v>800</v>
      </c>
      <c r="E57" s="2"/>
      <c r="F57" s="7">
        <f t="shared" si="28"/>
        <v>3.2032032032032032E-2</v>
      </c>
      <c r="G57" s="2"/>
      <c r="H57" s="6">
        <v>800</v>
      </c>
      <c r="I57" s="2"/>
      <c r="J57" s="7">
        <f t="shared" si="29"/>
        <v>1.8147173577715271E-2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9600</v>
      </c>
      <c r="Q57" s="2"/>
      <c r="R57" s="7">
        <f t="shared" si="32"/>
        <v>1.7706917317918479E-2</v>
      </c>
      <c r="S57" s="2"/>
      <c r="T57" s="6">
        <v>9600</v>
      </c>
      <c r="U57" s="2"/>
      <c r="V57" s="7">
        <f t="shared" si="33"/>
        <v>1.5984920891292546E-2</v>
      </c>
      <c r="W57" s="2"/>
      <c r="X57" s="6">
        <f t="shared" si="34"/>
        <v>0</v>
      </c>
      <c r="Y57" s="2"/>
      <c r="Z57" s="7">
        <f t="shared" si="35"/>
        <v>0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1500</v>
      </c>
      <c r="I58" s="1"/>
      <c r="J58" s="5">
        <f t="shared" si="29"/>
        <v>3.4025950458216131E-2</v>
      </c>
      <c r="K58" s="1"/>
      <c r="L58" s="1">
        <f t="shared" si="30"/>
        <v>-1500</v>
      </c>
      <c r="M58" s="1"/>
      <c r="N58" s="5">
        <f t="shared" si="31"/>
        <v>-1</v>
      </c>
      <c r="O58" s="13"/>
      <c r="P58" s="1">
        <f>SUM(OSRRefP22_9x_0)</f>
        <v>154932.13</v>
      </c>
      <c r="Q58" s="1"/>
      <c r="R58" s="5">
        <f t="shared" si="32"/>
        <v>0.28576775164572887</v>
      </c>
      <c r="S58" s="1"/>
      <c r="T58" s="1">
        <f>SUM(OSRRefT22_9x_0)</f>
        <v>143000</v>
      </c>
      <c r="U58" s="1"/>
      <c r="V58" s="5">
        <f t="shared" si="33"/>
        <v>0.23810871744321191</v>
      </c>
      <c r="W58" s="1"/>
      <c r="X58" s="1">
        <f t="shared" si="34"/>
        <v>11932.130000000005</v>
      </c>
      <c r="Y58" s="1"/>
      <c r="Z58" s="5">
        <f t="shared" si="35"/>
        <v>8.3441468531468568E-2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5436</v>
      </c>
      <c r="Q59" s="2"/>
      <c r="R59" s="7">
        <f t="shared" si="32"/>
        <v>1.0026541931271338E-2</v>
      </c>
      <c r="S59" s="2"/>
      <c r="T59" s="6">
        <v>125000</v>
      </c>
      <c r="U59" s="2"/>
      <c r="V59" s="7">
        <f t="shared" si="33"/>
        <v>0.20813699077203837</v>
      </c>
      <c r="W59" s="2"/>
      <c r="X59" s="6">
        <f t="shared" si="34"/>
        <v>-119564</v>
      </c>
      <c r="Y59" s="2"/>
      <c r="Z59" s="7">
        <f t="shared" si="35"/>
        <v>-0.95651200000000003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28"/>
        <v>0</v>
      </c>
      <c r="G60" s="2"/>
      <c r="H60" s="6">
        <v>1500</v>
      </c>
      <c r="I60" s="2"/>
      <c r="J60" s="7">
        <f t="shared" si="29"/>
        <v>3.4025950458216131E-2</v>
      </c>
      <c r="K60" s="2"/>
      <c r="L60" s="6">
        <f t="shared" si="30"/>
        <v>-1500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18000</v>
      </c>
      <c r="U60" s="2"/>
      <c r="V60" s="7">
        <f t="shared" si="33"/>
        <v>2.9971726671173527E-2</v>
      </c>
      <c r="W60" s="2"/>
      <c r="X60" s="6">
        <f t="shared" si="34"/>
        <v>-18000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142934.13</v>
      </c>
      <c r="Q61" s="2"/>
      <c r="R61" s="7">
        <f t="shared" si="32"/>
        <v>0.26363779393943865</v>
      </c>
      <c r="S61" s="2"/>
      <c r="T61" s="6"/>
      <c r="U61" s="2"/>
      <c r="V61" s="7">
        <f t="shared" si="33"/>
        <v>0</v>
      </c>
      <c r="W61" s="2"/>
      <c r="X61" s="6">
        <f t="shared" si="34"/>
        <v>142934.13</v>
      </c>
      <c r="Y61" s="2"/>
      <c r="Z61" s="7">
        <f t="shared" si="35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6562</v>
      </c>
      <c r="Q62" s="2"/>
      <c r="R62" s="7">
        <f t="shared" si="32"/>
        <v>1.2103415775018859E-2</v>
      </c>
      <c r="S62" s="2"/>
      <c r="T62" s="6"/>
      <c r="U62" s="2"/>
      <c r="V62" s="7">
        <f t="shared" si="33"/>
        <v>0</v>
      </c>
      <c r="W62" s="2"/>
      <c r="X62" s="6">
        <f t="shared" si="34"/>
        <v>6562</v>
      </c>
      <c r="Y62" s="2"/>
      <c r="Z62" s="7">
        <f t="shared" si="35"/>
        <v>0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7" si="36">IF(D$12=0,0,D63/D$12)</f>
        <v>0</v>
      </c>
      <c r="G63" s="1"/>
      <c r="H63" s="1">
        <f>SUM(OSRRefH22_10x_0)</f>
        <v>0</v>
      </c>
      <c r="I63" s="1"/>
      <c r="J63" s="5">
        <f t="shared" ref="J63:J67" si="37">IF(H$12=0,0,H63/H$12)</f>
        <v>0</v>
      </c>
      <c r="K63" s="1"/>
      <c r="L63" s="1">
        <f t="shared" ref="L63:L67" si="38">+D63-H63</f>
        <v>0</v>
      </c>
      <c r="M63" s="1"/>
      <c r="N63" s="5">
        <f t="shared" ref="N63:N67" si="39">IF(H63=0,0,L63/H63)</f>
        <v>0</v>
      </c>
      <c r="O63" s="13"/>
      <c r="P63" s="1">
        <f>SUM(OSRRefP22_10x_0)</f>
        <v>0</v>
      </c>
      <c r="Q63" s="1"/>
      <c r="R63" s="5">
        <f t="shared" ref="R63:R67" si="40">IF(P$12=0,0,P63/P$12)</f>
        <v>0</v>
      </c>
      <c r="S63" s="1"/>
      <c r="T63" s="1">
        <f>SUM(OSRRefT22_10x_0)</f>
        <v>850</v>
      </c>
      <c r="U63" s="1"/>
      <c r="V63" s="5">
        <f t="shared" ref="V63:V67" si="41">IF(T$12=0,0,T63/T$12)</f>
        <v>1.4153315372498611E-3</v>
      </c>
      <c r="W63" s="1"/>
      <c r="X63" s="1">
        <f t="shared" ref="X63:X67" si="42">+P63-T63</f>
        <v>-850</v>
      </c>
      <c r="Y63" s="1"/>
      <c r="Z63" s="5">
        <f t="shared" ref="Z63:Z67" si="43">IF(T63=0,0,X63/T63)</f>
        <v>-1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850</v>
      </c>
      <c r="U64" s="2"/>
      <c r="V64" s="7">
        <f t="shared" si="41"/>
        <v>1.4153315372498611E-3</v>
      </c>
      <c r="W64" s="2"/>
      <c r="X64" s="6">
        <f t="shared" si="42"/>
        <v>-850</v>
      </c>
      <c r="Y64" s="2"/>
      <c r="Z64" s="7">
        <f t="shared" si="43"/>
        <v>-1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SUM(OSRRefD22_11x_0)</f>
        <v>4251.9399999999996</v>
      </c>
      <c r="E65" s="1"/>
      <c r="F65" s="5">
        <f t="shared" si="36"/>
        <v>0.17024784784784783</v>
      </c>
      <c r="G65" s="1"/>
      <c r="H65" s="1">
        <f>SUM(OSRRefH22_11x_0)</f>
        <v>7000</v>
      </c>
      <c r="I65" s="1"/>
      <c r="J65" s="5">
        <f t="shared" si="37"/>
        <v>0.15878776880500861</v>
      </c>
      <c r="K65" s="1"/>
      <c r="L65" s="1">
        <f t="shared" si="38"/>
        <v>-2748.0600000000004</v>
      </c>
      <c r="M65" s="1"/>
      <c r="N65" s="5">
        <f t="shared" si="39"/>
        <v>-0.39258000000000004</v>
      </c>
      <c r="O65" s="13"/>
      <c r="P65" s="1">
        <f>SUM(OSRRefP22_11x_0)</f>
        <v>53091.53</v>
      </c>
      <c r="Q65" s="1"/>
      <c r="R65" s="5">
        <f t="shared" si="40"/>
        <v>9.792576374914462E-2</v>
      </c>
      <c r="S65" s="1"/>
      <c r="T65" s="1">
        <f>SUM(OSRRefT22_11x_0)</f>
        <v>84000</v>
      </c>
      <c r="U65" s="1"/>
      <c r="V65" s="5">
        <f t="shared" si="41"/>
        <v>0.13986805779880979</v>
      </c>
      <c r="W65" s="1"/>
      <c r="X65" s="1">
        <f t="shared" si="42"/>
        <v>-30908.47</v>
      </c>
      <c r="Y65" s="1"/>
      <c r="Z65" s="5">
        <f t="shared" si="43"/>
        <v>-0.36795797619047621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36"/>
        <v>0</v>
      </c>
      <c r="G66" s="2"/>
      <c r="H66" s="6">
        <v>7000</v>
      </c>
      <c r="I66" s="2"/>
      <c r="J66" s="7">
        <f t="shared" si="37"/>
        <v>0.15878776880500861</v>
      </c>
      <c r="K66" s="2"/>
      <c r="L66" s="6">
        <f t="shared" si="38"/>
        <v>-7000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84000</v>
      </c>
      <c r="U66" s="2"/>
      <c r="V66" s="7">
        <f t="shared" si="41"/>
        <v>0.13986805779880979</v>
      </c>
      <c r="W66" s="2"/>
      <c r="X66" s="6">
        <f t="shared" si="42"/>
        <v>-84000</v>
      </c>
      <c r="Y66" s="2"/>
      <c r="Z66" s="7">
        <f t="shared" si="43"/>
        <v>-1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6">
        <v>4251.9399999999996</v>
      </c>
      <c r="E67" s="2"/>
      <c r="F67" s="7">
        <f t="shared" si="36"/>
        <v>0.17024784784784783</v>
      </c>
      <c r="G67" s="2"/>
      <c r="H67" s="6"/>
      <c r="I67" s="2"/>
      <c r="J67" s="7">
        <f t="shared" si="37"/>
        <v>0</v>
      </c>
      <c r="K67" s="2"/>
      <c r="L67" s="6">
        <f t="shared" si="38"/>
        <v>4251.9399999999996</v>
      </c>
      <c r="M67" s="2"/>
      <c r="N67" s="7">
        <f t="shared" si="39"/>
        <v>0</v>
      </c>
      <c r="O67" s="11"/>
      <c r="P67" s="6">
        <v>53091.53</v>
      </c>
      <c r="Q67" s="2"/>
      <c r="R67" s="7">
        <f t="shared" si="40"/>
        <v>9.792576374914462E-2</v>
      </c>
      <c r="S67" s="2"/>
      <c r="T67" s="6"/>
      <c r="U67" s="2"/>
      <c r="V67" s="7">
        <f t="shared" si="41"/>
        <v>0</v>
      </c>
      <c r="W67" s="2"/>
      <c r="X67" s="6">
        <f t="shared" si="42"/>
        <v>53091.53</v>
      </c>
      <c r="Y67" s="2"/>
      <c r="Z67" s="7">
        <f t="shared" si="43"/>
        <v>0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SUM(OSRRefD22_12x_0)</f>
        <v>86.65</v>
      </c>
      <c r="E68" s="1"/>
      <c r="F68" s="5">
        <f t="shared" ref="F68:F71" si="44">IF(D$12=0,0,D68/D$12)</f>
        <v>3.4694694694694696E-3</v>
      </c>
      <c r="G68" s="1"/>
      <c r="H68" s="1">
        <f>SUM(OSRRefH22_12x_0)</f>
        <v>700</v>
      </c>
      <c r="I68" s="1"/>
      <c r="J68" s="5">
        <f t="shared" ref="J68:J71" si="45">IF(H$12=0,0,H68/H$12)</f>
        <v>1.587877688050086E-2</v>
      </c>
      <c r="K68" s="1"/>
      <c r="L68" s="1">
        <f t="shared" ref="L68:L71" si="46">+D68-H68</f>
        <v>-613.35</v>
      </c>
      <c r="M68" s="1"/>
      <c r="N68" s="5">
        <f t="shared" ref="N68:N71" si="47">IF(H68=0,0,L68/H68)</f>
        <v>-0.87621428571428572</v>
      </c>
      <c r="O68" s="13"/>
      <c r="P68" s="1">
        <f>SUM(OSRRefP22_12x_0)</f>
        <v>1973.38</v>
      </c>
      <c r="Q68" s="1"/>
      <c r="R68" s="5">
        <f t="shared" ref="R68:R71" si="48">IF(P$12=0,0,P68/P$12)</f>
        <v>3.6398413017535384E-3</v>
      </c>
      <c r="S68" s="1"/>
      <c r="T68" s="1">
        <f>SUM(OSRRefT22_12x_0)</f>
        <v>8400</v>
      </c>
      <c r="U68" s="1"/>
      <c r="V68" s="5">
        <f t="shared" ref="V68:V71" si="49">IF(T$12=0,0,T68/T$12)</f>
        <v>1.3986805779880979E-2</v>
      </c>
      <c r="W68" s="1"/>
      <c r="X68" s="1">
        <f t="shared" ref="X68:X71" si="50">+P68-T68</f>
        <v>-6426.62</v>
      </c>
      <c r="Y68" s="1"/>
      <c r="Z68" s="5">
        <f t="shared" ref="Z68:Z71" si="51">IF(T68=0,0,X68/T68)</f>
        <v>-0.76507380952380954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86.65</v>
      </c>
      <c r="E69" s="2"/>
      <c r="F69" s="7">
        <f t="shared" si="44"/>
        <v>3.4694694694694696E-3</v>
      </c>
      <c r="G69" s="2"/>
      <c r="H69" s="6">
        <v>700</v>
      </c>
      <c r="I69" s="2"/>
      <c r="J69" s="7">
        <f t="shared" si="45"/>
        <v>1.587877688050086E-2</v>
      </c>
      <c r="K69" s="2"/>
      <c r="L69" s="6">
        <f t="shared" si="46"/>
        <v>-613.35</v>
      </c>
      <c r="M69" s="2"/>
      <c r="N69" s="7">
        <f t="shared" si="47"/>
        <v>-0.87621428571428572</v>
      </c>
      <c r="O69" s="11"/>
      <c r="P69" s="6">
        <v>1973.38</v>
      </c>
      <c r="Q69" s="2"/>
      <c r="R69" s="7">
        <f t="shared" si="48"/>
        <v>3.6398413017535384E-3</v>
      </c>
      <c r="S69" s="2"/>
      <c r="T69" s="6">
        <v>8400</v>
      </c>
      <c r="U69" s="2"/>
      <c r="V69" s="7">
        <f t="shared" si="49"/>
        <v>1.3986805779880979E-2</v>
      </c>
      <c r="W69" s="2"/>
      <c r="X69" s="6">
        <f t="shared" si="50"/>
        <v>-6426.62</v>
      </c>
      <c r="Y69" s="2"/>
      <c r="Z69" s="7">
        <f t="shared" si="51"/>
        <v>-0.76507380952380954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SUM(OSRRefD22_13x_0)</f>
        <v>0</v>
      </c>
      <c r="E70" s="1"/>
      <c r="F70" s="5">
        <f t="shared" si="44"/>
        <v>0</v>
      </c>
      <c r="G70" s="1"/>
      <c r="H70" s="1">
        <f>SUM(OSRRefH22_13x_0)</f>
        <v>0</v>
      </c>
      <c r="I70" s="1"/>
      <c r="J70" s="5">
        <f t="shared" si="45"/>
        <v>0</v>
      </c>
      <c r="K70" s="1"/>
      <c r="L70" s="1">
        <f t="shared" si="46"/>
        <v>0</v>
      </c>
      <c r="M70" s="1"/>
      <c r="N70" s="5">
        <f t="shared" si="47"/>
        <v>0</v>
      </c>
      <c r="O70" s="13"/>
      <c r="P70" s="1">
        <f>SUM(OSRRefP22_13x_0)</f>
        <v>0</v>
      </c>
      <c r="Q70" s="1"/>
      <c r="R70" s="5">
        <f t="shared" si="48"/>
        <v>0</v>
      </c>
      <c r="S70" s="1"/>
      <c r="T70" s="1">
        <f>SUM(OSRRefT22_13x_0)</f>
        <v>4500</v>
      </c>
      <c r="U70" s="1"/>
      <c r="V70" s="5">
        <f t="shared" si="49"/>
        <v>7.4929316677933818E-3</v>
      </c>
      <c r="W70" s="1"/>
      <c r="X70" s="1">
        <f t="shared" si="50"/>
        <v>-4500</v>
      </c>
      <c r="Y70" s="1"/>
      <c r="Z70" s="5">
        <f t="shared" si="51"/>
        <v>-1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4500</v>
      </c>
      <c r="U71" s="2"/>
      <c r="V71" s="7">
        <f t="shared" si="49"/>
        <v>7.4929316677933818E-3</v>
      </c>
      <c r="W71" s="2"/>
      <c r="X71" s="6">
        <f t="shared" si="50"/>
        <v>-4500</v>
      </c>
      <c r="Y71" s="2"/>
      <c r="Z71" s="7">
        <f t="shared" si="51"/>
        <v>-1</v>
      </c>
    </row>
    <row r="72" spans="1:26" s="61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293</v>
      </c>
      <c r="C73" s="10"/>
      <c r="D73" s="4">
        <f>SUM(OSRRefD25x_0)</f>
        <v>2753.29</v>
      </c>
      <c r="E73" s="4"/>
      <c r="F73" s="12">
        <f t="shared" ref="F73:F74" si="52">IF(D$12=0,0,D73/D$12)</f>
        <v>0.11024184184184184</v>
      </c>
      <c r="G73" s="4"/>
      <c r="H73" s="4">
        <f>SUM(OSRRefH25x_0)</f>
        <v>2500</v>
      </c>
      <c r="I73" s="4"/>
      <c r="J73" s="12">
        <f t="shared" ref="J73:J74" si="53">IF(H$12=0,0,H73/H$12)</f>
        <v>5.6709917430360218E-2</v>
      </c>
      <c r="K73" s="4"/>
      <c r="L73" s="4">
        <f t="shared" ref="L73:L74" si="54">+D73-H73</f>
        <v>253.28999999999996</v>
      </c>
      <c r="M73" s="4"/>
      <c r="N73" s="12">
        <f t="shared" ref="N73:N74" si="55">IF(H73=0,0,L73/H73)</f>
        <v>0.10131599999999999</v>
      </c>
      <c r="O73" s="10"/>
      <c r="P73" s="4">
        <f>SUM(OSRRefP25x_0)</f>
        <v>5251.64</v>
      </c>
      <c r="Q73" s="4"/>
      <c r="R73" s="12">
        <f t="shared" ref="R73:R74" si="56">IF(P$12=0,0,P73/P$12)</f>
        <v>9.6864953399451465E-3</v>
      </c>
      <c r="S73" s="4"/>
      <c r="T73" s="4">
        <f>SUM(OSRRefT25x_0)</f>
        <v>35650</v>
      </c>
      <c r="U73" s="4"/>
      <c r="V73" s="12">
        <f t="shared" ref="V73:V74" si="57">IF(T$12=0,0,T73/T$12)</f>
        <v>5.9360669768185347E-2</v>
      </c>
      <c r="W73" s="4"/>
      <c r="X73" s="4">
        <f t="shared" ref="X73:X74" si="58">+P73-T73</f>
        <v>-30398.36</v>
      </c>
      <c r="Y73" s="4"/>
      <c r="Z73" s="12">
        <f t="shared" ref="Z73:Z74" si="59">IF(T73=0,0,X73/T73)</f>
        <v>-0.85268892005610097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--2753.29</f>
        <v>2753.29</v>
      </c>
      <c r="E74" s="2"/>
      <c r="F74" s="19">
        <f t="shared" si="52"/>
        <v>0.11024184184184184</v>
      </c>
      <c r="G74" s="2"/>
      <c r="H74" s="2">
        <v>2500</v>
      </c>
      <c r="I74" s="2"/>
      <c r="J74" s="19">
        <f t="shared" si="53"/>
        <v>5.6709917430360218E-2</v>
      </c>
      <c r="K74" s="2"/>
      <c r="L74" s="2">
        <f t="shared" si="54"/>
        <v>253.28999999999996</v>
      </c>
      <c r="M74" s="2"/>
      <c r="N74" s="19">
        <f t="shared" si="55"/>
        <v>0.10131599999999999</v>
      </c>
      <c r="O74" s="11"/>
      <c r="P74" s="2">
        <f>--5251.64</f>
        <v>5251.64</v>
      </c>
      <c r="Q74" s="2"/>
      <c r="R74" s="19">
        <f t="shared" si="56"/>
        <v>9.6864953399451465E-3</v>
      </c>
      <c r="S74" s="2"/>
      <c r="T74" s="2">
        <v>35650</v>
      </c>
      <c r="U74" s="2"/>
      <c r="V74" s="19">
        <f t="shared" si="57"/>
        <v>5.9360669768185347E-2</v>
      </c>
      <c r="W74" s="2"/>
      <c r="X74" s="2">
        <f t="shared" si="58"/>
        <v>-30398.36</v>
      </c>
      <c r="Y74" s="2"/>
      <c r="Z74" s="19">
        <f t="shared" si="59"/>
        <v>-0.85268892005610097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277</v>
      </c>
      <c r="C76" s="28"/>
      <c r="D76" s="20">
        <f>+D18-D20+D73</f>
        <v>10578.43</v>
      </c>
      <c r="E76" s="14"/>
      <c r="F76" s="22">
        <f>IF(D$12=0,0,D76/D$12)</f>
        <v>0.42356076076076077</v>
      </c>
      <c r="G76" s="14"/>
      <c r="H76" s="20">
        <f>+H18-H20+H73</f>
        <v>7661.6598191346129</v>
      </c>
      <c r="I76" s="14"/>
      <c r="J76" s="22">
        <f>IF(H$12=0,0,H76/H$12)</f>
        <v>0.17379683828905301</v>
      </c>
      <c r="K76" s="16"/>
      <c r="L76" s="20">
        <f>+D76-H76</f>
        <v>2916.7701808653874</v>
      </c>
      <c r="M76" s="16"/>
      <c r="N76" s="22">
        <f>IF(H76=0,0,L76/H76)</f>
        <v>0.38069690507282761</v>
      </c>
      <c r="O76" s="29"/>
      <c r="P76" s="20">
        <f>+P18-P20+P73</f>
        <v>110484.68999999993</v>
      </c>
      <c r="Q76" s="14"/>
      <c r="R76" s="22">
        <f>IF(P$12=0,0,P76/P$12)</f>
        <v>0.20378575736727639</v>
      </c>
      <c r="S76" s="14"/>
      <c r="T76" s="20">
        <f>+T18-T20+T73</f>
        <v>91761.689903400023</v>
      </c>
      <c r="U76" s="14"/>
      <c r="V76" s="22">
        <f>IF(T$12=0,0,T76/T$12)</f>
        <v>0.15279201603720494</v>
      </c>
      <c r="W76" s="16"/>
      <c r="X76" s="20">
        <f>+P76-T76</f>
        <v>18723.000096599906</v>
      </c>
      <c r="Y76" s="16"/>
      <c r="Z76" s="22">
        <f>IF(T76=0,0,X76/T76)</f>
        <v>0.20403939940851251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128</v>
      </c>
      <c r="C78" s="10"/>
      <c r="D78" s="4">
        <v>39549.519999999997</v>
      </c>
      <c r="E78" s="4"/>
      <c r="F78" s="12">
        <f>IF(D$12=0,0,D78/D$12)</f>
        <v>1.5835643643643642</v>
      </c>
      <c r="G78" s="4"/>
      <c r="H78" s="4">
        <v>-1463</v>
      </c>
      <c r="I78" s="4"/>
      <c r="J78" s="12">
        <f>IF(H$12=0,0,H78/H$12)</f>
        <v>-3.3186643680246798E-2</v>
      </c>
      <c r="K78" s="4"/>
      <c r="L78" s="4">
        <f>+D78-H78</f>
        <v>41012.519999999997</v>
      </c>
      <c r="M78" s="4"/>
      <c r="N78" s="12">
        <f>IF(H78=0,0,L78/H78)</f>
        <v>-28.033164730006835</v>
      </c>
      <c r="O78" s="10"/>
      <c r="P78" s="4">
        <v>150067.26</v>
      </c>
      <c r="Q78" s="4"/>
      <c r="R78" s="12">
        <f>IF(P$12=0,0,P78/P$12)</f>
        <v>0.27679464218193489</v>
      </c>
      <c r="S78" s="4"/>
      <c r="T78" s="4">
        <v>101273</v>
      </c>
      <c r="U78" s="4"/>
      <c r="V78" s="12">
        <f>IF(T$12=0,0,T78/T$12)</f>
        <v>0.16862925973165313</v>
      </c>
      <c r="W78" s="4"/>
      <c r="X78" s="4">
        <f>+P78-T78</f>
        <v>48794.260000000009</v>
      </c>
      <c r="Y78" s="4"/>
      <c r="Z78" s="12">
        <f>IF(T78=0,0,X78/T78)</f>
        <v>0.48180916927512774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126</v>
      </c>
      <c r="C80" s="28"/>
      <c r="D80" s="34">
        <f>+D76-D78</f>
        <v>-28971.089999999997</v>
      </c>
      <c r="E80" s="14"/>
      <c r="F80" s="35">
        <f>IF(D$12=0,0,D80/D$12)</f>
        <v>-1.1600036036036034</v>
      </c>
      <c r="G80" s="14"/>
      <c r="H80" s="34">
        <f>+H76-H78</f>
        <v>9124.6598191346129</v>
      </c>
      <c r="I80" s="14"/>
      <c r="J80" s="35">
        <f>IF(H$12=0,0,H80/H$12)</f>
        <v>0.2069834819692998</v>
      </c>
      <c r="K80" s="16"/>
      <c r="L80" s="34">
        <f>D80-H80</f>
        <v>-38095.749819134609</v>
      </c>
      <c r="M80" s="16"/>
      <c r="N80" s="35">
        <f>IF(H80=0,0,L80/H80)</f>
        <v>-4.1750323381094141</v>
      </c>
      <c r="O80" s="29"/>
      <c r="P80" s="34">
        <f>+P76-P78</f>
        <v>-39582.57000000008</v>
      </c>
      <c r="Q80" s="14"/>
      <c r="R80" s="35">
        <f>IF(P$12=0,0,P80/P$12)</f>
        <v>-7.3008884814658517E-2</v>
      </c>
      <c r="S80" s="14"/>
      <c r="T80" s="34">
        <f>+T76-T78</f>
        <v>-9511.3100965999765</v>
      </c>
      <c r="U80" s="14"/>
      <c r="V80" s="35">
        <f>IF(T$12=0,0,T80/T$12)</f>
        <v>-1.5837243694448198E-2</v>
      </c>
      <c r="W80" s="16"/>
      <c r="X80" s="34">
        <f>P80-T80</f>
        <v>-30071.259903400103</v>
      </c>
      <c r="Y80" s="16"/>
      <c r="Z80" s="35">
        <f>IF(T80=0,0,X80/T80)</f>
        <v>3.1616317413675459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294</v>
      </c>
      <c r="C83" s="28"/>
      <c r="D83" s="33">
        <f>SUM(D80:D82)</f>
        <v>-28971.089999999997</v>
      </c>
      <c r="E83" s="14"/>
      <c r="F83" s="31">
        <f>IF(D$12=0,0,D83/D$12)</f>
        <v>-1.1600036036036034</v>
      </c>
      <c r="G83" s="14"/>
      <c r="H83" s="33">
        <f>SUM(H80:H82)</f>
        <v>9124.6598191346129</v>
      </c>
      <c r="I83" s="14"/>
      <c r="J83" s="31">
        <f>IF(H$12=0,0,H83/H$12)</f>
        <v>0.2069834819692998</v>
      </c>
      <c r="K83" s="16"/>
      <c r="L83" s="33">
        <f>+D83-H83</f>
        <v>-38095.749819134609</v>
      </c>
      <c r="M83" s="16"/>
      <c r="N83" s="31">
        <f>IF(H83=0,0,L83/H83)</f>
        <v>-4.1750323381094141</v>
      </c>
      <c r="O83" s="29"/>
      <c r="P83" s="33">
        <f>SUM(P80:P82)</f>
        <v>-39582.57000000008</v>
      </c>
      <c r="Q83" s="14"/>
      <c r="R83" s="31">
        <f>IF(P$12=0,0,P83/P$12)</f>
        <v>-7.3008884814658517E-2</v>
      </c>
      <c r="S83" s="14"/>
      <c r="T83" s="33">
        <f>SUM(T80:T82)</f>
        <v>-9511.3100965999765</v>
      </c>
      <c r="U83" s="14"/>
      <c r="V83" s="31">
        <f>IF(T$12=0,0,T83/T$12)</f>
        <v>-1.5837243694448198E-2</v>
      </c>
      <c r="W83" s="16"/>
      <c r="X83" s="33">
        <f>+P83-T83</f>
        <v>-30071.259903400103</v>
      </c>
      <c r="Y83" s="16"/>
      <c r="Z83" s="31">
        <f>IF(T83=0,0,X83/T83)</f>
        <v>3.1616317413675459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>
        <v>44454.686112384261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5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48"/>
      <c r="G3" s="17"/>
      <c r="H3" s="17"/>
      <c r="I3" s="17"/>
      <c r="J3" s="39"/>
      <c r="K3" s="17"/>
      <c r="L3" s="17"/>
      <c r="M3" s="17"/>
      <c r="N3" s="48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9"/>
      <c r="K4" s="17"/>
      <c r="L4" s="17"/>
      <c r="M4" s="17"/>
      <c r="N4" s="48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9"/>
      <c r="K5" s="17"/>
      <c r="L5" s="17"/>
      <c r="M5" s="17"/>
      <c r="N5" s="48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9"/>
      <c r="K6" s="17"/>
      <c r="L6" s="17"/>
      <c r="M6" s="17"/>
      <c r="N6" s="48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57</v>
      </c>
      <c r="E10" s="32"/>
      <c r="F10" s="40" t="s">
        <v>40</v>
      </c>
      <c r="G10" s="32"/>
      <c r="H10" s="49" t="s">
        <v>238</v>
      </c>
      <c r="I10" s="32"/>
      <c r="J10" s="51" t="s">
        <v>58</v>
      </c>
      <c r="K10" s="10"/>
      <c r="L10" s="43" t="s">
        <v>127</v>
      </c>
      <c r="M10" s="10"/>
      <c r="N10" s="40" t="s">
        <v>258</v>
      </c>
      <c r="O10" s="10"/>
      <c r="P10" s="54" t="s">
        <v>57</v>
      </c>
      <c r="Q10" s="32"/>
      <c r="R10" s="40" t="s">
        <v>40</v>
      </c>
      <c r="S10" s="32"/>
      <c r="T10" s="49" t="s">
        <v>238</v>
      </c>
      <c r="U10" s="32"/>
      <c r="V10" s="51" t="s">
        <v>58</v>
      </c>
      <c r="W10" s="10"/>
      <c r="X10" s="43" t="s">
        <v>127</v>
      </c>
      <c r="Y10" s="10"/>
      <c r="Z10" s="40" t="s">
        <v>258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4" t="e">
        <f ca="1">+D27-D29</f>
        <v>#NAME?</v>
      </c>
      <c r="E31" s="14"/>
      <c r="F31" s="35" t="e">
        <f ca="1">IF(D$12=0,0,D31/D$12)</f>
        <v>#NAME?</v>
      </c>
      <c r="G31" s="14"/>
      <c r="H31" s="34" t="e">
        <f ca="1">+H27-H29</f>
        <v>#NAME?</v>
      </c>
      <c r="I31" s="14"/>
      <c r="J31" s="35" t="e">
        <f ca="1">IF(H$12=0,0,H31/H$12)</f>
        <v>#NAME?</v>
      </c>
      <c r="K31" s="16"/>
      <c r="L31" s="34" t="e">
        <f ca="1">D31-H31</f>
        <v>#NAME?</v>
      </c>
      <c r="M31" s="16"/>
      <c r="N31" s="35" t="e">
        <f ca="1">IF(H31=0,0,L31/H31)</f>
        <v>#NAME?</v>
      </c>
      <c r="O31" s="29"/>
      <c r="P31" s="34" t="e">
        <f ca="1">+P27-P29</f>
        <v>#NAME?</v>
      </c>
      <c r="Q31" s="14"/>
      <c r="R31" s="35" t="e">
        <f ca="1">IF(P$12=0,0,P31/P$12)</f>
        <v>#NAME?</v>
      </c>
      <c r="S31" s="14"/>
      <c r="T31" s="34" t="e">
        <f ca="1">+T27-T29</f>
        <v>#NAME?</v>
      </c>
      <c r="U31" s="14"/>
      <c r="V31" s="35" t="e">
        <f ca="1">IF(T$12=0,0,T31/T$12)</f>
        <v>#NAME?</v>
      </c>
      <c r="W31" s="16"/>
      <c r="X31" s="34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1" t="e">
        <f ca="1">IF(D$12=0,0,D36/D$12)</f>
        <v>#NAME?</v>
      </c>
      <c r="G36" s="14"/>
      <c r="H36" s="33" t="e">
        <f ca="1">SUM(H31:H35)</f>
        <v>#NAME?</v>
      </c>
      <c r="I36" s="14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9"/>
      <c r="P36" s="33" t="e">
        <f ca="1">SUM(P31:P35)</f>
        <v>#NAME?</v>
      </c>
      <c r="Q36" s="14"/>
      <c r="R36" s="31" t="e">
        <f ca="1">IF(P$12=0,0,P36/P$12)</f>
        <v>#NAME?</v>
      </c>
      <c r="S36" s="14"/>
      <c r="T36" s="33" t="e">
        <f ca="1">SUM(T31:T35)</f>
        <v>#NAME?</v>
      </c>
      <c r="U36" s="14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4126</vt:i4>
      </vt:variant>
    </vt:vector>
  </HeadingPairs>
  <TitlesOfParts>
    <vt:vector size="4225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455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'317'!OSRRefD22_13x_0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'444'!OSRRefD22_17x_0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'423'!OSRRefD22_7x_0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'317'!OSRRefH22_13x_0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'444'!OSRRefH22_17x_0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'423'!OSRRefH22_7x_0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'317'!OSRRefP22_13x_0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'444'!OSRRefP22_17x_0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'423'!OSRRefP22_7x_0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'317'!OSRRefT22_13x_0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'444'!OSRRefT22_17x_0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'423'!OSRRefT22_7x_0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2021-09-15T16:35:27Z</dcterms:created>
  <dcterms:modified xsi:type="dcterms:W3CDTF">2021-09-15T17:06:15Z</dcterms:modified>
</cp:coreProperties>
</file>